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drawings/drawing3.xml" ContentType="application/vnd.openxmlformats-officedocument.drawing+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810"/>
  <workbookPr date1904="1" showInkAnnotation="0" codeName="ThisWorkbook" autoCompressPictures="0"/>
  <mc:AlternateContent xmlns:mc="http://schemas.openxmlformats.org/markup-compatibility/2006">
    <mc:Choice Requires="x15">
      <x15ac:absPath xmlns:x15ac="http://schemas.microsoft.com/office/spreadsheetml/2010/11/ac" url="/Users/katie.heath/Documents/WHO/Tool versions/2020 Sep/"/>
    </mc:Choice>
  </mc:AlternateContent>
  <xr:revisionPtr revIDLastSave="0" documentId="13_ncr:1_{5308EF65-D652-1847-8DA7-7D22458067A9}" xr6:coauthVersionLast="45" xr6:coauthVersionMax="45" xr10:uidLastSave="{00000000-0000-0000-0000-000000000000}"/>
  <bookViews>
    <workbookView xWindow="0" yWindow="480" windowWidth="28460" windowHeight="17540" tabRatio="554" xr2:uid="{00000000-000D-0000-FFFF-FFFF00000000}"/>
  </bookViews>
  <sheets>
    <sheet name="Cover" sheetId="31" r:id="rId1"/>
    <sheet name="User Manual" sheetId="36" r:id="rId2"/>
    <sheet name="Data" sheetId="157" r:id="rId3"/>
    <sheet name="Data (Calculations)" sheetId="32" state="hidden" r:id="rId4"/>
    <sheet name="Full Results" sheetId="3" state="hidden" r:id="rId5"/>
    <sheet name="Prediction tool" sheetId="34" r:id="rId6"/>
    <sheet name="Results" sheetId="42" r:id="rId7"/>
    <sheet name="Citations" sheetId="43" r:id="rId8"/>
    <sheet name="BaselineResults" sheetId="110" state="hidden" r:id="rId9"/>
    <sheet name="BaselineData" sheetId="159" state="hidden" r:id="rId10"/>
    <sheet name="Full Results Baseline" sheetId="160" state="hidden" r:id="rId11"/>
    <sheet name="Live births" sheetId="150" state="hidden" r:id="rId12"/>
    <sheet name="ANC1" sheetId="151" state="hidden" r:id="rId13"/>
    <sheet name="Testing" sheetId="152" state="hidden" r:id="rId14"/>
    <sheet name="Treatment" sheetId="153" state="hidden" r:id="rId15"/>
    <sheet name="Prevalence" sheetId="149" state="hidden" r:id="rId16"/>
    <sheet name="Reported cases" sheetId="158" state="hidden" r:id="rId17"/>
    <sheet name="Test type" sheetId="154" state="hidden" r:id="rId18"/>
    <sheet name="Week" sheetId="155" state="hidden" r:id="rId19"/>
    <sheet name="English" sheetId="143" state="hidden" r:id="rId20"/>
    <sheet name="Français" sheetId="142" state="hidden" r:id="rId21"/>
    <sheet name="Español" sheetId="139" state="hidden" r:id="rId22"/>
    <sheet name="Figure Legends" sheetId="145" state="hidden" r:id="rId23"/>
  </sheets>
  <calcPr calcId="191029"/>
  <customWorkbookViews>
    <customWorkbookView name="All Sheets" guid="{8967CA62-3554-8A40-ACFF-3515F2B518C8}" windowWidth="1277" windowHeight="693" tabRatio="554" activeSheetId="143"/>
    <customWorkbookView name="User Version" guid="{EB877D66-0749-4C48-89AA-FFA94A34014C}" windowWidth="1277" windowHeight="693" tabRatio="554" activeSheetId="157"/>
  </customWorkbookViews>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A111" i="155" l="1"/>
  <c r="A174" i="155"/>
  <c r="A184" i="155"/>
  <c r="A214" i="155"/>
  <c r="A210" i="155"/>
  <c r="A273" i="155"/>
  <c r="A283" i="155"/>
  <c r="A16" i="155"/>
  <c r="A12" i="155"/>
  <c r="A75" i="155"/>
  <c r="A85" i="155"/>
  <c r="A115" i="155"/>
  <c r="A115" i="154"/>
  <c r="A111" i="154"/>
  <c r="A174" i="154"/>
  <c r="A184" i="154"/>
  <c r="A85" i="154"/>
  <c r="A75" i="154"/>
  <c r="A16" i="154"/>
  <c r="A12" i="154"/>
  <c r="A88" i="152"/>
  <c r="A187" i="152"/>
  <c r="A187" i="153"/>
  <c r="A88" i="153"/>
  <c r="A88" i="149"/>
  <c r="A187" i="149"/>
  <c r="A286" i="149"/>
  <c r="A85" i="158"/>
  <c r="A75" i="158"/>
  <c r="A12" i="158"/>
  <c r="A16" i="158"/>
  <c r="A273" i="149"/>
  <c r="A214" i="149"/>
  <c r="A210" i="149"/>
  <c r="A174" i="149"/>
  <c r="A115" i="149"/>
  <c r="A111" i="149"/>
  <c r="T16" i="149"/>
  <c r="A75" i="149"/>
  <c r="A12" i="149"/>
  <c r="A13" i="149"/>
  <c r="A16" i="149"/>
  <c r="A174" i="153"/>
  <c r="A115" i="153"/>
  <c r="A111" i="153"/>
  <c r="A75" i="153"/>
  <c r="A16" i="153"/>
  <c r="A12" i="153"/>
  <c r="A174" i="152"/>
  <c r="A111" i="152"/>
  <c r="A115" i="152"/>
  <c r="A75" i="152"/>
  <c r="A16" i="152"/>
  <c r="A12" i="152"/>
  <c r="T70" i="151"/>
  <c r="A174" i="151"/>
  <c r="A75" i="150"/>
  <c r="A75" i="151"/>
  <c r="T47" i="151"/>
  <c r="T16" i="151"/>
  <c r="T12" i="151"/>
  <c r="T4" i="151"/>
  <c r="S4" i="151"/>
  <c r="S3" i="151"/>
  <c r="O81" i="151"/>
  <c r="A81" i="151"/>
  <c r="A16" i="150"/>
  <c r="A12" i="150"/>
  <c r="A85" i="150"/>
  <c r="A12" i="151"/>
  <c r="A111" i="151"/>
  <c r="A16" i="151"/>
  <c r="A115" i="151"/>
  <c r="A187" i="151"/>
  <c r="A86" i="151"/>
  <c r="T63" i="152" l="1"/>
  <c r="T47" i="153"/>
  <c r="T47" i="149"/>
  <c r="I24" i="157" l="1"/>
  <c r="J24" i="157"/>
  <c r="K24" i="157"/>
  <c r="L24" i="157"/>
  <c r="M24" i="157"/>
  <c r="N24" i="157"/>
  <c r="O24" i="157"/>
  <c r="P24" i="157"/>
  <c r="Q24" i="157"/>
  <c r="R24" i="157"/>
  <c r="H24" i="157"/>
  <c r="Q84" i="149"/>
  <c r="R84" i="149"/>
  <c r="Q69" i="149"/>
  <c r="R69" i="149"/>
  <c r="S69" i="149"/>
  <c r="R81" i="149"/>
  <c r="S81" i="149"/>
  <c r="T81" i="149"/>
  <c r="S60" i="151"/>
  <c r="S88" i="151"/>
  <c r="T88" i="151"/>
  <c r="P85" i="151"/>
  <c r="Q85" i="151"/>
  <c r="Q84" i="151"/>
  <c r="T81" i="151"/>
  <c r="Q81" i="151"/>
  <c r="R81" i="151"/>
  <c r="T74" i="151"/>
  <c r="P74" i="151"/>
  <c r="Q74" i="151"/>
  <c r="N64" i="151"/>
  <c r="O64" i="151"/>
  <c r="P64" i="151"/>
  <c r="R62" i="151"/>
  <c r="T62" i="151"/>
  <c r="N51" i="151"/>
  <c r="Q51" i="151"/>
  <c r="R51" i="151"/>
  <c r="S51" i="151"/>
  <c r="T51" i="151"/>
  <c r="S7" i="151"/>
  <c r="S84" i="151"/>
  <c r="Q2" i="151"/>
  <c r="R2" i="151"/>
  <c r="T28" i="151"/>
  <c r="T9" i="151"/>
  <c r="T14" i="151"/>
  <c r="T20" i="151"/>
  <c r="M19" i="151"/>
  <c r="P19" i="151"/>
  <c r="O19" i="151"/>
  <c r="N19" i="151"/>
  <c r="P18" i="151"/>
  <c r="O17" i="151"/>
  <c r="N17" i="151"/>
  <c r="Q15" i="151"/>
  <c r="P15" i="151"/>
  <c r="N15" i="151"/>
  <c r="Q9" i="151"/>
  <c r="R9" i="151"/>
  <c r="S9" i="151"/>
  <c r="N13" i="151"/>
  <c r="O13" i="151"/>
  <c r="P13" i="151"/>
  <c r="Q13" i="151"/>
  <c r="R13" i="151"/>
  <c r="Q11" i="151"/>
  <c r="P11" i="151"/>
  <c r="O11" i="151"/>
  <c r="N11" i="151"/>
  <c r="R11" i="151"/>
  <c r="B14" i="31"/>
  <c r="S62" i="151" l="1"/>
  <c r="S81" i="151"/>
  <c r="Q22" i="151"/>
  <c r="S22" i="151"/>
  <c r="R22" i="151"/>
  <c r="Q8" i="151"/>
  <c r="P8" i="151"/>
  <c r="O8" i="151"/>
  <c r="N8" i="151"/>
  <c r="R8" i="151"/>
  <c r="R7" i="151"/>
  <c r="Q7" i="151"/>
  <c r="N7" i="151"/>
  <c r="N6" i="151"/>
  <c r="R5" i="151"/>
  <c r="Q5" i="151"/>
  <c r="P5" i="151"/>
  <c r="O5" i="151"/>
  <c r="N5" i="151"/>
  <c r="J4" i="151"/>
  <c r="K4" i="151"/>
  <c r="L4" i="151"/>
  <c r="M4" i="151"/>
  <c r="N4" i="151"/>
  <c r="O4" i="151"/>
  <c r="P4" i="151"/>
  <c r="Q4" i="151"/>
  <c r="R4" i="151"/>
  <c r="S5" i="151"/>
  <c r="T5" i="151"/>
  <c r="A88" i="155" l="1"/>
  <c r="A86" i="155"/>
  <c r="A84" i="155"/>
  <c r="A81" i="155"/>
  <c r="A74" i="155"/>
  <c r="A69" i="155"/>
  <c r="A64" i="155"/>
  <c r="A62" i="155"/>
  <c r="A51" i="155"/>
  <c r="A3" i="155"/>
  <c r="A2" i="155"/>
  <c r="A286" i="155"/>
  <c r="A187" i="155"/>
  <c r="A284" i="155"/>
  <c r="A185" i="155"/>
  <c r="A282" i="155"/>
  <c r="A183" i="155"/>
  <c r="A279" i="155"/>
  <c r="A180" i="155"/>
  <c r="A272" i="155"/>
  <c r="A173" i="155"/>
  <c r="A267" i="155"/>
  <c r="A168" i="155"/>
  <c r="A262" i="155"/>
  <c r="A163" i="155"/>
  <c r="A260" i="155"/>
  <c r="A161" i="155"/>
  <c r="A249" i="155"/>
  <c r="A150" i="155"/>
  <c r="A201" i="155"/>
  <c r="A102" i="155"/>
  <c r="A200" i="155"/>
  <c r="A101" i="155"/>
  <c r="A187" i="154"/>
  <c r="A88" i="154"/>
  <c r="A185" i="154"/>
  <c r="A86" i="154"/>
  <c r="A183" i="154"/>
  <c r="A84" i="154"/>
  <c r="A180" i="154"/>
  <c r="A81" i="154"/>
  <c r="A173" i="154"/>
  <c r="A74" i="154"/>
  <c r="A168" i="154"/>
  <c r="A69" i="154"/>
  <c r="A163" i="154"/>
  <c r="A64" i="154"/>
  <c r="A161" i="154"/>
  <c r="A62" i="154"/>
  <c r="A150" i="154"/>
  <c r="A51" i="154"/>
  <c r="A102" i="154"/>
  <c r="A3" i="154"/>
  <c r="A101" i="154"/>
  <c r="A2" i="154"/>
  <c r="A88" i="158"/>
  <c r="A86" i="158"/>
  <c r="A84" i="158"/>
  <c r="A81" i="158"/>
  <c r="A74" i="158"/>
  <c r="A69" i="158"/>
  <c r="A64" i="158"/>
  <c r="A62" i="158"/>
  <c r="A51" i="158"/>
  <c r="A3" i="158"/>
  <c r="A2" i="158"/>
  <c r="A102" i="149"/>
  <c r="A150" i="149"/>
  <c r="A161" i="149"/>
  <c r="A163" i="149"/>
  <c r="A168" i="149"/>
  <c r="A173" i="149"/>
  <c r="A180" i="149"/>
  <c r="A183" i="149"/>
  <c r="A184" i="149"/>
  <c r="A186" i="149"/>
  <c r="A101" i="149"/>
  <c r="A285" i="149"/>
  <c r="A87" i="149"/>
  <c r="A283" i="149"/>
  <c r="A85" i="149"/>
  <c r="A282" i="149"/>
  <c r="A84" i="149"/>
  <c r="A279" i="149"/>
  <c r="A81" i="149"/>
  <c r="A272" i="149"/>
  <c r="A74" i="149"/>
  <c r="A267" i="149"/>
  <c r="A69" i="149"/>
  <c r="A262" i="149"/>
  <c r="A64" i="149"/>
  <c r="A260" i="149"/>
  <c r="A62" i="149"/>
  <c r="A249" i="149"/>
  <c r="A51" i="149"/>
  <c r="A201" i="149"/>
  <c r="A3" i="149"/>
  <c r="A200" i="149"/>
  <c r="A2" i="149"/>
  <c r="A186" i="153"/>
  <c r="A87" i="153"/>
  <c r="A184" i="153"/>
  <c r="A85" i="153"/>
  <c r="A183" i="153"/>
  <c r="A84" i="153"/>
  <c r="A180" i="153"/>
  <c r="A81" i="153"/>
  <c r="A173" i="153"/>
  <c r="A74" i="153"/>
  <c r="A168" i="153"/>
  <c r="A69" i="153"/>
  <c r="A163" i="153"/>
  <c r="A64" i="153"/>
  <c r="A161" i="153"/>
  <c r="A62" i="153"/>
  <c r="A150" i="153"/>
  <c r="A51" i="153"/>
  <c r="A102" i="153"/>
  <c r="A3" i="153"/>
  <c r="A101" i="153"/>
  <c r="A2" i="153"/>
  <c r="A3" i="152"/>
  <c r="A102" i="152"/>
  <c r="A51" i="152"/>
  <c r="A150" i="152"/>
  <c r="A62" i="152"/>
  <c r="A161" i="152"/>
  <c r="A64" i="152"/>
  <c r="A163" i="152"/>
  <c r="A69" i="152"/>
  <c r="A168" i="152"/>
  <c r="A74" i="152"/>
  <c r="A173" i="152"/>
  <c r="A81" i="152"/>
  <c r="A180" i="152"/>
  <c r="A84" i="152"/>
  <c r="A183" i="152"/>
  <c r="A85" i="152"/>
  <c r="A184" i="152"/>
  <c r="A87" i="152"/>
  <c r="A186" i="152"/>
  <c r="A101" i="152"/>
  <c r="A2" i="152"/>
  <c r="A163" i="151"/>
  <c r="A69" i="151"/>
  <c r="A168" i="151"/>
  <c r="A74" i="151"/>
  <c r="A173" i="151"/>
  <c r="A180" i="151"/>
  <c r="A84" i="151"/>
  <c r="A183" i="151"/>
  <c r="A85" i="151"/>
  <c r="A184" i="151"/>
  <c r="A88" i="151"/>
  <c r="A186" i="151"/>
  <c r="A64" i="151"/>
  <c r="A101" i="151"/>
  <c r="A102" i="151"/>
  <c r="A103" i="151"/>
  <c r="A104" i="151"/>
  <c r="A105" i="151"/>
  <c r="A106" i="151"/>
  <c r="A107" i="151"/>
  <c r="A108" i="151"/>
  <c r="A109" i="151"/>
  <c r="A110" i="151"/>
  <c r="A112" i="151"/>
  <c r="A113" i="151"/>
  <c r="A5" i="151"/>
  <c r="A6" i="151"/>
  <c r="A7" i="151"/>
  <c r="A8" i="151"/>
  <c r="A9" i="151"/>
  <c r="A10" i="151"/>
  <c r="A11" i="151"/>
  <c r="A13" i="151"/>
  <c r="A14" i="151"/>
  <c r="A15" i="151"/>
  <c r="A17" i="151"/>
  <c r="A18" i="151"/>
  <c r="A19" i="151"/>
  <c r="A20" i="151"/>
  <c r="A21" i="151"/>
  <c r="A22" i="151"/>
  <c r="A23" i="151"/>
  <c r="A24" i="151"/>
  <c r="A25" i="151"/>
  <c r="A26" i="151"/>
  <c r="A27" i="151"/>
  <c r="A28" i="151"/>
  <c r="A29" i="151"/>
  <c r="A30" i="151"/>
  <c r="A35" i="151"/>
  <c r="A31" i="151"/>
  <c r="A32" i="151"/>
  <c r="A33" i="151"/>
  <c r="A34" i="151"/>
  <c r="A36" i="151"/>
  <c r="A37" i="151"/>
  <c r="A38" i="151"/>
  <c r="A39" i="151"/>
  <c r="A40" i="151"/>
  <c r="A41" i="151"/>
  <c r="A42" i="151"/>
  <c r="A43" i="151"/>
  <c r="A44" i="151"/>
  <c r="A45" i="151"/>
  <c r="A46" i="151"/>
  <c r="A47" i="151"/>
  <c r="A48" i="151"/>
  <c r="A49" i="151"/>
  <c r="A50" i="151"/>
  <c r="A51" i="151"/>
  <c r="A52" i="151"/>
  <c r="A53" i="151"/>
  <c r="A54" i="151"/>
  <c r="A55" i="151"/>
  <c r="A56" i="151"/>
  <c r="A57" i="151"/>
  <c r="A58" i="151"/>
  <c r="A60" i="151"/>
  <c r="A59" i="151"/>
  <c r="A61" i="151"/>
  <c r="A62" i="151"/>
  <c r="A63" i="151"/>
  <c r="A65" i="151"/>
  <c r="A66" i="151"/>
  <c r="A67" i="151"/>
  <c r="A68" i="151"/>
  <c r="A70" i="151"/>
  <c r="A71" i="151"/>
  <c r="A72" i="151"/>
  <c r="A73" i="151"/>
  <c r="A76" i="151"/>
  <c r="A77" i="151"/>
  <c r="A78" i="151"/>
  <c r="A79" i="151"/>
  <c r="A80" i="151"/>
  <c r="A82" i="151"/>
  <c r="A83" i="151"/>
  <c r="A87" i="151"/>
  <c r="A89" i="151"/>
  <c r="A90" i="151"/>
  <c r="A91" i="151"/>
  <c r="A92" i="151"/>
  <c r="A93" i="151"/>
  <c r="A94" i="151"/>
  <c r="A95" i="151"/>
  <c r="A96" i="151"/>
  <c r="A97" i="151"/>
  <c r="A98" i="151"/>
  <c r="A99" i="151"/>
  <c r="A100" i="151"/>
  <c r="A2" i="151"/>
  <c r="A3" i="151"/>
  <c r="A161" i="151"/>
  <c r="A150" i="151"/>
  <c r="A88" i="150"/>
  <c r="A89" i="150"/>
  <c r="A86" i="150"/>
  <c r="A83" i="150"/>
  <c r="A84" i="150"/>
  <c r="A87" i="150"/>
  <c r="A80" i="150"/>
  <c r="A81" i="150"/>
  <c r="A82" i="150"/>
  <c r="A72" i="150"/>
  <c r="A73" i="150"/>
  <c r="A74" i="150"/>
  <c r="A76" i="150"/>
  <c r="A77" i="150"/>
  <c r="A68" i="150"/>
  <c r="A69" i="150"/>
  <c r="A70" i="150"/>
  <c r="A71" i="150"/>
  <c r="A63" i="150"/>
  <c r="A64" i="150"/>
  <c r="A65" i="150"/>
  <c r="A66" i="150"/>
  <c r="A67" i="150"/>
  <c r="A61" i="150"/>
  <c r="A62" i="150"/>
  <c r="A51" i="150"/>
  <c r="A52" i="150"/>
  <c r="A53" i="150"/>
  <c r="A2" i="150"/>
  <c r="A3" i="150"/>
  <c r="A4" i="149"/>
  <c r="A5" i="149"/>
  <c r="A6" i="149"/>
  <c r="A7" i="149"/>
  <c r="S4" i="149"/>
  <c r="T4" i="149"/>
  <c r="T5" i="149"/>
  <c r="A8" i="149"/>
  <c r="A9" i="149"/>
  <c r="T9" i="149"/>
  <c r="A10" i="149"/>
  <c r="A11" i="149"/>
  <c r="A14" i="149"/>
  <c r="T14" i="149"/>
  <c r="A15" i="149"/>
  <c r="A17" i="149"/>
  <c r="S17" i="149"/>
  <c r="T17" i="149"/>
  <c r="A18" i="149"/>
  <c r="A19" i="149"/>
  <c r="A20" i="149"/>
  <c r="S20" i="149"/>
  <c r="T20" i="149"/>
  <c r="A21" i="149"/>
  <c r="N21" i="149"/>
  <c r="T21" i="149"/>
  <c r="A22" i="149"/>
  <c r="T22" i="149"/>
  <c r="A23" i="149"/>
  <c r="A24" i="149"/>
  <c r="M24" i="149"/>
  <c r="T24" i="149"/>
  <c r="A25" i="149"/>
  <c r="S25" i="149"/>
  <c r="T25" i="149"/>
  <c r="A26" i="149"/>
  <c r="S26" i="149"/>
  <c r="T26" i="149"/>
  <c r="A27" i="149"/>
  <c r="S27" i="149"/>
  <c r="T27" i="149"/>
  <c r="A28" i="149"/>
  <c r="T28" i="149"/>
  <c r="A29" i="149"/>
  <c r="S29" i="149"/>
  <c r="A30" i="149"/>
  <c r="S30" i="149"/>
  <c r="T30" i="149"/>
  <c r="A35" i="149"/>
  <c r="T35" i="149"/>
  <c r="A31" i="149"/>
  <c r="S31" i="149"/>
  <c r="T31" i="149"/>
  <c r="A32" i="149"/>
  <c r="A33" i="149"/>
  <c r="S33" i="149"/>
  <c r="T33" i="149"/>
  <c r="A34" i="149"/>
  <c r="A36" i="149"/>
  <c r="A37" i="149"/>
  <c r="A38" i="149"/>
  <c r="T38" i="149"/>
  <c r="A39" i="149"/>
  <c r="S39" i="149"/>
  <c r="T39" i="149"/>
  <c r="A40" i="149"/>
  <c r="T40" i="149"/>
  <c r="A41" i="149"/>
  <c r="S41" i="149"/>
  <c r="A42" i="149"/>
  <c r="S42" i="149"/>
  <c r="T42" i="149"/>
  <c r="A43" i="149"/>
  <c r="T43" i="149"/>
  <c r="A44" i="149"/>
  <c r="A45" i="149"/>
  <c r="S45" i="149"/>
  <c r="T45" i="149"/>
  <c r="A46" i="149"/>
  <c r="S46" i="149"/>
  <c r="T46" i="149"/>
  <c r="A47" i="149"/>
  <c r="A48" i="149"/>
  <c r="T48" i="149"/>
  <c r="A49" i="149"/>
  <c r="T49" i="149"/>
  <c r="A50" i="149"/>
  <c r="S50" i="149"/>
  <c r="T50" i="149"/>
  <c r="A52" i="149"/>
  <c r="S52" i="149"/>
  <c r="T52" i="149"/>
  <c r="A53" i="149"/>
  <c r="S53" i="149"/>
  <c r="T53" i="149"/>
  <c r="A54" i="149"/>
  <c r="T54" i="149"/>
  <c r="A55" i="149"/>
  <c r="R55" i="149"/>
  <c r="S55" i="149"/>
  <c r="T55" i="149"/>
  <c r="A56" i="149"/>
  <c r="O56" i="149"/>
  <c r="P56" i="149"/>
  <c r="Q56" i="149"/>
  <c r="R56" i="149"/>
  <c r="A57" i="149"/>
  <c r="S57" i="149"/>
  <c r="T57" i="149"/>
  <c r="A58" i="149"/>
  <c r="T58" i="149"/>
  <c r="A60" i="149"/>
  <c r="S60" i="149"/>
  <c r="T60" i="149"/>
  <c r="A59" i="149"/>
  <c r="A61" i="149"/>
  <c r="S61" i="149"/>
  <c r="T61" i="149"/>
  <c r="A63" i="149"/>
  <c r="S63" i="149"/>
  <c r="T63" i="149"/>
  <c r="A65" i="149"/>
  <c r="A66" i="149"/>
  <c r="S66" i="149"/>
  <c r="T66" i="149"/>
  <c r="A67" i="149"/>
  <c r="T67" i="149"/>
  <c r="A68" i="149"/>
  <c r="Q68" i="149"/>
  <c r="T68" i="149"/>
  <c r="A70" i="149"/>
  <c r="T70" i="149"/>
  <c r="A71" i="149"/>
  <c r="S71" i="149"/>
  <c r="T71" i="149"/>
  <c r="A72" i="149"/>
  <c r="S72" i="149"/>
  <c r="T72" i="149"/>
  <c r="A73" i="149"/>
  <c r="T73" i="149"/>
  <c r="A76" i="149"/>
  <c r="T76" i="149"/>
  <c r="A77" i="149"/>
  <c r="T77" i="149"/>
  <c r="A78" i="149"/>
  <c r="A79" i="149"/>
  <c r="S79" i="149"/>
  <c r="T79" i="149"/>
  <c r="A80" i="149"/>
  <c r="T80" i="149"/>
  <c r="A82" i="149"/>
  <c r="S82" i="149"/>
  <c r="T82" i="149"/>
  <c r="A83" i="149"/>
  <c r="T83" i="149"/>
  <c r="A86" i="149"/>
  <c r="T86" i="149"/>
  <c r="A89" i="149"/>
  <c r="T89" i="149"/>
  <c r="A90" i="149"/>
  <c r="A91" i="149"/>
  <c r="S91" i="149"/>
  <c r="T91" i="149"/>
  <c r="A92" i="149"/>
  <c r="T92" i="149"/>
  <c r="A93" i="149"/>
  <c r="S93" i="149"/>
  <c r="T93" i="149"/>
  <c r="A94" i="149"/>
  <c r="A95" i="149"/>
  <c r="S95" i="149"/>
  <c r="T95" i="149"/>
  <c r="A96" i="149"/>
  <c r="S96" i="149"/>
  <c r="T96" i="149"/>
  <c r="A97" i="149"/>
  <c r="T97" i="149"/>
  <c r="A98" i="149"/>
  <c r="T98" i="149"/>
  <c r="A99" i="149"/>
  <c r="P99" i="149"/>
  <c r="A100" i="149"/>
  <c r="R100" i="149"/>
  <c r="T100" i="149"/>
  <c r="A136" i="149"/>
  <c r="A135" i="149"/>
  <c r="A103" i="149"/>
  <c r="A104" i="149"/>
  <c r="A105" i="149"/>
  <c r="A106" i="149"/>
  <c r="A107" i="149"/>
  <c r="A108" i="149"/>
  <c r="A109" i="149"/>
  <c r="A110" i="149"/>
  <c r="A112" i="149"/>
  <c r="A113" i="149"/>
  <c r="A114" i="149"/>
  <c r="A116" i="149"/>
  <c r="A117" i="149"/>
  <c r="A118" i="149"/>
  <c r="A119" i="149"/>
  <c r="A120" i="149"/>
  <c r="A121" i="149"/>
  <c r="A122" i="149"/>
  <c r="A123" i="149"/>
  <c r="A124" i="149"/>
  <c r="A125" i="149"/>
  <c r="A126" i="149"/>
  <c r="A127" i="149"/>
  <c r="A128" i="149"/>
  <c r="A129" i="149"/>
  <c r="A134" i="149"/>
  <c r="A130" i="149"/>
  <c r="A131" i="149"/>
  <c r="A132" i="149"/>
  <c r="A133" i="149"/>
  <c r="A137" i="149"/>
  <c r="A138" i="149"/>
  <c r="A139" i="149"/>
  <c r="A140" i="149"/>
  <c r="A141" i="149"/>
  <c r="A142" i="149"/>
  <c r="A143" i="149"/>
  <c r="A144" i="149"/>
  <c r="A145" i="149"/>
  <c r="A146" i="149"/>
  <c r="A147" i="149"/>
  <c r="A148" i="149"/>
  <c r="A149" i="149"/>
  <c r="A151" i="149"/>
  <c r="A152" i="149"/>
  <c r="A153" i="149"/>
  <c r="A154" i="149"/>
  <c r="A155" i="149"/>
  <c r="A156" i="149"/>
  <c r="A157" i="149"/>
  <c r="A159" i="149"/>
  <c r="A158" i="149"/>
  <c r="A160" i="149"/>
  <c r="A162" i="149"/>
  <c r="A164" i="149"/>
  <c r="A165" i="149"/>
  <c r="A166" i="149"/>
  <c r="A167" i="149"/>
  <c r="A169" i="149"/>
  <c r="A170" i="149"/>
  <c r="A171" i="149"/>
  <c r="A172" i="149"/>
  <c r="A175" i="149"/>
  <c r="A176" i="149"/>
  <c r="A177" i="149"/>
  <c r="A178" i="149"/>
  <c r="A179" i="149"/>
  <c r="A181" i="149"/>
  <c r="A182" i="149"/>
  <c r="A185" i="149"/>
  <c r="A188" i="149"/>
  <c r="A189" i="149"/>
  <c r="A190" i="149"/>
  <c r="A191" i="149"/>
  <c r="A192" i="149"/>
  <c r="A193" i="149"/>
  <c r="A194" i="149"/>
  <c r="A195" i="149"/>
  <c r="A196" i="149"/>
  <c r="A197" i="149"/>
  <c r="A198" i="149"/>
  <c r="A199" i="149"/>
  <c r="A202" i="149"/>
  <c r="A203" i="149"/>
  <c r="A204" i="149"/>
  <c r="A205" i="149"/>
  <c r="A206" i="149"/>
  <c r="A207" i="149"/>
  <c r="A208" i="149"/>
  <c r="A209" i="149"/>
  <c r="A211" i="149"/>
  <c r="A212" i="149"/>
  <c r="A213" i="149"/>
  <c r="A215" i="149"/>
  <c r="A216" i="149"/>
  <c r="A217" i="149"/>
  <c r="A218" i="149"/>
  <c r="A219" i="149"/>
  <c r="A220" i="149"/>
  <c r="A221" i="149"/>
  <c r="A222" i="149"/>
  <c r="A223" i="149"/>
  <c r="A224" i="149"/>
  <c r="A225" i="149"/>
  <c r="A226" i="149"/>
  <c r="A227" i="149"/>
  <c r="A228" i="149"/>
  <c r="A233" i="149"/>
  <c r="A229" i="149"/>
  <c r="A230" i="149"/>
  <c r="A231" i="149"/>
  <c r="A232" i="149"/>
  <c r="A234" i="149"/>
  <c r="A235" i="149"/>
  <c r="A236" i="149"/>
  <c r="A237" i="149"/>
  <c r="A238" i="149"/>
  <c r="A239" i="149"/>
  <c r="A240" i="149"/>
  <c r="A241" i="149"/>
  <c r="A242" i="149"/>
  <c r="A243" i="149"/>
  <c r="A244" i="149"/>
  <c r="A245" i="149"/>
  <c r="A246" i="149"/>
  <c r="A247" i="149"/>
  <c r="A248" i="149"/>
  <c r="A250" i="149"/>
  <c r="A251" i="149"/>
  <c r="A252" i="149"/>
  <c r="A253" i="149"/>
  <c r="A254" i="149"/>
  <c r="A255" i="149"/>
  <c r="A256" i="149"/>
  <c r="A258" i="149"/>
  <c r="A257" i="149"/>
  <c r="A259" i="149"/>
  <c r="A261" i="149"/>
  <c r="A263" i="149"/>
  <c r="A264" i="149"/>
  <c r="A265" i="149"/>
  <c r="A266" i="149"/>
  <c r="A268" i="149"/>
  <c r="A269" i="149"/>
  <c r="A270" i="149"/>
  <c r="A271" i="149"/>
  <c r="A274" i="149"/>
  <c r="A275" i="149"/>
  <c r="A276" i="149"/>
  <c r="A277" i="149"/>
  <c r="A278" i="149"/>
  <c r="A280" i="149"/>
  <c r="A281" i="149"/>
  <c r="A284" i="149"/>
  <c r="A287" i="149"/>
  <c r="A288" i="149"/>
  <c r="A289" i="149"/>
  <c r="A290" i="149"/>
  <c r="A291" i="149"/>
  <c r="A292" i="149"/>
  <c r="A293" i="149"/>
  <c r="A294" i="149"/>
  <c r="A295" i="149"/>
  <c r="A296" i="149"/>
  <c r="A297" i="149"/>
  <c r="A298" i="149"/>
  <c r="F2" i="32"/>
  <c r="A4" i="150"/>
  <c r="A5" i="150"/>
  <c r="A6" i="150"/>
  <c r="A7" i="150"/>
  <c r="A8" i="150"/>
  <c r="A9" i="150"/>
  <c r="A10" i="150"/>
  <c r="A11" i="150"/>
  <c r="A13" i="150"/>
  <c r="A14" i="150"/>
  <c r="A15" i="150"/>
  <c r="A17" i="150"/>
  <c r="A18" i="150"/>
  <c r="A19" i="150"/>
  <c r="A20" i="150"/>
  <c r="A21" i="150"/>
  <c r="A22" i="150"/>
  <c r="A23" i="150"/>
  <c r="A24" i="150"/>
  <c r="A25" i="150"/>
  <c r="A26" i="150"/>
  <c r="A27" i="150"/>
  <c r="A28" i="150"/>
  <c r="A29" i="150"/>
  <c r="A30" i="150"/>
  <c r="A31" i="150"/>
  <c r="A32" i="150"/>
  <c r="A33" i="150"/>
  <c r="A34" i="150"/>
  <c r="A35" i="150"/>
  <c r="A36" i="150"/>
  <c r="A37" i="150"/>
  <c r="A38" i="150"/>
  <c r="A39" i="150"/>
  <c r="A40" i="150"/>
  <c r="A41" i="150"/>
  <c r="A42" i="150"/>
  <c r="A43" i="150"/>
  <c r="A44" i="150"/>
  <c r="A45" i="150"/>
  <c r="A46" i="150"/>
  <c r="A47" i="150"/>
  <c r="A48" i="150"/>
  <c r="A49" i="150"/>
  <c r="A50" i="150"/>
  <c r="A54" i="150"/>
  <c r="A55" i="150"/>
  <c r="A56" i="150"/>
  <c r="A57" i="150"/>
  <c r="A58" i="150"/>
  <c r="A59" i="150"/>
  <c r="A60" i="150"/>
  <c r="A78" i="150"/>
  <c r="A79" i="150"/>
  <c r="A90" i="150"/>
  <c r="A91" i="150"/>
  <c r="A92" i="150"/>
  <c r="A93" i="150"/>
  <c r="A94" i="150"/>
  <c r="A95" i="150"/>
  <c r="A96" i="150"/>
  <c r="A97" i="150"/>
  <c r="A98" i="150"/>
  <c r="A99" i="150"/>
  <c r="A100" i="150"/>
  <c r="A4" i="151"/>
  <c r="T17" i="151"/>
  <c r="T21" i="151"/>
  <c r="T22" i="151"/>
  <c r="T24" i="151"/>
  <c r="T25" i="151"/>
  <c r="T26" i="151"/>
  <c r="T27" i="151"/>
  <c r="T35" i="151"/>
  <c r="T31" i="151"/>
  <c r="T33" i="151"/>
  <c r="T38" i="151"/>
  <c r="T39" i="151"/>
  <c r="T40" i="151"/>
  <c r="T42" i="151"/>
  <c r="T43" i="151"/>
  <c r="T45" i="151"/>
  <c r="T46" i="151"/>
  <c r="T48" i="151"/>
  <c r="T50" i="151"/>
  <c r="T52" i="151"/>
  <c r="T53" i="151"/>
  <c r="T54" i="151"/>
  <c r="T55" i="151"/>
  <c r="T57" i="151"/>
  <c r="T58" i="151"/>
  <c r="T60" i="151"/>
  <c r="T61" i="151"/>
  <c r="T63" i="151"/>
  <c r="T66" i="151"/>
  <c r="T67" i="151"/>
  <c r="T68" i="151"/>
  <c r="T71" i="151"/>
  <c r="T72" i="151"/>
  <c r="T73" i="151"/>
  <c r="T76" i="151"/>
  <c r="T77" i="151"/>
  <c r="T79" i="151"/>
  <c r="T80" i="151"/>
  <c r="T82" i="151"/>
  <c r="T83" i="151"/>
  <c r="T89" i="151"/>
  <c r="T91" i="151"/>
  <c r="T92" i="151"/>
  <c r="T93" i="151"/>
  <c r="T95" i="151"/>
  <c r="T96" i="151"/>
  <c r="T97" i="151"/>
  <c r="T98" i="151"/>
  <c r="T99" i="151"/>
  <c r="T100" i="151"/>
  <c r="A114" i="151"/>
  <c r="A116" i="151"/>
  <c r="A117" i="151"/>
  <c r="A118" i="151"/>
  <c r="A119" i="151"/>
  <c r="A120" i="151"/>
  <c r="A121" i="151"/>
  <c r="A122" i="151"/>
  <c r="A123" i="151"/>
  <c r="A124" i="151"/>
  <c r="A125" i="151"/>
  <c r="A126" i="151"/>
  <c r="A127" i="151"/>
  <c r="A128" i="151"/>
  <c r="A129" i="151"/>
  <c r="A134" i="151"/>
  <c r="A130" i="151"/>
  <c r="A131" i="151"/>
  <c r="A132" i="151"/>
  <c r="A133" i="151"/>
  <c r="A135" i="151"/>
  <c r="A136" i="151"/>
  <c r="A137" i="151"/>
  <c r="A138" i="151"/>
  <c r="A139" i="151"/>
  <c r="A140" i="151"/>
  <c r="A141" i="151"/>
  <c r="A142" i="151"/>
  <c r="A143" i="151"/>
  <c r="A144" i="151"/>
  <c r="A145" i="151"/>
  <c r="A146" i="151"/>
  <c r="A147" i="151"/>
  <c r="A148" i="151"/>
  <c r="A149" i="151"/>
  <c r="A151" i="151"/>
  <c r="A152" i="151"/>
  <c r="A153" i="151"/>
  <c r="A154" i="151"/>
  <c r="A155" i="151"/>
  <c r="A156" i="151"/>
  <c r="A157" i="151"/>
  <c r="A159" i="151"/>
  <c r="A158" i="151"/>
  <c r="A160" i="151"/>
  <c r="A162" i="151"/>
  <c r="A164" i="151"/>
  <c r="A165" i="151"/>
  <c r="A166" i="151"/>
  <c r="A167" i="151"/>
  <c r="A169" i="151"/>
  <c r="A170" i="151"/>
  <c r="A171" i="151"/>
  <c r="A172" i="151"/>
  <c r="A175" i="151"/>
  <c r="A176" i="151"/>
  <c r="A177" i="151"/>
  <c r="A178" i="151"/>
  <c r="A179" i="151"/>
  <c r="A181" i="151"/>
  <c r="A182" i="151"/>
  <c r="A185" i="151"/>
  <c r="A188" i="151"/>
  <c r="A189" i="151"/>
  <c r="A190" i="151"/>
  <c r="A191" i="151"/>
  <c r="A192" i="151"/>
  <c r="A193" i="151"/>
  <c r="A194" i="151"/>
  <c r="A195" i="151"/>
  <c r="A196" i="151"/>
  <c r="A197" i="151"/>
  <c r="A198" i="151"/>
  <c r="A199" i="151"/>
  <c r="A4" i="152"/>
  <c r="A5" i="152"/>
  <c r="A6" i="152"/>
  <c r="A7" i="152"/>
  <c r="S4" i="152"/>
  <c r="R5" i="152"/>
  <c r="A8" i="152"/>
  <c r="R8" i="152"/>
  <c r="A9" i="152"/>
  <c r="R9" i="152"/>
  <c r="S9" i="152"/>
  <c r="A10" i="152"/>
  <c r="A11" i="152"/>
  <c r="R11" i="152"/>
  <c r="A13" i="152"/>
  <c r="R13" i="152"/>
  <c r="A14" i="152"/>
  <c r="A15" i="152"/>
  <c r="A17" i="152"/>
  <c r="S17" i="152"/>
  <c r="A18" i="152"/>
  <c r="A19" i="152"/>
  <c r="A20" i="152"/>
  <c r="R20" i="152"/>
  <c r="S20" i="152"/>
  <c r="A21" i="152"/>
  <c r="R21" i="152"/>
  <c r="S21" i="152"/>
  <c r="A22" i="152"/>
  <c r="A23" i="152"/>
  <c r="A24" i="152"/>
  <c r="R24" i="152"/>
  <c r="S24" i="152"/>
  <c r="A25" i="152"/>
  <c r="R25" i="152"/>
  <c r="S25" i="152"/>
  <c r="A26" i="152"/>
  <c r="S26" i="152"/>
  <c r="A27" i="152"/>
  <c r="S27" i="152"/>
  <c r="A28" i="152"/>
  <c r="R28" i="152"/>
  <c r="A29" i="152"/>
  <c r="R29" i="152"/>
  <c r="S29" i="152"/>
  <c r="A30" i="152"/>
  <c r="S30" i="152"/>
  <c r="A35" i="152"/>
  <c r="A31" i="152"/>
  <c r="R31" i="152"/>
  <c r="S31" i="152"/>
  <c r="A32" i="152"/>
  <c r="A33" i="152"/>
  <c r="S33" i="152"/>
  <c r="A34" i="152"/>
  <c r="A36" i="152"/>
  <c r="R36" i="152"/>
  <c r="A37" i="152"/>
  <c r="A38" i="152"/>
  <c r="R38" i="152"/>
  <c r="S38" i="152"/>
  <c r="A39" i="152"/>
  <c r="R39" i="152"/>
  <c r="S39" i="152"/>
  <c r="A40" i="152"/>
  <c r="R40" i="152"/>
  <c r="A41" i="152"/>
  <c r="S41" i="152"/>
  <c r="A42" i="152"/>
  <c r="R42" i="152"/>
  <c r="S42" i="152"/>
  <c r="A43" i="152"/>
  <c r="R43" i="152"/>
  <c r="A44" i="152"/>
  <c r="A45" i="152"/>
  <c r="S45" i="152"/>
  <c r="A46" i="152"/>
  <c r="R46" i="152"/>
  <c r="S46" i="152"/>
  <c r="A47" i="152"/>
  <c r="R47" i="152"/>
  <c r="A48" i="152"/>
  <c r="A49" i="152"/>
  <c r="A50" i="152"/>
  <c r="R50" i="152"/>
  <c r="S50" i="152"/>
  <c r="A52" i="152"/>
  <c r="S52" i="152"/>
  <c r="A53" i="152"/>
  <c r="R53" i="152"/>
  <c r="S53" i="152"/>
  <c r="A54" i="152"/>
  <c r="R54" i="152"/>
  <c r="A55" i="152"/>
  <c r="R55" i="152"/>
  <c r="S55" i="152"/>
  <c r="A56" i="152"/>
  <c r="A57" i="152"/>
  <c r="R57" i="152"/>
  <c r="S57" i="152"/>
  <c r="A58" i="152"/>
  <c r="A60" i="152"/>
  <c r="R60" i="152"/>
  <c r="S60" i="152"/>
  <c r="A59" i="152"/>
  <c r="R59" i="152"/>
  <c r="A61" i="152"/>
  <c r="R61" i="152"/>
  <c r="S61" i="152"/>
  <c r="A63" i="152"/>
  <c r="R63" i="152"/>
  <c r="S63" i="152"/>
  <c r="A65" i="152"/>
  <c r="R65" i="152"/>
  <c r="S65" i="152"/>
  <c r="A66" i="152"/>
  <c r="R66" i="152"/>
  <c r="S66" i="152"/>
  <c r="A67" i="152"/>
  <c r="S67" i="152"/>
  <c r="A68" i="152"/>
  <c r="R68" i="152"/>
  <c r="A70" i="152"/>
  <c r="R70" i="152"/>
  <c r="A71" i="152"/>
  <c r="R71" i="152"/>
  <c r="S71" i="152"/>
  <c r="A72" i="152"/>
  <c r="R72" i="152"/>
  <c r="S72" i="152"/>
  <c r="A73" i="152"/>
  <c r="R73" i="152"/>
  <c r="A76" i="152"/>
  <c r="R76" i="152"/>
  <c r="S76" i="152"/>
  <c r="A77" i="152"/>
  <c r="R77" i="152"/>
  <c r="A78" i="152"/>
  <c r="R78" i="152"/>
  <c r="S78" i="152"/>
  <c r="A79" i="152"/>
  <c r="R79" i="152"/>
  <c r="S79" i="152"/>
  <c r="A80" i="152"/>
  <c r="R80" i="152"/>
  <c r="A82" i="152"/>
  <c r="R82" i="152"/>
  <c r="S82" i="152"/>
  <c r="A83" i="152"/>
  <c r="S83" i="152"/>
  <c r="A86" i="152"/>
  <c r="A89" i="152"/>
  <c r="A90" i="152"/>
  <c r="A91" i="152"/>
  <c r="R91" i="152"/>
  <c r="S91" i="152"/>
  <c r="A92" i="152"/>
  <c r="R92" i="152"/>
  <c r="A93" i="152"/>
  <c r="R93" i="152"/>
  <c r="S93" i="152"/>
  <c r="A94" i="152"/>
  <c r="R94" i="152"/>
  <c r="A95" i="152"/>
  <c r="S95" i="152"/>
  <c r="A96" i="152"/>
  <c r="R96" i="152"/>
  <c r="S96" i="152"/>
  <c r="A97" i="152"/>
  <c r="R97" i="152"/>
  <c r="A98" i="152"/>
  <c r="A99" i="152"/>
  <c r="R99" i="152"/>
  <c r="S99" i="152"/>
  <c r="A100" i="152"/>
  <c r="R100" i="152"/>
  <c r="S100" i="152"/>
  <c r="A103" i="152"/>
  <c r="A104" i="152"/>
  <c r="A105" i="152"/>
  <c r="A106" i="152"/>
  <c r="A107" i="152"/>
  <c r="A108" i="152"/>
  <c r="A109" i="152"/>
  <c r="A110" i="152"/>
  <c r="A112" i="152"/>
  <c r="A113" i="152"/>
  <c r="A114" i="152"/>
  <c r="A116" i="152"/>
  <c r="A117" i="152"/>
  <c r="A118" i="152"/>
  <c r="A119" i="152"/>
  <c r="A120" i="152"/>
  <c r="A121" i="152"/>
  <c r="A122" i="152"/>
  <c r="A123" i="152"/>
  <c r="A124" i="152"/>
  <c r="A125" i="152"/>
  <c r="A126" i="152"/>
  <c r="A127" i="152"/>
  <c r="A128" i="152"/>
  <c r="A129" i="152"/>
  <c r="A134" i="152"/>
  <c r="A130" i="152"/>
  <c r="A131" i="152"/>
  <c r="A132" i="152"/>
  <c r="A133" i="152"/>
  <c r="A135" i="152"/>
  <c r="A136" i="152"/>
  <c r="A137" i="152"/>
  <c r="A138" i="152"/>
  <c r="A139" i="152"/>
  <c r="A140" i="152"/>
  <c r="A141" i="152"/>
  <c r="A142" i="152"/>
  <c r="A143" i="152"/>
  <c r="A144" i="152"/>
  <c r="A145" i="152"/>
  <c r="A146" i="152"/>
  <c r="A147" i="152"/>
  <c r="A148" i="152"/>
  <c r="A149" i="152"/>
  <c r="A151" i="152"/>
  <c r="A152" i="152"/>
  <c r="A153" i="152"/>
  <c r="A154" i="152"/>
  <c r="A155" i="152"/>
  <c r="A156" i="152"/>
  <c r="A157" i="152"/>
  <c r="A159" i="152"/>
  <c r="A158" i="152"/>
  <c r="A160" i="152"/>
  <c r="A162" i="152"/>
  <c r="A164" i="152"/>
  <c r="A165" i="152"/>
  <c r="A166" i="152"/>
  <c r="A167" i="152"/>
  <c r="A169" i="152"/>
  <c r="A170" i="152"/>
  <c r="A171" i="152"/>
  <c r="A172" i="152"/>
  <c r="A175" i="152"/>
  <c r="A176" i="152"/>
  <c r="A177" i="152"/>
  <c r="A178" i="152"/>
  <c r="A179" i="152"/>
  <c r="A181" i="152"/>
  <c r="A182" i="152"/>
  <c r="A185" i="152"/>
  <c r="A188" i="152"/>
  <c r="A189" i="152"/>
  <c r="A190" i="152"/>
  <c r="A191" i="152"/>
  <c r="A192" i="152"/>
  <c r="A193" i="152"/>
  <c r="A194" i="152"/>
  <c r="A195" i="152"/>
  <c r="A196" i="152"/>
  <c r="A197" i="152"/>
  <c r="A198" i="152"/>
  <c r="A199" i="152"/>
  <c r="A4" i="153"/>
  <c r="O45" i="157" s="1"/>
  <c r="M40" i="32" s="1"/>
  <c r="A5" i="153"/>
  <c r="A6" i="153"/>
  <c r="A7" i="153"/>
  <c r="S4" i="153"/>
  <c r="A8" i="153"/>
  <c r="A9" i="153"/>
  <c r="S9" i="153"/>
  <c r="A10" i="153"/>
  <c r="A11" i="153"/>
  <c r="A13" i="153"/>
  <c r="A14" i="153"/>
  <c r="A15" i="153"/>
  <c r="S15" i="153"/>
  <c r="A17" i="153"/>
  <c r="S17" i="153"/>
  <c r="A18" i="153"/>
  <c r="A19" i="153"/>
  <c r="A20" i="153"/>
  <c r="S20" i="153"/>
  <c r="A21" i="153"/>
  <c r="S21" i="153"/>
  <c r="A22" i="153"/>
  <c r="A23" i="153"/>
  <c r="S23" i="153"/>
  <c r="A24" i="153"/>
  <c r="A25" i="153"/>
  <c r="S25" i="153"/>
  <c r="A26" i="153"/>
  <c r="S26" i="153"/>
  <c r="A27" i="153"/>
  <c r="S27" i="153"/>
  <c r="A28" i="153"/>
  <c r="A29" i="153"/>
  <c r="S29" i="153"/>
  <c r="A30" i="153"/>
  <c r="A35" i="153"/>
  <c r="A31" i="153"/>
  <c r="S31" i="153"/>
  <c r="A32" i="153"/>
  <c r="A33" i="153"/>
  <c r="S33" i="153"/>
  <c r="A34" i="153"/>
  <c r="A36" i="153"/>
  <c r="A37" i="153"/>
  <c r="A38" i="153"/>
  <c r="S38" i="153"/>
  <c r="A39" i="153"/>
  <c r="A40" i="153"/>
  <c r="A41" i="153"/>
  <c r="S41" i="153"/>
  <c r="A42" i="153"/>
  <c r="S42" i="153"/>
  <c r="A43" i="153"/>
  <c r="A44" i="153"/>
  <c r="A45" i="153"/>
  <c r="S45" i="153"/>
  <c r="A46" i="153"/>
  <c r="S46" i="153"/>
  <c r="A47" i="153"/>
  <c r="A48" i="153"/>
  <c r="A49" i="153"/>
  <c r="A50" i="153"/>
  <c r="A52" i="153"/>
  <c r="A53" i="153"/>
  <c r="S53" i="153"/>
  <c r="A54" i="153"/>
  <c r="A55" i="153"/>
  <c r="S55" i="153"/>
  <c r="A56" i="153"/>
  <c r="A57" i="153"/>
  <c r="A58" i="153"/>
  <c r="A60" i="153"/>
  <c r="S60" i="153"/>
  <c r="A59" i="153"/>
  <c r="A61" i="153"/>
  <c r="A63" i="153"/>
  <c r="S63" i="153"/>
  <c r="A65" i="153"/>
  <c r="S65" i="153"/>
  <c r="A66" i="153"/>
  <c r="S66" i="153"/>
  <c r="A67" i="153"/>
  <c r="A68" i="153"/>
  <c r="S68" i="153"/>
  <c r="A70" i="153"/>
  <c r="R70" i="153"/>
  <c r="A71" i="153"/>
  <c r="R71" i="153"/>
  <c r="S71" i="153"/>
  <c r="A72" i="153"/>
  <c r="R72" i="153"/>
  <c r="S72" i="153"/>
  <c r="A73" i="153"/>
  <c r="R73" i="153"/>
  <c r="A76" i="153"/>
  <c r="S76" i="153"/>
  <c r="A77" i="153"/>
  <c r="R77" i="153"/>
  <c r="A78" i="153"/>
  <c r="R78" i="153"/>
  <c r="S78" i="153"/>
  <c r="A79" i="153"/>
  <c r="S79" i="153"/>
  <c r="A80" i="153"/>
  <c r="A82" i="153"/>
  <c r="R82" i="153"/>
  <c r="S82" i="153"/>
  <c r="A83" i="153"/>
  <c r="A86" i="153"/>
  <c r="S86" i="153"/>
  <c r="A89" i="153"/>
  <c r="S89" i="153"/>
  <c r="A90" i="153"/>
  <c r="A91" i="153"/>
  <c r="S91" i="153"/>
  <c r="A92" i="153"/>
  <c r="R92" i="153"/>
  <c r="A93" i="153"/>
  <c r="S93" i="153"/>
  <c r="A94" i="153"/>
  <c r="R94" i="153"/>
  <c r="A95" i="153"/>
  <c r="S95" i="153"/>
  <c r="A96" i="153"/>
  <c r="S96" i="153"/>
  <c r="A97" i="153"/>
  <c r="R97" i="153"/>
  <c r="A98" i="153"/>
  <c r="A99" i="153"/>
  <c r="A100" i="153"/>
  <c r="R100" i="153"/>
  <c r="S100" i="153"/>
  <c r="A103" i="153"/>
  <c r="A104" i="153"/>
  <c r="A105" i="153"/>
  <c r="A106" i="153"/>
  <c r="A107" i="153"/>
  <c r="A108" i="153"/>
  <c r="A109" i="153"/>
  <c r="A110" i="153"/>
  <c r="A112" i="153"/>
  <c r="A113" i="153"/>
  <c r="A114" i="153"/>
  <c r="A116" i="153"/>
  <c r="A117" i="153"/>
  <c r="A118" i="153"/>
  <c r="A119" i="153"/>
  <c r="A120" i="153"/>
  <c r="A121" i="153"/>
  <c r="A122" i="153"/>
  <c r="A123" i="153"/>
  <c r="A124" i="153"/>
  <c r="A125" i="153"/>
  <c r="A126" i="153"/>
  <c r="A127" i="153"/>
  <c r="A128" i="153"/>
  <c r="A129" i="153"/>
  <c r="A134" i="153"/>
  <c r="A130" i="153"/>
  <c r="A131" i="153"/>
  <c r="A132" i="153"/>
  <c r="A133" i="153"/>
  <c r="A135" i="153"/>
  <c r="A136" i="153"/>
  <c r="A137" i="153"/>
  <c r="A138" i="153"/>
  <c r="A139" i="153"/>
  <c r="A140" i="153"/>
  <c r="A141" i="153"/>
  <c r="A142" i="153"/>
  <c r="A143" i="153"/>
  <c r="A144" i="153"/>
  <c r="A145" i="153"/>
  <c r="A146" i="153"/>
  <c r="A147" i="153"/>
  <c r="A148" i="153"/>
  <c r="A149" i="153"/>
  <c r="A151" i="153"/>
  <c r="A152" i="153"/>
  <c r="A153" i="153"/>
  <c r="A154" i="153"/>
  <c r="A155" i="153"/>
  <c r="A156" i="153"/>
  <c r="A157" i="153"/>
  <c r="A159" i="153"/>
  <c r="A158" i="153"/>
  <c r="A160" i="153"/>
  <c r="A162" i="153"/>
  <c r="A164" i="153"/>
  <c r="A165" i="153"/>
  <c r="A166" i="153"/>
  <c r="A167" i="153"/>
  <c r="A169" i="153"/>
  <c r="A170" i="153"/>
  <c r="A171" i="153"/>
  <c r="A172" i="153"/>
  <c r="A175" i="153"/>
  <c r="A176" i="153"/>
  <c r="A177" i="153"/>
  <c r="A178" i="153"/>
  <c r="A179" i="153"/>
  <c r="A181" i="153"/>
  <c r="A182" i="153"/>
  <c r="A185" i="153"/>
  <c r="A188" i="153"/>
  <c r="A189" i="153"/>
  <c r="A190" i="153"/>
  <c r="A191" i="153"/>
  <c r="A192" i="153"/>
  <c r="A193" i="153"/>
  <c r="A194" i="153"/>
  <c r="A195" i="153"/>
  <c r="A196" i="153"/>
  <c r="A197" i="153"/>
  <c r="A198" i="153"/>
  <c r="A199" i="153"/>
  <c r="O46" i="32"/>
  <c r="O47" i="32" s="1"/>
  <c r="P47" i="32" s="1"/>
  <c r="Q47" i="32" s="1"/>
  <c r="R47" i="32" s="1"/>
  <c r="AO47" i="32" s="1"/>
  <c r="A103" i="155"/>
  <c r="A104" i="155"/>
  <c r="A105" i="155"/>
  <c r="A106" i="155"/>
  <c r="A107" i="155"/>
  <c r="A108" i="155"/>
  <c r="A109" i="155"/>
  <c r="A110" i="155"/>
  <c r="A112" i="155"/>
  <c r="A113" i="155"/>
  <c r="A114" i="155"/>
  <c r="A116" i="155"/>
  <c r="A117" i="155"/>
  <c r="A118" i="155"/>
  <c r="A119" i="155"/>
  <c r="A120" i="155"/>
  <c r="A121" i="155"/>
  <c r="A122" i="155"/>
  <c r="A123" i="155"/>
  <c r="A124" i="155"/>
  <c r="A125" i="155"/>
  <c r="A126" i="155"/>
  <c r="A127" i="155"/>
  <c r="A128" i="155"/>
  <c r="A129" i="155"/>
  <c r="A134" i="155"/>
  <c r="A130" i="155"/>
  <c r="A131" i="155"/>
  <c r="A132" i="155"/>
  <c r="A133" i="155"/>
  <c r="A135" i="155"/>
  <c r="A136" i="155"/>
  <c r="A137" i="155"/>
  <c r="A138" i="155"/>
  <c r="A139" i="155"/>
  <c r="A140" i="155"/>
  <c r="A141" i="155"/>
  <c r="A142" i="155"/>
  <c r="A143" i="155"/>
  <c r="A144" i="155"/>
  <c r="A145" i="155"/>
  <c r="A146" i="155"/>
  <c r="A147" i="155"/>
  <c r="A148" i="155"/>
  <c r="A149" i="155"/>
  <c r="A151" i="155"/>
  <c r="A152" i="155"/>
  <c r="A153" i="155"/>
  <c r="A154" i="155"/>
  <c r="A155" i="155"/>
  <c r="A156" i="155"/>
  <c r="A157" i="155"/>
  <c r="A159" i="155"/>
  <c r="A158" i="155"/>
  <c r="A160" i="155"/>
  <c r="A162" i="155"/>
  <c r="A164" i="155"/>
  <c r="A165" i="155"/>
  <c r="A166" i="155"/>
  <c r="A167" i="155"/>
  <c r="A169" i="155"/>
  <c r="A170" i="155"/>
  <c r="A171" i="155"/>
  <c r="A172" i="155"/>
  <c r="A175" i="155"/>
  <c r="A176" i="155"/>
  <c r="A177" i="155"/>
  <c r="A178" i="155"/>
  <c r="A179" i="155"/>
  <c r="A181" i="155"/>
  <c r="A182" i="155"/>
  <c r="A186" i="155"/>
  <c r="A188" i="155"/>
  <c r="A189" i="155"/>
  <c r="A190" i="155"/>
  <c r="A191" i="155"/>
  <c r="A192" i="155"/>
  <c r="A193" i="155"/>
  <c r="A194" i="155"/>
  <c r="A195" i="155"/>
  <c r="A196" i="155"/>
  <c r="A197" i="155"/>
  <c r="A198" i="155"/>
  <c r="A199" i="155"/>
  <c r="A202" i="155"/>
  <c r="A203" i="155"/>
  <c r="A204" i="155"/>
  <c r="A205" i="155"/>
  <c r="A206" i="155"/>
  <c r="A207" i="155"/>
  <c r="A208" i="155"/>
  <c r="A209" i="155"/>
  <c r="A211" i="155"/>
  <c r="A212" i="155"/>
  <c r="A213" i="155"/>
  <c r="A215" i="155"/>
  <c r="A216" i="155"/>
  <c r="A217" i="155"/>
  <c r="A218" i="155"/>
  <c r="A219" i="155"/>
  <c r="A220" i="155"/>
  <c r="A221" i="155"/>
  <c r="A222" i="155"/>
  <c r="A223" i="155"/>
  <c r="A224" i="155"/>
  <c r="A225" i="155"/>
  <c r="A226" i="155"/>
  <c r="A227" i="155"/>
  <c r="A228" i="155"/>
  <c r="A233" i="155"/>
  <c r="A229" i="155"/>
  <c r="A230" i="155"/>
  <c r="A231" i="155"/>
  <c r="A232" i="155"/>
  <c r="A234" i="155"/>
  <c r="A235" i="155"/>
  <c r="A236" i="155"/>
  <c r="A237" i="155"/>
  <c r="A238" i="155"/>
  <c r="A239" i="155"/>
  <c r="A240" i="155"/>
  <c r="A241" i="155"/>
  <c r="A242" i="155"/>
  <c r="A243" i="155"/>
  <c r="A244" i="155"/>
  <c r="A245" i="155"/>
  <c r="A246" i="155"/>
  <c r="A247" i="155"/>
  <c r="A248" i="155"/>
  <c r="A250" i="155"/>
  <c r="A251" i="155"/>
  <c r="A252" i="155"/>
  <c r="A253" i="155"/>
  <c r="A254" i="155"/>
  <c r="A255" i="155"/>
  <c r="A256" i="155"/>
  <c r="A258" i="155"/>
  <c r="A257" i="155"/>
  <c r="A259" i="155"/>
  <c r="A261" i="155"/>
  <c r="A263" i="155"/>
  <c r="A264" i="155"/>
  <c r="A265" i="155"/>
  <c r="A266" i="155"/>
  <c r="A268" i="155"/>
  <c r="A269" i="155"/>
  <c r="A270" i="155"/>
  <c r="A271" i="155"/>
  <c r="A274" i="155"/>
  <c r="A275" i="155"/>
  <c r="A276" i="155"/>
  <c r="A277" i="155"/>
  <c r="A278" i="155"/>
  <c r="A280" i="155"/>
  <c r="A281" i="155"/>
  <c r="A285" i="155"/>
  <c r="A287" i="155"/>
  <c r="A288" i="155"/>
  <c r="A289" i="155"/>
  <c r="A290" i="155"/>
  <c r="A291" i="155"/>
  <c r="A292" i="155"/>
  <c r="A293" i="155"/>
  <c r="A294" i="155"/>
  <c r="A295" i="155"/>
  <c r="A296" i="155"/>
  <c r="A297" i="155"/>
  <c r="A298" i="155"/>
  <c r="A4" i="155"/>
  <c r="L50" i="157" s="1"/>
  <c r="A5" i="155"/>
  <c r="I50" i="157" s="1"/>
  <c r="A6" i="155"/>
  <c r="J50" i="157" s="1"/>
  <c r="A7" i="155"/>
  <c r="A8" i="155"/>
  <c r="A9" i="155"/>
  <c r="A10" i="155"/>
  <c r="A11" i="155"/>
  <c r="A13" i="155"/>
  <c r="A14" i="155"/>
  <c r="A15" i="155"/>
  <c r="A17" i="155"/>
  <c r="A18" i="155"/>
  <c r="A19" i="155"/>
  <c r="A20" i="155"/>
  <c r="A21" i="155"/>
  <c r="A22" i="155"/>
  <c r="A23" i="155"/>
  <c r="A24" i="155"/>
  <c r="A25" i="155"/>
  <c r="A26" i="155"/>
  <c r="A27" i="155"/>
  <c r="A28" i="155"/>
  <c r="A29" i="155"/>
  <c r="A30" i="155"/>
  <c r="A35" i="155"/>
  <c r="A31" i="155"/>
  <c r="A32" i="155"/>
  <c r="A33" i="155"/>
  <c r="A34" i="155"/>
  <c r="A36" i="155"/>
  <c r="A37" i="155"/>
  <c r="A38" i="155"/>
  <c r="A39" i="155"/>
  <c r="A40" i="155"/>
  <c r="A41" i="155"/>
  <c r="A42" i="155"/>
  <c r="A43" i="155"/>
  <c r="A44" i="155"/>
  <c r="A45" i="155"/>
  <c r="A46" i="155"/>
  <c r="A47" i="155"/>
  <c r="A48" i="155"/>
  <c r="A49" i="155"/>
  <c r="A50" i="155"/>
  <c r="A52" i="155"/>
  <c r="A53" i="155"/>
  <c r="A54" i="155"/>
  <c r="A55" i="155"/>
  <c r="A56" i="155"/>
  <c r="A57" i="155"/>
  <c r="A58" i="155"/>
  <c r="A60" i="155"/>
  <c r="A59" i="155"/>
  <c r="A61" i="155"/>
  <c r="A63" i="155"/>
  <c r="A65" i="155"/>
  <c r="A66" i="155"/>
  <c r="A67" i="155"/>
  <c r="A68" i="155"/>
  <c r="A70" i="155"/>
  <c r="A71" i="155"/>
  <c r="A72" i="155"/>
  <c r="A73" i="155"/>
  <c r="A76" i="155"/>
  <c r="A77" i="155"/>
  <c r="A78" i="155"/>
  <c r="A79" i="155"/>
  <c r="A80" i="155"/>
  <c r="A82" i="155"/>
  <c r="A83" i="155"/>
  <c r="A87" i="155"/>
  <c r="A89" i="155"/>
  <c r="A90" i="155"/>
  <c r="A91" i="155"/>
  <c r="A92" i="155"/>
  <c r="A93" i="155"/>
  <c r="A94" i="155"/>
  <c r="A95" i="155"/>
  <c r="A96" i="155"/>
  <c r="A97" i="155"/>
  <c r="A98" i="155"/>
  <c r="A99" i="155"/>
  <c r="A100" i="155"/>
  <c r="E89" i="32"/>
  <c r="E90" i="32"/>
  <c r="E91" i="32"/>
  <c r="E92" i="32"/>
  <c r="P46" i="159"/>
  <c r="U46" i="159" s="1"/>
  <c r="O46" i="159"/>
  <c r="O47" i="159" s="1"/>
  <c r="P47" i="159" s="1"/>
  <c r="N46" i="159"/>
  <c r="N47" i="159" s="1"/>
  <c r="AK47" i="159" s="1"/>
  <c r="M46" i="159"/>
  <c r="L46" i="159"/>
  <c r="L47" i="159" s="1"/>
  <c r="BF47" i="159" s="1"/>
  <c r="K46" i="159"/>
  <c r="J46" i="159"/>
  <c r="I46" i="159"/>
  <c r="I47" i="159" s="1"/>
  <c r="BC47" i="159" s="1"/>
  <c r="H46" i="159"/>
  <c r="H47" i="159" s="1"/>
  <c r="BB47" i="159" s="1"/>
  <c r="G46" i="159"/>
  <c r="F46" i="159"/>
  <c r="F47" i="159" s="1"/>
  <c r="AZ47" i="159" s="1"/>
  <c r="F46" i="32"/>
  <c r="F47" i="32" s="1"/>
  <c r="AZ47" i="32" s="1"/>
  <c r="P46" i="32"/>
  <c r="R46" i="32" s="1"/>
  <c r="R55" i="157"/>
  <c r="P45" i="32" s="1"/>
  <c r="R64" i="157"/>
  <c r="N46" i="32"/>
  <c r="N47" i="32" s="1"/>
  <c r="AK47" i="32" s="1"/>
  <c r="G46" i="32"/>
  <c r="G47" i="32" s="1"/>
  <c r="BA47" i="32" s="1"/>
  <c r="H46" i="32"/>
  <c r="H47" i="32" s="1"/>
  <c r="BB47" i="32" s="1"/>
  <c r="I46" i="32"/>
  <c r="I47" i="32" s="1"/>
  <c r="BC47" i="32" s="1"/>
  <c r="J46" i="32"/>
  <c r="J47" i="32" s="1"/>
  <c r="BD47" i="32" s="1"/>
  <c r="K46" i="32"/>
  <c r="K47" i="32" s="1"/>
  <c r="AH47" i="32" s="1"/>
  <c r="M40" i="157"/>
  <c r="K35" i="32" s="1"/>
  <c r="M45" i="157"/>
  <c r="K40" i="32" s="1"/>
  <c r="K42" i="32" s="1"/>
  <c r="BE40" i="32" s="1"/>
  <c r="L46" i="32"/>
  <c r="L47" i="32" s="1"/>
  <c r="BF47" i="32" s="1"/>
  <c r="N40" i="157"/>
  <c r="L35" i="159" s="1"/>
  <c r="M46" i="32"/>
  <c r="M47" i="32"/>
  <c r="AJ47" i="32" s="1"/>
  <c r="O40" i="157"/>
  <c r="M35" i="32" s="1"/>
  <c r="M36" i="32" s="1"/>
  <c r="AJ35" i="32" s="1"/>
  <c r="H40" i="157"/>
  <c r="F35" i="32" s="1"/>
  <c r="F36" i="32" s="1"/>
  <c r="AC35" i="32" s="1"/>
  <c r="E78" i="32"/>
  <c r="I64" i="157"/>
  <c r="J64" i="157"/>
  <c r="K64" i="157"/>
  <c r="L64" i="157"/>
  <c r="M64" i="157"/>
  <c r="N64" i="157"/>
  <c r="O64" i="157"/>
  <c r="P64" i="157"/>
  <c r="Q64" i="157"/>
  <c r="H64" i="157"/>
  <c r="E92" i="159"/>
  <c r="F2" i="159"/>
  <c r="A4" i="154"/>
  <c r="A5" i="154"/>
  <c r="A6" i="154"/>
  <c r="A7" i="154"/>
  <c r="A8" i="154"/>
  <c r="A9" i="154"/>
  <c r="A10" i="154"/>
  <c r="A11" i="154"/>
  <c r="A13" i="154"/>
  <c r="A14" i="154"/>
  <c r="A15" i="154"/>
  <c r="A17" i="154"/>
  <c r="A18" i="154"/>
  <c r="A19" i="154"/>
  <c r="A20" i="154"/>
  <c r="A21" i="154"/>
  <c r="A22" i="154"/>
  <c r="A23" i="154"/>
  <c r="A24" i="154"/>
  <c r="A25" i="154"/>
  <c r="A26" i="154"/>
  <c r="A27" i="154"/>
  <c r="A28" i="154"/>
  <c r="A29" i="154"/>
  <c r="A30" i="154"/>
  <c r="A35" i="154"/>
  <c r="A31" i="154"/>
  <c r="A32" i="154"/>
  <c r="A33" i="154"/>
  <c r="A34" i="154"/>
  <c r="A36" i="154"/>
  <c r="A37" i="154"/>
  <c r="A38" i="154"/>
  <c r="A39" i="154"/>
  <c r="A40" i="154"/>
  <c r="A41" i="154"/>
  <c r="A42" i="154"/>
  <c r="A43" i="154"/>
  <c r="A44" i="154"/>
  <c r="A45" i="154"/>
  <c r="A46" i="154"/>
  <c r="A47" i="154"/>
  <c r="A48" i="154"/>
  <c r="A49" i="154"/>
  <c r="A50" i="154"/>
  <c r="A52" i="154"/>
  <c r="A53" i="154"/>
  <c r="A54" i="154"/>
  <c r="A55" i="154"/>
  <c r="A56" i="154"/>
  <c r="A57" i="154"/>
  <c r="A58" i="154"/>
  <c r="A60" i="154"/>
  <c r="A59" i="154"/>
  <c r="A61" i="154"/>
  <c r="A63" i="154"/>
  <c r="A65" i="154"/>
  <c r="A66" i="154"/>
  <c r="A67" i="154"/>
  <c r="A68" i="154"/>
  <c r="A70" i="154"/>
  <c r="A71" i="154"/>
  <c r="A72" i="154"/>
  <c r="A73" i="154"/>
  <c r="A76" i="154"/>
  <c r="A77" i="154"/>
  <c r="A78" i="154"/>
  <c r="A79" i="154"/>
  <c r="A80" i="154"/>
  <c r="A82" i="154"/>
  <c r="A83" i="154"/>
  <c r="A87" i="154"/>
  <c r="A89" i="154"/>
  <c r="A90" i="154"/>
  <c r="A91" i="154"/>
  <c r="A92" i="154"/>
  <c r="A93" i="154"/>
  <c r="A94" i="154"/>
  <c r="A95" i="154"/>
  <c r="A96" i="154"/>
  <c r="A97" i="154"/>
  <c r="A98" i="154"/>
  <c r="A99" i="154"/>
  <c r="A100" i="154"/>
  <c r="A103" i="154"/>
  <c r="A104" i="154"/>
  <c r="A105" i="154"/>
  <c r="A106" i="154"/>
  <c r="A107" i="154"/>
  <c r="A108" i="154"/>
  <c r="A109" i="154"/>
  <c r="A110" i="154"/>
  <c r="A112" i="154"/>
  <c r="A113" i="154"/>
  <c r="A114" i="154"/>
  <c r="A116" i="154"/>
  <c r="A117" i="154"/>
  <c r="A118" i="154"/>
  <c r="A119" i="154"/>
  <c r="A120" i="154"/>
  <c r="A121" i="154"/>
  <c r="A122" i="154"/>
  <c r="A123" i="154"/>
  <c r="A124" i="154"/>
  <c r="A125" i="154"/>
  <c r="A126" i="154"/>
  <c r="A127" i="154"/>
  <c r="A128" i="154"/>
  <c r="A129" i="154"/>
  <c r="A134" i="154"/>
  <c r="A130" i="154"/>
  <c r="A131" i="154"/>
  <c r="A132" i="154"/>
  <c r="A133" i="154"/>
  <c r="A135" i="154"/>
  <c r="A136" i="154"/>
  <c r="A137" i="154"/>
  <c r="A138" i="154"/>
  <c r="A139" i="154"/>
  <c r="A140" i="154"/>
  <c r="A141" i="154"/>
  <c r="A142" i="154"/>
  <c r="A143" i="154"/>
  <c r="A144" i="154"/>
  <c r="A145" i="154"/>
  <c r="A146" i="154"/>
  <c r="A147" i="154"/>
  <c r="A148" i="154"/>
  <c r="A149" i="154"/>
  <c r="A151" i="154"/>
  <c r="A152" i="154"/>
  <c r="A153" i="154"/>
  <c r="A154" i="154"/>
  <c r="A155" i="154"/>
  <c r="A156" i="154"/>
  <c r="A157" i="154"/>
  <c r="A159" i="154"/>
  <c r="A158" i="154"/>
  <c r="A160" i="154"/>
  <c r="A162" i="154"/>
  <c r="A164" i="154"/>
  <c r="A165" i="154"/>
  <c r="A166" i="154"/>
  <c r="A167" i="154"/>
  <c r="A169" i="154"/>
  <c r="A170" i="154"/>
  <c r="A171" i="154"/>
  <c r="A172" i="154"/>
  <c r="A175" i="154"/>
  <c r="A176" i="154"/>
  <c r="A177" i="154"/>
  <c r="A178" i="154"/>
  <c r="A179" i="154"/>
  <c r="A181" i="154"/>
  <c r="A182" i="154"/>
  <c r="A186" i="154"/>
  <c r="A188" i="154"/>
  <c r="A189" i="154"/>
  <c r="A190" i="154"/>
  <c r="A191" i="154"/>
  <c r="A192" i="154"/>
  <c r="A193" i="154"/>
  <c r="A194" i="154"/>
  <c r="A195" i="154"/>
  <c r="A196" i="154"/>
  <c r="A197" i="154"/>
  <c r="A198" i="154"/>
  <c r="A199" i="154"/>
  <c r="E90" i="159"/>
  <c r="E91" i="159"/>
  <c r="E78" i="159"/>
  <c r="M47" i="159"/>
  <c r="AJ47" i="159" s="1"/>
  <c r="K47" i="159"/>
  <c r="AH47" i="159" s="1"/>
  <c r="J47" i="159"/>
  <c r="BD47" i="159" s="1"/>
  <c r="G47" i="159"/>
  <c r="BA47" i="159" s="1"/>
  <c r="E100" i="160"/>
  <c r="E99" i="160"/>
  <c r="E98" i="160"/>
  <c r="E97" i="160"/>
  <c r="E96" i="160"/>
  <c r="E34" i="160"/>
  <c r="E33" i="160"/>
  <c r="E32" i="160"/>
  <c r="G6" i="34"/>
  <c r="G4" i="160" s="1"/>
  <c r="F101" i="159"/>
  <c r="F100" i="159"/>
  <c r="F99" i="159"/>
  <c r="F92" i="159"/>
  <c r="F91" i="159"/>
  <c r="F90" i="159"/>
  <c r="F89" i="159"/>
  <c r="E89" i="159"/>
  <c r="E88" i="159" s="1"/>
  <c r="F88" i="159"/>
  <c r="F79" i="159"/>
  <c r="A100" i="158"/>
  <c r="A99" i="158"/>
  <c r="A98" i="158"/>
  <c r="A97" i="158"/>
  <c r="A96" i="158"/>
  <c r="A95" i="158"/>
  <c r="A94" i="158"/>
  <c r="A93" i="158"/>
  <c r="A92" i="158"/>
  <c r="A91" i="158"/>
  <c r="A90" i="158"/>
  <c r="A89" i="158"/>
  <c r="A87" i="158"/>
  <c r="A83" i="158"/>
  <c r="A82" i="158"/>
  <c r="A80" i="158"/>
  <c r="A79" i="158"/>
  <c r="A78" i="158"/>
  <c r="A77" i="158"/>
  <c r="A76" i="158"/>
  <c r="A73" i="158"/>
  <c r="A72" i="158"/>
  <c r="A71" i="158"/>
  <c r="A70" i="158"/>
  <c r="A67" i="158"/>
  <c r="A68" i="158"/>
  <c r="A66" i="158"/>
  <c r="A65" i="158"/>
  <c r="A63" i="158"/>
  <c r="A61" i="158"/>
  <c r="A59" i="158"/>
  <c r="A60" i="158"/>
  <c r="A58" i="158"/>
  <c r="A57" i="158"/>
  <c r="A56" i="158"/>
  <c r="A55" i="158"/>
  <c r="A54" i="158"/>
  <c r="A53" i="158"/>
  <c r="A52" i="158"/>
  <c r="A50" i="158"/>
  <c r="A49" i="158"/>
  <c r="A48" i="158"/>
  <c r="A47" i="158"/>
  <c r="A46" i="158"/>
  <c r="A45" i="158"/>
  <c r="A44" i="158"/>
  <c r="A43" i="158"/>
  <c r="A42" i="158"/>
  <c r="A41" i="158"/>
  <c r="A40" i="158"/>
  <c r="A39" i="158"/>
  <c r="A38" i="158"/>
  <c r="A37" i="158"/>
  <c r="A36" i="158"/>
  <c r="A34" i="158"/>
  <c r="A33" i="158"/>
  <c r="A32" i="158"/>
  <c r="A31" i="158"/>
  <c r="A35" i="158"/>
  <c r="A30" i="158"/>
  <c r="A28" i="158"/>
  <c r="A29" i="158"/>
  <c r="A27" i="158"/>
  <c r="A26" i="158"/>
  <c r="A25" i="158"/>
  <c r="A24" i="158"/>
  <c r="A23" i="158"/>
  <c r="A22" i="158"/>
  <c r="A21" i="158"/>
  <c r="A20" i="158"/>
  <c r="A19" i="158"/>
  <c r="A18" i="158"/>
  <c r="A17" i="158"/>
  <c r="A15" i="158"/>
  <c r="A14" i="158"/>
  <c r="A13" i="158"/>
  <c r="A11" i="158"/>
  <c r="A10" i="158"/>
  <c r="A9" i="158"/>
  <c r="A8" i="158"/>
  <c r="A7" i="158"/>
  <c r="A6" i="158"/>
  <c r="A5" i="158"/>
  <c r="A4" i="158"/>
  <c r="K50" i="157"/>
  <c r="E100" i="3"/>
  <c r="E99" i="3"/>
  <c r="E98" i="3"/>
  <c r="E97" i="3"/>
  <c r="E96" i="3"/>
  <c r="E34" i="3"/>
  <c r="E33" i="3"/>
  <c r="E32" i="3"/>
  <c r="AD15" i="157"/>
  <c r="AD14" i="157"/>
  <c r="AD13" i="157"/>
  <c r="AD12" i="157"/>
  <c r="G8" i="110"/>
  <c r="G14" i="110"/>
  <c r="G21" i="110" s="1"/>
  <c r="G24" i="110" s="1"/>
  <c r="H8" i="110"/>
  <c r="H14" i="110"/>
  <c r="H20" i="110"/>
  <c r="I8" i="110"/>
  <c r="I14" i="110"/>
  <c r="J8" i="110"/>
  <c r="J27" i="110" s="1"/>
  <c r="J57" i="110" s="1"/>
  <c r="J14" i="110"/>
  <c r="J20" i="110"/>
  <c r="J23" i="110"/>
  <c r="K8" i="110"/>
  <c r="K14" i="110"/>
  <c r="K21" i="110" s="1"/>
  <c r="K27" i="110" s="1"/>
  <c r="K57" i="110" s="1"/>
  <c r="L8" i="110"/>
  <c r="L14" i="110"/>
  <c r="L20" i="110"/>
  <c r="L23" i="110"/>
  <c r="L34" i="110" s="1"/>
  <c r="M8" i="110"/>
  <c r="M14" i="110"/>
  <c r="M20" i="110"/>
  <c r="N8" i="110"/>
  <c r="N14" i="110"/>
  <c r="N21" i="110" s="1"/>
  <c r="N24" i="110" s="1"/>
  <c r="N56" i="110" s="1"/>
  <c r="N20" i="110"/>
  <c r="F8" i="110"/>
  <c r="F27" i="110" s="1"/>
  <c r="F57" i="110" s="1"/>
  <c r="F14" i="110"/>
  <c r="F20" i="110"/>
  <c r="H26" i="110"/>
  <c r="L26" i="110"/>
  <c r="N26" i="110"/>
  <c r="N50" i="110" s="1"/>
  <c r="N51" i="110"/>
  <c r="G56" i="110"/>
  <c r="G59" i="110" s="1"/>
  <c r="H21" i="110"/>
  <c r="J21" i="110"/>
  <c r="J24" i="110"/>
  <c r="J56" i="110" s="1"/>
  <c r="L21" i="110"/>
  <c r="M21" i="110"/>
  <c r="M27" i="110" s="1"/>
  <c r="M57" i="110" s="1"/>
  <c r="M24" i="110"/>
  <c r="M56" i="110" s="1"/>
  <c r="M60" i="110" s="1"/>
  <c r="G27" i="110"/>
  <c r="G57" i="110" s="1"/>
  <c r="M59" i="110"/>
  <c r="G60" i="110"/>
  <c r="F21" i="110"/>
  <c r="F38" i="34"/>
  <c r="F25" i="34"/>
  <c r="F101" i="32"/>
  <c r="F100" i="32"/>
  <c r="F99" i="32"/>
  <c r="F92" i="32"/>
  <c r="F91" i="32"/>
  <c r="F90" i="32"/>
  <c r="F89" i="32"/>
  <c r="F88" i="32"/>
  <c r="E88" i="32"/>
  <c r="F79" i="32"/>
  <c r="B32" i="145"/>
  <c r="E19" i="42"/>
  <c r="B35" i="145"/>
  <c r="D18" i="36"/>
  <c r="AD47" i="157"/>
  <c r="D34" i="157"/>
  <c r="Q89" i="34"/>
  <c r="Q111" i="34"/>
  <c r="F49" i="157"/>
  <c r="Q115" i="34"/>
  <c r="D38" i="157"/>
  <c r="AB24" i="157"/>
  <c r="G46" i="157"/>
  <c r="D39" i="36"/>
  <c r="D12" i="157"/>
  <c r="G24" i="157"/>
  <c r="AG30" i="157"/>
  <c r="B24" i="31"/>
  <c r="P32" i="34"/>
  <c r="D55" i="34"/>
  <c r="Q21" i="34"/>
  <c r="B11" i="145"/>
  <c r="D48" i="157"/>
  <c r="AA47" i="157"/>
  <c r="F27" i="34"/>
  <c r="AC42" i="157"/>
  <c r="G40" i="157"/>
  <c r="AB47" i="157"/>
  <c r="B18" i="145"/>
  <c r="F35" i="34"/>
  <c r="D34" i="36"/>
  <c r="AA36" i="34"/>
  <c r="E25" i="42"/>
  <c r="E56" i="42"/>
  <c r="E17" i="42"/>
  <c r="Q69" i="34"/>
  <c r="Q78" i="34"/>
  <c r="B28" i="36"/>
  <c r="AC47" i="157"/>
  <c r="E31" i="42"/>
  <c r="P60" i="34"/>
  <c r="Z37" i="157"/>
  <c r="B10" i="145"/>
  <c r="G64" i="157"/>
  <c r="AF42" i="157"/>
  <c r="E6" i="42"/>
  <c r="D61" i="157"/>
  <c r="AA37" i="34"/>
  <c r="AG42" i="157"/>
  <c r="D25" i="36"/>
  <c r="G45" i="157"/>
  <c r="D36" i="36"/>
  <c r="E42" i="42"/>
  <c r="D29" i="36"/>
  <c r="E44" i="42"/>
  <c r="B8" i="145"/>
  <c r="Z42" i="157"/>
  <c r="D30" i="36"/>
  <c r="H7" i="157"/>
  <c r="B17" i="31"/>
  <c r="B25" i="145"/>
  <c r="T35" i="157"/>
  <c r="AD30" i="157"/>
  <c r="U36" i="157"/>
  <c r="AB66" i="157"/>
  <c r="F34" i="157"/>
  <c r="E52" i="42"/>
  <c r="D69" i="157"/>
  <c r="D10" i="36"/>
  <c r="E4" i="42"/>
  <c r="D39" i="157"/>
  <c r="P15" i="34"/>
  <c r="G20" i="157"/>
  <c r="B9" i="36"/>
  <c r="G35" i="157"/>
  <c r="F23" i="157"/>
  <c r="AD24" i="157"/>
  <c r="P95" i="34"/>
  <c r="AA30" i="157"/>
  <c r="AB67" i="157"/>
  <c r="Q85" i="34"/>
  <c r="G63" i="157"/>
  <c r="Q73" i="34"/>
  <c r="H17" i="157"/>
  <c r="B7" i="31"/>
  <c r="G15" i="157"/>
  <c r="Q77" i="34"/>
  <c r="D11" i="36"/>
  <c r="D13" i="157"/>
  <c r="P31" i="34"/>
  <c r="AB30" i="157"/>
  <c r="E7" i="34"/>
  <c r="B9" i="145"/>
  <c r="E21" i="42"/>
  <c r="D31" i="36"/>
  <c r="F44" i="157"/>
  <c r="Q17" i="34"/>
  <c r="Q86" i="34"/>
  <c r="B13" i="145"/>
  <c r="D40" i="36"/>
  <c r="U41" i="157"/>
  <c r="D24" i="36"/>
  <c r="Q114" i="34"/>
  <c r="AA37" i="157"/>
  <c r="P27" i="34"/>
  <c r="U46" i="157"/>
  <c r="AE47" i="157"/>
  <c r="B12" i="145"/>
  <c r="P30" i="34"/>
  <c r="G55" i="157"/>
  <c r="AH37" i="157"/>
  <c r="B34" i="145"/>
  <c r="Q23" i="34"/>
  <c r="AF47" i="157"/>
  <c r="B24" i="145"/>
  <c r="F6" i="34"/>
  <c r="U31" i="157"/>
  <c r="E43" i="42"/>
  <c r="F28" i="34"/>
  <c r="D11" i="34"/>
  <c r="AI30" i="157"/>
  <c r="D17" i="36"/>
  <c r="AD37" i="157"/>
  <c r="AH42" i="157"/>
  <c r="AJ47" i="157"/>
  <c r="D23" i="36"/>
  <c r="AJ42" i="157"/>
  <c r="AI42" i="157"/>
  <c r="E33" i="42"/>
  <c r="AB37" i="157"/>
  <c r="F18" i="34"/>
  <c r="B16" i="36"/>
  <c r="D53" i="157"/>
  <c r="D44" i="157"/>
  <c r="E26" i="42"/>
  <c r="D28" i="157"/>
  <c r="E30" i="42"/>
  <c r="D33" i="157"/>
  <c r="D29" i="157"/>
  <c r="E81" i="34"/>
  <c r="Q24" i="34"/>
  <c r="E58" i="42"/>
  <c r="T45" i="157"/>
  <c r="F36" i="34"/>
  <c r="E8" i="42"/>
  <c r="Q110" i="34"/>
  <c r="AJ30" i="157"/>
  <c r="E28" i="42"/>
  <c r="G50" i="157"/>
  <c r="B7" i="36"/>
  <c r="F34" i="34"/>
  <c r="D11" i="157"/>
  <c r="D14" i="157"/>
  <c r="E47" i="42"/>
  <c r="AJ37" i="157"/>
  <c r="AH24" i="157"/>
  <c r="D54" i="157"/>
  <c r="Q119" i="34"/>
  <c r="AH30" i="157"/>
  <c r="B22" i="36"/>
  <c r="E107" i="34"/>
  <c r="AF30" i="157"/>
  <c r="D13" i="36"/>
  <c r="D28" i="36"/>
  <c r="Z30" i="157"/>
  <c r="G18" i="34"/>
  <c r="AE42" i="157"/>
  <c r="B57" i="31"/>
  <c r="O11" i="34"/>
  <c r="C26" i="31"/>
  <c r="AG24" i="157"/>
  <c r="E60" i="34"/>
  <c r="F40" i="34"/>
  <c r="AG47" i="157"/>
  <c r="Z24" i="157"/>
  <c r="E23" i="42"/>
  <c r="E13" i="42"/>
  <c r="B23" i="31"/>
  <c r="AE24" i="157"/>
  <c r="E2" i="42"/>
  <c r="Q118" i="34"/>
  <c r="I18" i="34"/>
  <c r="AC37" i="157"/>
  <c r="D19" i="36"/>
  <c r="P96" i="34"/>
  <c r="D103" i="34"/>
  <c r="Q90" i="34"/>
  <c r="D9" i="36"/>
  <c r="D35" i="36"/>
  <c r="P107" i="34"/>
  <c r="F22" i="34"/>
  <c r="G26" i="157"/>
  <c r="E37" i="42"/>
  <c r="B3" i="43"/>
  <c r="AC30" i="157"/>
  <c r="Q74" i="34"/>
  <c r="B3" i="36"/>
  <c r="Z47" i="157"/>
  <c r="T30" i="157"/>
  <c r="D10" i="157"/>
  <c r="AF24" i="157"/>
  <c r="D22" i="36"/>
  <c r="E2" i="34"/>
  <c r="AI24" i="157"/>
  <c r="Z19" i="157"/>
  <c r="G30" i="157"/>
  <c r="B34" i="36"/>
  <c r="F29" i="34"/>
  <c r="G51" i="157"/>
  <c r="AE30" i="157"/>
  <c r="P26" i="34"/>
  <c r="E45" i="42"/>
  <c r="B39" i="36"/>
  <c r="F29" i="157"/>
  <c r="E32" i="42"/>
  <c r="D23" i="157"/>
  <c r="F21" i="34"/>
  <c r="P65" i="34"/>
  <c r="AI37" i="157"/>
  <c r="D41" i="36"/>
  <c r="E48" i="42"/>
  <c r="D16" i="36"/>
  <c r="D49" i="157"/>
  <c r="AI47" i="157"/>
  <c r="E16" i="34"/>
  <c r="B27" i="145"/>
  <c r="AJ24" i="157"/>
  <c r="F32" i="34"/>
  <c r="F54" i="157"/>
  <c r="B17" i="145"/>
  <c r="F39" i="157"/>
  <c r="B9" i="31"/>
  <c r="AA42" i="157"/>
  <c r="E50" i="42"/>
  <c r="F20" i="34"/>
  <c r="Q81" i="34"/>
  <c r="T40" i="157"/>
  <c r="D12" i="36"/>
  <c r="E35" i="42"/>
  <c r="E11" i="42"/>
  <c r="P29" i="34"/>
  <c r="E57" i="42"/>
  <c r="AD42" i="157"/>
  <c r="E59" i="34"/>
  <c r="D43" i="157"/>
  <c r="B22" i="145"/>
  <c r="Q70" i="34"/>
  <c r="B33" i="145"/>
  <c r="G41" i="157"/>
  <c r="B20" i="145"/>
  <c r="E38" i="42"/>
  <c r="AH47" i="157"/>
  <c r="E40" i="42"/>
  <c r="P33" i="34"/>
  <c r="B6" i="36"/>
  <c r="AG37" i="157"/>
  <c r="D22" i="157"/>
  <c r="G56" i="157"/>
  <c r="E46" i="42"/>
  <c r="AA35" i="34"/>
  <c r="P59" i="34"/>
  <c r="AF37" i="157"/>
  <c r="AC24" i="157"/>
  <c r="AE37" i="157"/>
  <c r="G36" i="157"/>
  <c r="Q20" i="34"/>
  <c r="AA24" i="157"/>
  <c r="AB42" i="157"/>
  <c r="G31" i="157"/>
  <c r="Q82" i="34"/>
  <c r="X46" i="32" l="1"/>
  <c r="R46" i="159"/>
  <c r="S46" i="159"/>
  <c r="T46" i="32"/>
  <c r="W46" i="159"/>
  <c r="Z46" i="159"/>
  <c r="Q46" i="32"/>
  <c r="Z46" i="32"/>
  <c r="Y46" i="32"/>
  <c r="S46" i="32"/>
  <c r="T46" i="159"/>
  <c r="V46" i="159"/>
  <c r="H50" i="157"/>
  <c r="O50" i="157"/>
  <c r="N50" i="157"/>
  <c r="M50" i="157"/>
  <c r="Q49" i="157"/>
  <c r="M54" i="157"/>
  <c r="M55" i="157" s="1"/>
  <c r="K45" i="159" s="1"/>
  <c r="J54" i="157"/>
  <c r="J55" i="157" s="1"/>
  <c r="P30" i="157"/>
  <c r="N22" i="32" s="1"/>
  <c r="U8" i="110" s="1"/>
  <c r="M30" i="157"/>
  <c r="K22" i="32" s="1"/>
  <c r="K23" i="32" s="1"/>
  <c r="BE22" i="32" s="1"/>
  <c r="N30" i="157"/>
  <c r="L22" i="32" s="1"/>
  <c r="L24" i="32" s="1"/>
  <c r="AI22" i="32" s="1"/>
  <c r="H30" i="157"/>
  <c r="F22" i="32" s="1"/>
  <c r="F24" i="32" s="1"/>
  <c r="AC22" i="32" s="1"/>
  <c r="F4" i="42"/>
  <c r="G4" i="3"/>
  <c r="U19" i="32"/>
  <c r="V19" i="32"/>
  <c r="P19" i="32"/>
  <c r="X19" i="32"/>
  <c r="O19" i="32"/>
  <c r="AL19" i="32" s="1"/>
  <c r="T19" i="32"/>
  <c r="BN19" i="32" s="1"/>
  <c r="W19" i="32"/>
  <c r="BQ19" i="32" s="1"/>
  <c r="Q19" i="32"/>
  <c r="X14" i="110" s="1"/>
  <c r="Y19" i="32"/>
  <c r="S19" i="32"/>
  <c r="R19" i="32"/>
  <c r="Z19" i="32"/>
  <c r="BG47" i="159"/>
  <c r="J30" i="157"/>
  <c r="H22" i="32" s="1"/>
  <c r="H23" i="32" s="1"/>
  <c r="BB22" i="32" s="1"/>
  <c r="I30" i="157"/>
  <c r="G22" i="32" s="1"/>
  <c r="G23" i="32" s="1"/>
  <c r="BA22" i="32" s="1"/>
  <c r="R29" i="157"/>
  <c r="O30" i="157"/>
  <c r="M22" i="32" s="1"/>
  <c r="M23" i="32" s="1"/>
  <c r="BG22" i="32" s="1"/>
  <c r="L30" i="157"/>
  <c r="J22" i="32" s="1"/>
  <c r="J23" i="32" s="1"/>
  <c r="BD22" i="32" s="1"/>
  <c r="K30" i="157"/>
  <c r="I22" i="32" s="1"/>
  <c r="I23" i="32" s="1"/>
  <c r="BC22" i="32" s="1"/>
  <c r="Q30" i="157"/>
  <c r="O22" i="32" s="1"/>
  <c r="N45" i="157"/>
  <c r="L40" i="32" s="1"/>
  <c r="L42" i="32" s="1"/>
  <c r="BF40" i="32" s="1"/>
  <c r="H45" i="157"/>
  <c r="F40" i="32" s="1"/>
  <c r="F41" i="32" s="1"/>
  <c r="AC40" i="32" s="1"/>
  <c r="N54" i="157"/>
  <c r="N55" i="157" s="1"/>
  <c r="L45" i="159" s="1"/>
  <c r="K54" i="157"/>
  <c r="K55" i="157" s="1"/>
  <c r="I45" i="159" s="1"/>
  <c r="O54" i="157"/>
  <c r="O55" i="157" s="1"/>
  <c r="M45" i="159" s="1"/>
  <c r="P54" i="157"/>
  <c r="P55" i="157" s="1"/>
  <c r="N45" i="159" s="1"/>
  <c r="Q54" i="157"/>
  <c r="Q55" i="157" s="1"/>
  <c r="O45" i="159" s="1"/>
  <c r="W45" i="159" s="1"/>
  <c r="L54" i="157"/>
  <c r="L55" i="157" s="1"/>
  <c r="J45" i="159" s="1"/>
  <c r="H54" i="157"/>
  <c r="H55" i="157" s="1"/>
  <c r="F45" i="159" s="1"/>
  <c r="I54" i="157"/>
  <c r="I55" i="157" s="1"/>
  <c r="G45" i="159" s="1"/>
  <c r="BE47" i="159"/>
  <c r="AI47" i="159"/>
  <c r="U52" i="159"/>
  <c r="AM47" i="32"/>
  <c r="AC47" i="159"/>
  <c r="AD47" i="159"/>
  <c r="AG47" i="159"/>
  <c r="AF47" i="32"/>
  <c r="AE47" i="32"/>
  <c r="AL47" i="32"/>
  <c r="AL47" i="159"/>
  <c r="U52" i="32"/>
  <c r="AE47" i="159"/>
  <c r="AN47" i="32"/>
  <c r="AD47" i="32"/>
  <c r="BJ47" i="32"/>
  <c r="BI47" i="32"/>
  <c r="BH47" i="32"/>
  <c r="K41" i="32"/>
  <c r="AH40" i="32" s="1"/>
  <c r="F35" i="159"/>
  <c r="F37" i="159" s="1"/>
  <c r="AZ35" i="159" s="1"/>
  <c r="K35" i="159"/>
  <c r="L35" i="157"/>
  <c r="J30" i="32" s="1"/>
  <c r="J31" i="32" s="1"/>
  <c r="AG30" i="32" s="1"/>
  <c r="K35" i="157"/>
  <c r="I30" i="32" s="1"/>
  <c r="I31" i="32" s="1"/>
  <c r="AF30" i="32" s="1"/>
  <c r="N35" i="157"/>
  <c r="L30" i="32" s="1"/>
  <c r="L32" i="32" s="1"/>
  <c r="BF30" i="32" s="1"/>
  <c r="P35" i="157"/>
  <c r="N30" i="32" s="1"/>
  <c r="N32" i="32" s="1"/>
  <c r="BH30" i="32" s="1"/>
  <c r="O35" i="157"/>
  <c r="M30" i="32" s="1"/>
  <c r="T17" i="110" s="1"/>
  <c r="I35" i="157"/>
  <c r="G30" i="32" s="1"/>
  <c r="G32" i="32" s="1"/>
  <c r="BA30" i="32" s="1"/>
  <c r="M35" i="157"/>
  <c r="K30" i="32" s="1"/>
  <c r="K32" i="32" s="1"/>
  <c r="BE30" i="32" s="1"/>
  <c r="H35" i="157"/>
  <c r="F30" i="32" s="1"/>
  <c r="F31" i="32" s="1"/>
  <c r="AC30" i="32" s="1"/>
  <c r="M37" i="32"/>
  <c r="BG35" i="32" s="1"/>
  <c r="L35" i="32"/>
  <c r="L36" i="32" s="1"/>
  <c r="AI35" i="32" s="1"/>
  <c r="F4" i="110"/>
  <c r="K45" i="32"/>
  <c r="BH47" i="159"/>
  <c r="AI47" i="32"/>
  <c r="BG47" i="32"/>
  <c r="H45" i="32"/>
  <c r="H45" i="159"/>
  <c r="M42" i="32"/>
  <c r="BG40" i="32" s="1"/>
  <c r="M41" i="32"/>
  <c r="AJ40" i="32" s="1"/>
  <c r="R8" i="110"/>
  <c r="K8" i="42"/>
  <c r="K24" i="32"/>
  <c r="AH22" i="32" s="1"/>
  <c r="L37" i="159"/>
  <c r="BF35" i="159" s="1"/>
  <c r="L36" i="159"/>
  <c r="AI35" i="159" s="1"/>
  <c r="Q47" i="159"/>
  <c r="BJ47" i="159"/>
  <c r="AM47" i="159"/>
  <c r="AF47" i="159"/>
  <c r="K22" i="159"/>
  <c r="AG47" i="32"/>
  <c r="BE47" i="32"/>
  <c r="BK47" i="32"/>
  <c r="K40" i="159"/>
  <c r="AC47" i="32"/>
  <c r="BI47" i="159"/>
  <c r="M40" i="159"/>
  <c r="M35" i="159"/>
  <c r="G19" i="32"/>
  <c r="BA19" i="32" s="1"/>
  <c r="L19" i="32"/>
  <c r="L13" i="42" s="1"/>
  <c r="Q19" i="159"/>
  <c r="AN19" i="159" s="1"/>
  <c r="O19" i="159"/>
  <c r="BI19" i="159" s="1"/>
  <c r="V19" i="159"/>
  <c r="BP19" i="159" s="1"/>
  <c r="F19" i="32"/>
  <c r="F13" i="42" s="1"/>
  <c r="N19" i="32"/>
  <c r="H19" i="32"/>
  <c r="H13" i="42" s="1"/>
  <c r="P19" i="159"/>
  <c r="BJ19" i="159" s="1"/>
  <c r="M19" i="32"/>
  <c r="M13" i="42" s="1"/>
  <c r="Z14" i="110"/>
  <c r="W19" i="159"/>
  <c r="BQ19" i="159" s="1"/>
  <c r="BR19" i="32"/>
  <c r="X19" i="159"/>
  <c r="BR19" i="159" s="1"/>
  <c r="S19" i="159"/>
  <c r="BM19" i="159" s="1"/>
  <c r="Z19" i="159"/>
  <c r="BT19" i="159" s="1"/>
  <c r="U13" i="42"/>
  <c r="J19" i="32"/>
  <c r="BD19" i="32" s="1"/>
  <c r="K19" i="32"/>
  <c r="T19" i="159"/>
  <c r="BN19" i="159" s="1"/>
  <c r="BP19" i="32"/>
  <c r="R19" i="159"/>
  <c r="BL19" i="159" s="1"/>
  <c r="Y19" i="159"/>
  <c r="BS19" i="159" s="1"/>
  <c r="BL19" i="32"/>
  <c r="U19" i="159"/>
  <c r="BO19" i="159" s="1"/>
  <c r="Q35" i="157"/>
  <c r="O30" i="32" s="1"/>
  <c r="V17" i="110" s="1"/>
  <c r="I19" i="32"/>
  <c r="BC19" i="32" s="1"/>
  <c r="AA32" i="157"/>
  <c r="AI32" i="157"/>
  <c r="AC32" i="157"/>
  <c r="AE32" i="157"/>
  <c r="AG32" i="157"/>
  <c r="AB32" i="157"/>
  <c r="AF32" i="157"/>
  <c r="AJ32" i="157"/>
  <c r="Z32" i="157"/>
  <c r="AD32" i="157"/>
  <c r="AH32" i="157"/>
  <c r="H50" i="110"/>
  <c r="H73" i="110" s="1"/>
  <c r="H82" i="110" s="1"/>
  <c r="H51" i="110"/>
  <c r="N60" i="110"/>
  <c r="N59" i="110"/>
  <c r="L45" i="110"/>
  <c r="L46" i="110"/>
  <c r="I20" i="110"/>
  <c r="I21" i="110"/>
  <c r="F24" i="110"/>
  <c r="F56" i="110" s="1"/>
  <c r="F23" i="110"/>
  <c r="F26" i="110"/>
  <c r="J59" i="110"/>
  <c r="J60" i="110"/>
  <c r="J34" i="110"/>
  <c r="J33" i="110"/>
  <c r="H24" i="110"/>
  <c r="H56" i="110" s="1"/>
  <c r="H27" i="110"/>
  <c r="H57" i="110" s="1"/>
  <c r="H23" i="110"/>
  <c r="N27" i="110"/>
  <c r="N57" i="110" s="1"/>
  <c r="N73" i="110" s="1"/>
  <c r="N82" i="110" s="1"/>
  <c r="L33" i="110"/>
  <c r="K20" i="110"/>
  <c r="K26" i="110" s="1"/>
  <c r="L50" i="110"/>
  <c r="L51" i="110"/>
  <c r="K23" i="110"/>
  <c r="G20" i="110"/>
  <c r="G26" i="110" s="1"/>
  <c r="M26" i="110"/>
  <c r="M23" i="110"/>
  <c r="J26" i="110"/>
  <c r="N23" i="110"/>
  <c r="L24" i="110"/>
  <c r="L27" i="110"/>
  <c r="L57" i="110" s="1"/>
  <c r="G23" i="110"/>
  <c r="K24" i="110"/>
  <c r="K56" i="110" s="1"/>
  <c r="K36" i="32"/>
  <c r="AH35" i="32" s="1"/>
  <c r="K37" i="32"/>
  <c r="BE35" i="32" s="1"/>
  <c r="F37" i="32"/>
  <c r="AZ35" i="32" s="1"/>
  <c r="P40" i="157"/>
  <c r="K40" i="157"/>
  <c r="J40" i="157"/>
  <c r="L40" i="157"/>
  <c r="I40" i="157"/>
  <c r="Q45" i="157"/>
  <c r="J45" i="157"/>
  <c r="R44" i="157"/>
  <c r="I45" i="157"/>
  <c r="P45" i="157"/>
  <c r="K45" i="157"/>
  <c r="L45" i="157"/>
  <c r="P50" i="157"/>
  <c r="Q50" i="157" s="1"/>
  <c r="R49" i="157"/>
  <c r="S47" i="32"/>
  <c r="BL47" i="32"/>
  <c r="U46" i="32"/>
  <c r="V46" i="32"/>
  <c r="R39" i="157"/>
  <c r="W46" i="32"/>
  <c r="Y46" i="159"/>
  <c r="Q46" i="159"/>
  <c r="X46" i="159"/>
  <c r="R34" i="157"/>
  <c r="Q40" i="157"/>
  <c r="J35" i="157"/>
  <c r="M45" i="32" l="1"/>
  <c r="N22" i="159"/>
  <c r="N23" i="159" s="1"/>
  <c r="BH22" i="159" s="1"/>
  <c r="N24" i="32"/>
  <c r="AK22" i="32" s="1"/>
  <c r="N23" i="32"/>
  <c r="BH22" i="32" s="1"/>
  <c r="N8" i="42"/>
  <c r="F8" i="42"/>
  <c r="F23" i="32"/>
  <c r="AZ22" i="32" s="1"/>
  <c r="F22" i="159"/>
  <c r="F23" i="159" s="1"/>
  <c r="AZ22" i="159" s="1"/>
  <c r="S8" i="110"/>
  <c r="L22" i="159"/>
  <c r="L23" i="159" s="1"/>
  <c r="BF22" i="159" s="1"/>
  <c r="L8" i="42"/>
  <c r="L23" i="32"/>
  <c r="BF22" i="32" s="1"/>
  <c r="M8" i="42"/>
  <c r="M24" i="32"/>
  <c r="AJ22" i="32" s="1"/>
  <c r="T8" i="110"/>
  <c r="O8" i="42"/>
  <c r="O23" i="32"/>
  <c r="BI22" i="32" s="1"/>
  <c r="J24" i="32"/>
  <c r="AG22" i="32" s="1"/>
  <c r="BD19" i="3"/>
  <c r="BD28" i="3" s="1"/>
  <c r="Q8" i="110"/>
  <c r="J22" i="159"/>
  <c r="J23" i="159" s="1"/>
  <c r="BD22" i="159" s="1"/>
  <c r="J8" i="42"/>
  <c r="J45" i="32"/>
  <c r="BA19" i="3"/>
  <c r="BA28" i="3" s="1"/>
  <c r="U45" i="159"/>
  <c r="G24" i="32"/>
  <c r="AD22" i="32" s="1"/>
  <c r="G8" i="42"/>
  <c r="T45" i="159"/>
  <c r="O45" i="32"/>
  <c r="X45" i="32" s="1"/>
  <c r="G22" i="159"/>
  <c r="G23" i="159" s="1"/>
  <c r="BA22" i="159" s="1"/>
  <c r="V45" i="159"/>
  <c r="S45" i="159"/>
  <c r="Z45" i="159"/>
  <c r="I8" i="42"/>
  <c r="X45" i="159"/>
  <c r="I24" i="32"/>
  <c r="AF22" i="32" s="1"/>
  <c r="P8" i="110"/>
  <c r="I22" i="159"/>
  <c r="I24" i="159" s="1"/>
  <c r="AF22" i="159" s="1"/>
  <c r="BC19" i="3"/>
  <c r="BC28" i="3" s="1"/>
  <c r="L45" i="32"/>
  <c r="Y22" i="32"/>
  <c r="AF8" i="110" s="1"/>
  <c r="Q45" i="159"/>
  <c r="R45" i="159"/>
  <c r="M22" i="159"/>
  <c r="M23" i="159" s="1"/>
  <c r="BG22" i="159" s="1"/>
  <c r="F45" i="32"/>
  <c r="BH19" i="32"/>
  <c r="U22" i="32"/>
  <c r="U23" i="32" s="1"/>
  <c r="BO22" i="32" s="1"/>
  <c r="F42" i="32"/>
  <c r="AZ40" i="32" s="1"/>
  <c r="O24" i="32"/>
  <c r="AL22" i="32" s="1"/>
  <c r="AL19" i="3" s="1"/>
  <c r="AL28" i="3" s="1"/>
  <c r="W22" i="32"/>
  <c r="W24" i="32" s="1"/>
  <c r="AT22" i="32" s="1"/>
  <c r="V22" i="32"/>
  <c r="V23" i="32" s="1"/>
  <c r="BP22" i="32" s="1"/>
  <c r="BP19" i="3" s="1"/>
  <c r="BP28" i="3" s="1"/>
  <c r="T22" i="32"/>
  <c r="T23" i="32" s="1"/>
  <c r="BN22" i="32" s="1"/>
  <c r="N45" i="32"/>
  <c r="S22" i="32"/>
  <c r="S23" i="32" s="1"/>
  <c r="BM22" i="32" s="1"/>
  <c r="Q22" i="32"/>
  <c r="X8" i="110" s="1"/>
  <c r="Z22" i="32"/>
  <c r="Z19" i="3" s="1"/>
  <c r="Z33" i="42" s="1"/>
  <c r="H22" i="159"/>
  <c r="H23" i="159" s="1"/>
  <c r="BB22" i="159" s="1"/>
  <c r="P45" i="159"/>
  <c r="R22" i="32"/>
  <c r="R23" i="32" s="1"/>
  <c r="BL22" i="32" s="1"/>
  <c r="O22" i="159"/>
  <c r="O19" i="160" s="1"/>
  <c r="O28" i="160" s="1"/>
  <c r="P22" i="32"/>
  <c r="P8" i="42" s="1"/>
  <c r="R30" i="157"/>
  <c r="P22" i="159" s="1"/>
  <c r="W22" i="159" s="1"/>
  <c r="W23" i="159" s="1"/>
  <c r="BQ22" i="159" s="1"/>
  <c r="Y45" i="159"/>
  <c r="H24" i="32"/>
  <c r="AE22" i="32" s="1"/>
  <c r="X22" i="32"/>
  <c r="X23" i="32" s="1"/>
  <c r="BR22" i="32" s="1"/>
  <c r="BR19" i="3" s="1"/>
  <c r="BR28" i="3" s="1"/>
  <c r="V8" i="110"/>
  <c r="H8" i="42"/>
  <c r="O8" i="110"/>
  <c r="I45" i="32"/>
  <c r="L41" i="32"/>
  <c r="AI40" i="32" s="1"/>
  <c r="F40" i="159"/>
  <c r="F42" i="159" s="1"/>
  <c r="AZ40" i="159" s="1"/>
  <c r="L40" i="159"/>
  <c r="L41" i="159" s="1"/>
  <c r="AI40" i="159" s="1"/>
  <c r="J32" i="32"/>
  <c r="BD30" i="32" s="1"/>
  <c r="J30" i="159"/>
  <c r="J31" i="159" s="1"/>
  <c r="AG30" i="159" s="1"/>
  <c r="G45" i="32"/>
  <c r="F19" i="159"/>
  <c r="AC19" i="159" s="1"/>
  <c r="F36" i="159"/>
  <c r="AC35" i="159" s="1"/>
  <c r="L37" i="32"/>
  <c r="BF35" i="32" s="1"/>
  <c r="K37" i="159"/>
  <c r="BE35" i="159" s="1"/>
  <c r="K36" i="159"/>
  <c r="AH35" i="159" s="1"/>
  <c r="L31" i="32"/>
  <c r="AI30" i="32" s="1"/>
  <c r="L30" i="159"/>
  <c r="L31" i="159" s="1"/>
  <c r="AI30" i="159" s="1"/>
  <c r="I32" i="32"/>
  <c r="BC30" i="32" s="1"/>
  <c r="I30" i="159"/>
  <c r="I32" i="159" s="1"/>
  <c r="BC30" i="159" s="1"/>
  <c r="M32" i="32"/>
  <c r="BG30" i="32" s="1"/>
  <c r="G30" i="159"/>
  <c r="G32" i="159" s="1"/>
  <c r="BA30" i="159" s="1"/>
  <c r="K31" i="32"/>
  <c r="AH30" i="32" s="1"/>
  <c r="N30" i="159"/>
  <c r="N31" i="159" s="1"/>
  <c r="AK30" i="159" s="1"/>
  <c r="M31" i="32"/>
  <c r="AJ30" i="32" s="1"/>
  <c r="F21" i="42"/>
  <c r="F30" i="159"/>
  <c r="M30" i="159"/>
  <c r="M31" i="159" s="1"/>
  <c r="AJ30" i="159" s="1"/>
  <c r="G31" i="32"/>
  <c r="AD30" i="32" s="1"/>
  <c r="F32" i="32"/>
  <c r="AZ30" i="32" s="1"/>
  <c r="N31" i="32"/>
  <c r="AK30" i="32" s="1"/>
  <c r="K14" i="3"/>
  <c r="K30" i="159"/>
  <c r="K31" i="159" s="1"/>
  <c r="AH30" i="159" s="1"/>
  <c r="R45" i="157"/>
  <c r="P40" i="32" s="1"/>
  <c r="H35" i="34" s="1"/>
  <c r="M42" i="159"/>
  <c r="BG40" i="159" s="1"/>
  <c r="M41" i="159"/>
  <c r="AJ40" i="159" s="1"/>
  <c r="K24" i="159"/>
  <c r="AH22" i="159" s="1"/>
  <c r="K23" i="159"/>
  <c r="BE22" i="159" s="1"/>
  <c r="M37" i="159"/>
  <c r="BG35" i="159" s="1"/>
  <c r="M36" i="159"/>
  <c r="AJ35" i="159" s="1"/>
  <c r="K41" i="159"/>
  <c r="AH40" i="159" s="1"/>
  <c r="K42" i="159"/>
  <c r="BE40" i="159" s="1"/>
  <c r="R47" i="159"/>
  <c r="AN47" i="159"/>
  <c r="BK47" i="159"/>
  <c r="O13" i="42"/>
  <c r="V14" i="110"/>
  <c r="V21" i="110" s="1"/>
  <c r="BI19" i="32"/>
  <c r="O19" i="3"/>
  <c r="O28" i="3" s="1"/>
  <c r="BK19" i="32"/>
  <c r="F16" i="3"/>
  <c r="AN19" i="32"/>
  <c r="BF19" i="32"/>
  <c r="F14" i="3"/>
  <c r="BT19" i="32"/>
  <c r="F18" i="3"/>
  <c r="F19" i="3"/>
  <c r="F28" i="3" s="1"/>
  <c r="AZ19" i="32"/>
  <c r="F13" i="3"/>
  <c r="F17" i="3"/>
  <c r="F15" i="3"/>
  <c r="AC19" i="32"/>
  <c r="AC17" i="3" s="1"/>
  <c r="Q13" i="42"/>
  <c r="AI19" i="32"/>
  <c r="AI19" i="3" s="1"/>
  <c r="AI28" i="3" s="1"/>
  <c r="L15" i="3"/>
  <c r="K21" i="42"/>
  <c r="L18" i="3"/>
  <c r="L13" i="3"/>
  <c r="L30" i="42" s="1"/>
  <c r="L19" i="3"/>
  <c r="L28" i="3" s="1"/>
  <c r="L19" i="159"/>
  <c r="BF19" i="159" s="1"/>
  <c r="L21" i="42"/>
  <c r="L14" i="3"/>
  <c r="L17" i="3"/>
  <c r="L16" i="3"/>
  <c r="S14" i="110"/>
  <c r="S20" i="110" s="1"/>
  <c r="AM19" i="159"/>
  <c r="AD19" i="32"/>
  <c r="G13" i="42"/>
  <c r="G21" i="42"/>
  <c r="G19" i="3"/>
  <c r="G28" i="3" s="1"/>
  <c r="AR19" i="32"/>
  <c r="G19" i="159"/>
  <c r="AD19" i="159" s="1"/>
  <c r="BE19" i="32"/>
  <c r="BE19" i="3" s="1"/>
  <c r="BE28" i="3" s="1"/>
  <c r="AL19" i="159"/>
  <c r="AP19" i="159"/>
  <c r="S13" i="42"/>
  <c r="AA14" i="110"/>
  <c r="AA21" i="110" s="1"/>
  <c r="T13" i="42"/>
  <c r="AW19" i="159"/>
  <c r="AQ19" i="32"/>
  <c r="AE19" i="32"/>
  <c r="H19" i="159"/>
  <c r="BB19" i="159" s="1"/>
  <c r="K13" i="3"/>
  <c r="W13" i="42"/>
  <c r="AD14" i="110"/>
  <c r="AD21" i="110" s="1"/>
  <c r="X20" i="110"/>
  <c r="BB19" i="32"/>
  <c r="BB19" i="3" s="1"/>
  <c r="BB28" i="3" s="1"/>
  <c r="AS19" i="159"/>
  <c r="K17" i="3"/>
  <c r="K19" i="3"/>
  <c r="K33" i="42" s="1"/>
  <c r="O14" i="110"/>
  <c r="AT19" i="32"/>
  <c r="R35" i="157"/>
  <c r="P30" i="32" s="1"/>
  <c r="H21" i="34" s="1"/>
  <c r="K19" i="159"/>
  <c r="AH19" i="32"/>
  <c r="AH19" i="3" s="1"/>
  <c r="AH28" i="3" s="1"/>
  <c r="AR19" i="159"/>
  <c r="K16" i="3"/>
  <c r="K13" i="42"/>
  <c r="K15" i="3"/>
  <c r="R14" i="110"/>
  <c r="R20" i="110" s="1"/>
  <c r="H19" i="3"/>
  <c r="H28" i="3" s="1"/>
  <c r="K18" i="3"/>
  <c r="AO19" i="159"/>
  <c r="BK19" i="159"/>
  <c r="AK19" i="32"/>
  <c r="AK19" i="3" s="1"/>
  <c r="AK28" i="3" s="1"/>
  <c r="N19" i="3"/>
  <c r="N33" i="42" s="1"/>
  <c r="J19" i="159"/>
  <c r="BD19" i="159" s="1"/>
  <c r="N13" i="42"/>
  <c r="J21" i="42"/>
  <c r="AO19" i="32"/>
  <c r="N19" i="159"/>
  <c r="BH19" i="159" s="1"/>
  <c r="BO19" i="32"/>
  <c r="N21" i="42"/>
  <c r="O30" i="159"/>
  <c r="O31" i="159" s="1"/>
  <c r="AL30" i="159" s="1"/>
  <c r="U14" i="110"/>
  <c r="U21" i="110" s="1"/>
  <c r="U24" i="110" s="1"/>
  <c r="U56" i="110" s="1"/>
  <c r="U60" i="110" s="1"/>
  <c r="Y14" i="110"/>
  <c r="Y21" i="110" s="1"/>
  <c r="AT19" i="159"/>
  <c r="R13" i="42"/>
  <c r="AB14" i="110"/>
  <c r="AB21" i="110" s="1"/>
  <c r="M15" i="3"/>
  <c r="M14" i="3"/>
  <c r="M17" i="3"/>
  <c r="AJ19" i="32"/>
  <c r="J19" i="3"/>
  <c r="J28" i="3" s="1"/>
  <c r="T14" i="110"/>
  <c r="T21" i="110" s="1"/>
  <c r="M21" i="42"/>
  <c r="M19" i="3"/>
  <c r="M28" i="3" s="1"/>
  <c r="M18" i="3"/>
  <c r="M16" i="3"/>
  <c r="M19" i="159"/>
  <c r="AJ19" i="159" s="1"/>
  <c r="BG19" i="32"/>
  <c r="M13" i="3"/>
  <c r="AV19" i="159"/>
  <c r="J13" i="42"/>
  <c r="AG19" i="32"/>
  <c r="Q14" i="110"/>
  <c r="Q20" i="110" s="1"/>
  <c r="BJ19" i="32"/>
  <c r="AM19" i="32"/>
  <c r="P13" i="42"/>
  <c r="W14" i="110"/>
  <c r="W20" i="110" s="1"/>
  <c r="AC14" i="110"/>
  <c r="AC20" i="110" s="1"/>
  <c r="AU19" i="32"/>
  <c r="AE14" i="110"/>
  <c r="AE21" i="110" s="1"/>
  <c r="X13" i="42"/>
  <c r="AQ19" i="159"/>
  <c r="AU19" i="159"/>
  <c r="V13" i="42"/>
  <c r="AW19" i="32"/>
  <c r="Z13" i="42"/>
  <c r="AG14" i="110"/>
  <c r="AG20" i="110" s="1"/>
  <c r="AS19" i="32"/>
  <c r="O31" i="32"/>
  <c r="AL30" i="32" s="1"/>
  <c r="U17" i="110"/>
  <c r="O21" i="42"/>
  <c r="AP19" i="32"/>
  <c r="BM19" i="32"/>
  <c r="O32" i="32"/>
  <c r="BI30" i="32" s="1"/>
  <c r="I19" i="159"/>
  <c r="X21" i="110"/>
  <c r="Z20" i="110"/>
  <c r="Z21" i="110"/>
  <c r="P14" i="110"/>
  <c r="P20" i="110" s="1"/>
  <c r="I21" i="42"/>
  <c r="I13" i="42"/>
  <c r="AF19" i="32"/>
  <c r="I19" i="3"/>
  <c r="I33" i="42" s="1"/>
  <c r="J40" i="32"/>
  <c r="J40" i="159"/>
  <c r="J36" i="110"/>
  <c r="J37" i="110"/>
  <c r="I40" i="32"/>
  <c r="I40" i="159"/>
  <c r="O35" i="32"/>
  <c r="O35" i="159"/>
  <c r="F60" i="110"/>
  <c r="F59" i="110"/>
  <c r="I26" i="110"/>
  <c r="I23" i="110"/>
  <c r="BS19" i="32"/>
  <c r="AV19" i="32"/>
  <c r="Y13" i="42"/>
  <c r="AF14" i="110"/>
  <c r="J50" i="110"/>
  <c r="J51" i="110"/>
  <c r="G40" i="32"/>
  <c r="G40" i="159"/>
  <c r="I35" i="32"/>
  <c r="I35" i="159"/>
  <c r="M51" i="110"/>
  <c r="M50" i="110"/>
  <c r="L73" i="110"/>
  <c r="L82" i="110" s="1"/>
  <c r="K50" i="110"/>
  <c r="K73" i="110" s="1"/>
  <c r="K82" i="110" s="1"/>
  <c r="K51" i="110"/>
  <c r="G35" i="32"/>
  <c r="G35" i="159"/>
  <c r="H30" i="32"/>
  <c r="H30" i="159"/>
  <c r="I27" i="110"/>
  <c r="I57" i="110" s="1"/>
  <c r="I24" i="110"/>
  <c r="I56" i="110" s="1"/>
  <c r="M34" i="110"/>
  <c r="M33" i="110"/>
  <c r="G33" i="110"/>
  <c r="G34" i="110"/>
  <c r="L36" i="110"/>
  <c r="L37" i="110"/>
  <c r="L90" i="110"/>
  <c r="H34" i="110"/>
  <c r="H33" i="110"/>
  <c r="J35" i="32"/>
  <c r="J35" i="159"/>
  <c r="N40" i="32"/>
  <c r="N40" i="159"/>
  <c r="H40" i="32"/>
  <c r="H40" i="159"/>
  <c r="F34" i="110"/>
  <c r="F33" i="110"/>
  <c r="N35" i="32"/>
  <c r="N35" i="159"/>
  <c r="O40" i="32"/>
  <c r="O40" i="159"/>
  <c r="K59" i="110"/>
  <c r="K60" i="110"/>
  <c r="L56" i="110"/>
  <c r="G51" i="110"/>
  <c r="G50" i="110"/>
  <c r="H60" i="110"/>
  <c r="H59" i="110"/>
  <c r="F50" i="110"/>
  <c r="F73" i="110" s="1"/>
  <c r="F82" i="110" s="1"/>
  <c r="F51" i="110"/>
  <c r="R50" i="157"/>
  <c r="P27" i="159" s="1"/>
  <c r="J46" i="110"/>
  <c r="J72" i="110" s="1"/>
  <c r="J45" i="110"/>
  <c r="J71" i="110" s="1"/>
  <c r="H35" i="32"/>
  <c r="H35" i="159"/>
  <c r="R40" i="157"/>
  <c r="T47" i="32"/>
  <c r="BM47" i="32"/>
  <c r="AP47" i="32"/>
  <c r="N34" i="110"/>
  <c r="N33" i="110"/>
  <c r="K33" i="110"/>
  <c r="K34" i="110"/>
  <c r="V45" i="32" l="1"/>
  <c r="N24" i="159"/>
  <c r="AK22" i="159" s="1"/>
  <c r="BF19" i="160"/>
  <c r="BF28" i="160" s="1"/>
  <c r="BH19" i="160"/>
  <c r="BH28" i="160" s="1"/>
  <c r="BH19" i="3"/>
  <c r="BH28" i="3" s="1"/>
  <c r="AZ19" i="3"/>
  <c r="AZ28" i="3" s="1"/>
  <c r="L24" i="159"/>
  <c r="AI22" i="159" s="1"/>
  <c r="S26" i="110"/>
  <c r="S50" i="110" s="1"/>
  <c r="F24" i="159"/>
  <c r="AC22" i="159" s="1"/>
  <c r="AC19" i="160" s="1"/>
  <c r="AC28" i="160" s="1"/>
  <c r="X19" i="3"/>
  <c r="X33" i="42" s="1"/>
  <c r="AJ19" i="3"/>
  <c r="AJ28" i="3" s="1"/>
  <c r="W19" i="3"/>
  <c r="W33" i="42" s="1"/>
  <c r="AF19" i="3"/>
  <c r="AF28" i="3" s="1"/>
  <c r="T27" i="110"/>
  <c r="T57" i="110" s="1"/>
  <c r="BD19" i="160"/>
  <c r="BD28" i="160" s="1"/>
  <c r="AD19" i="3"/>
  <c r="AD28" i="3" s="1"/>
  <c r="Y8" i="110"/>
  <c r="Y27" i="110" s="1"/>
  <c r="Y57" i="110" s="1"/>
  <c r="R19" i="3"/>
  <c r="R33" i="42" s="1"/>
  <c r="R8" i="42"/>
  <c r="R24" i="32"/>
  <c r="AO22" i="32" s="1"/>
  <c r="AO19" i="3" s="1"/>
  <c r="AO28" i="3" s="1"/>
  <c r="AA8" i="110"/>
  <c r="AA27" i="110" s="1"/>
  <c r="AA57" i="110" s="1"/>
  <c r="T8" i="42"/>
  <c r="T19" i="3"/>
  <c r="T33" i="42" s="1"/>
  <c r="T24" i="32"/>
  <c r="AQ22" i="32" s="1"/>
  <c r="AQ19" i="3" s="1"/>
  <c r="AQ28" i="3" s="1"/>
  <c r="Q23" i="110"/>
  <c r="Q34" i="110" s="1"/>
  <c r="W8" i="42"/>
  <c r="W23" i="32"/>
  <c r="BQ22" i="32" s="1"/>
  <c r="BQ19" i="3" s="1"/>
  <c r="BQ28" i="3" s="1"/>
  <c r="F26" i="42"/>
  <c r="AD8" i="110"/>
  <c r="AD24" i="110" s="1"/>
  <c r="AD56" i="110" s="1"/>
  <c r="X8" i="42"/>
  <c r="AE8" i="110"/>
  <c r="AE27" i="110" s="1"/>
  <c r="AE57" i="110" s="1"/>
  <c r="X24" i="32"/>
  <c r="AU22" i="32" s="1"/>
  <c r="AU19" i="3" s="1"/>
  <c r="AU28" i="3" s="1"/>
  <c r="AG19" i="3"/>
  <c r="AG28" i="3" s="1"/>
  <c r="H24" i="159"/>
  <c r="AE22" i="159" s="1"/>
  <c r="Z23" i="32"/>
  <c r="BT22" i="32" s="1"/>
  <c r="BT19" i="3" s="1"/>
  <c r="BT28" i="3" s="1"/>
  <c r="Y19" i="3"/>
  <c r="Y33" i="42" s="1"/>
  <c r="O24" i="159"/>
  <c r="AL22" i="159" s="1"/>
  <c r="AL19" i="160" s="1"/>
  <c r="AL28" i="160" s="1"/>
  <c r="O23" i="159"/>
  <c r="BI22" i="159" s="1"/>
  <c r="BI19" i="160" s="1"/>
  <c r="BI28" i="160" s="1"/>
  <c r="Y24" i="32"/>
  <c r="AV22" i="32" s="1"/>
  <c r="AV19" i="3" s="1"/>
  <c r="AV28" i="3" s="1"/>
  <c r="U45" i="32"/>
  <c r="J24" i="159"/>
  <c r="AG22" i="159" s="1"/>
  <c r="R45" i="32"/>
  <c r="I19" i="160"/>
  <c r="I28" i="160" s="1"/>
  <c r="P19" i="3"/>
  <c r="P28" i="3" s="1"/>
  <c r="W45" i="32"/>
  <c r="Z45" i="32"/>
  <c r="Y45" i="32"/>
  <c r="AC8" i="110"/>
  <c r="AC26" i="110" s="1"/>
  <c r="AC51" i="110" s="1"/>
  <c r="T45" i="32"/>
  <c r="P26" i="110"/>
  <c r="P50" i="110" s="1"/>
  <c r="BI19" i="3"/>
  <c r="BI28" i="3" s="1"/>
  <c r="S45" i="32"/>
  <c r="Q45" i="32"/>
  <c r="G24" i="159"/>
  <c r="AD22" i="159" s="1"/>
  <c r="AD19" i="160" s="1"/>
  <c r="AD28" i="160" s="1"/>
  <c r="M24" i="159"/>
  <c r="AJ22" i="159" s="1"/>
  <c r="AJ19" i="160" s="1"/>
  <c r="AJ28" i="160" s="1"/>
  <c r="S19" i="3"/>
  <c r="S33" i="42" s="1"/>
  <c r="P23" i="32"/>
  <c r="BJ22" i="32" s="1"/>
  <c r="BJ19" i="3" s="1"/>
  <c r="BJ28" i="3" s="1"/>
  <c r="I23" i="159"/>
  <c r="BC22" i="159" s="1"/>
  <c r="Z24" i="32"/>
  <c r="AW22" i="32" s="1"/>
  <c r="AW19" i="3" s="1"/>
  <c r="AW28" i="3" s="1"/>
  <c r="Y8" i="42"/>
  <c r="Q22" i="159"/>
  <c r="Q23" i="159" s="1"/>
  <c r="BK22" i="159" s="1"/>
  <c r="BK19" i="160" s="1"/>
  <c r="BK28" i="160" s="1"/>
  <c r="AG8" i="110"/>
  <c r="AG26" i="110" s="1"/>
  <c r="AG50" i="110" s="1"/>
  <c r="Q23" i="32"/>
  <c r="BK22" i="32" s="1"/>
  <c r="BK19" i="3" s="1"/>
  <c r="BK28" i="3" s="1"/>
  <c r="Y23" i="32"/>
  <c r="BS22" i="32" s="1"/>
  <c r="BS19" i="3" s="1"/>
  <c r="BS28" i="3" s="1"/>
  <c r="Z8" i="42"/>
  <c r="L42" i="159"/>
  <c r="BF40" i="159" s="1"/>
  <c r="S8" i="42"/>
  <c r="W24" i="159"/>
  <c r="AT22" i="159" s="1"/>
  <c r="AT19" i="160" s="1"/>
  <c r="AT28" i="160" s="1"/>
  <c r="AE19" i="3"/>
  <c r="AE28" i="3" s="1"/>
  <c r="Q19" i="3"/>
  <c r="Q33" i="42" s="1"/>
  <c r="Q24" i="32"/>
  <c r="AN22" i="32" s="1"/>
  <c r="AN19" i="3" s="1"/>
  <c r="AN28" i="3" s="1"/>
  <c r="Q8" i="42"/>
  <c r="U8" i="42"/>
  <c r="P19" i="160"/>
  <c r="P28" i="160" s="1"/>
  <c r="R22" i="159"/>
  <c r="R24" i="159" s="1"/>
  <c r="AO22" i="159" s="1"/>
  <c r="AO19" i="160" s="1"/>
  <c r="AO28" i="160" s="1"/>
  <c r="Z8" i="110"/>
  <c r="Z27" i="110" s="1"/>
  <c r="Z57" i="110" s="1"/>
  <c r="U24" i="32"/>
  <c r="AR22" i="32" s="1"/>
  <c r="AR19" i="3" s="1"/>
  <c r="AR28" i="3" s="1"/>
  <c r="V19" i="3"/>
  <c r="V33" i="42" s="1"/>
  <c r="T22" i="159"/>
  <c r="T23" i="159" s="1"/>
  <c r="BN22" i="159" s="1"/>
  <c r="BN19" i="160" s="1"/>
  <c r="BN28" i="160" s="1"/>
  <c r="U19" i="3"/>
  <c r="U28" i="3" s="1"/>
  <c r="W19" i="160"/>
  <c r="W28" i="160" s="1"/>
  <c r="V24" i="32"/>
  <c r="AS22" i="32" s="1"/>
  <c r="AS19" i="3" s="1"/>
  <c r="AS28" i="3" s="1"/>
  <c r="V22" i="159"/>
  <c r="V23" i="159" s="1"/>
  <c r="BP22" i="159" s="1"/>
  <c r="BP19" i="160" s="1"/>
  <c r="BP28" i="160" s="1"/>
  <c r="S22" i="159"/>
  <c r="S23" i="159" s="1"/>
  <c r="BM22" i="159" s="1"/>
  <c r="BM19" i="160" s="1"/>
  <c r="BM28" i="160" s="1"/>
  <c r="AB8" i="110"/>
  <c r="AB24" i="110" s="1"/>
  <c r="AB56" i="110" s="1"/>
  <c r="V24" i="110"/>
  <c r="V56" i="110" s="1"/>
  <c r="V59" i="110" s="1"/>
  <c r="V8" i="42"/>
  <c r="P23" i="159"/>
  <c r="BJ22" i="159" s="1"/>
  <c r="BJ19" i="160" s="1"/>
  <c r="BJ28" i="160" s="1"/>
  <c r="Y22" i="159"/>
  <c r="Y24" i="159" s="1"/>
  <c r="AV22" i="159" s="1"/>
  <c r="AV19" i="160" s="1"/>
  <c r="AV28" i="160" s="1"/>
  <c r="X22" i="159"/>
  <c r="X23" i="159" s="1"/>
  <c r="BR22" i="159" s="1"/>
  <c r="BR19" i="160" s="1"/>
  <c r="BR28" i="160" s="1"/>
  <c r="P24" i="159"/>
  <c r="AM22" i="159" s="1"/>
  <c r="AM19" i="160" s="1"/>
  <c r="AM28" i="160" s="1"/>
  <c r="Z22" i="159"/>
  <c r="Z19" i="160" s="1"/>
  <c r="Z28" i="160" s="1"/>
  <c r="U22" i="159"/>
  <c r="U23" i="159" s="1"/>
  <c r="BO22" i="159" s="1"/>
  <c r="BO19" i="160" s="1"/>
  <c r="BO28" i="160" s="1"/>
  <c r="S24" i="32"/>
  <c r="AP22" i="32" s="1"/>
  <c r="AP19" i="3" s="1"/>
  <c r="AP28" i="3" s="1"/>
  <c r="AZ19" i="159"/>
  <c r="AZ19" i="160" s="1"/>
  <c r="AZ28" i="160" s="1"/>
  <c r="F19" i="160"/>
  <c r="F28" i="160" s="1"/>
  <c r="F16" i="160"/>
  <c r="W8" i="110"/>
  <c r="W23" i="110" s="1"/>
  <c r="W33" i="110" s="1"/>
  <c r="W36" i="110" s="1"/>
  <c r="F41" i="159"/>
  <c r="AC40" i="159" s="1"/>
  <c r="P24" i="32"/>
  <c r="AM22" i="32" s="1"/>
  <c r="AM19" i="3" s="1"/>
  <c r="AM28" i="3" s="1"/>
  <c r="P40" i="159"/>
  <c r="P42" i="159" s="1"/>
  <c r="BJ40" i="159" s="1"/>
  <c r="BF14" i="3"/>
  <c r="J32" i="159"/>
  <c r="BD30" i="159" s="1"/>
  <c r="AE20" i="110"/>
  <c r="BB19" i="160"/>
  <c r="BB28" i="160" s="1"/>
  <c r="Z28" i="3"/>
  <c r="G33" i="42"/>
  <c r="X24" i="110"/>
  <c r="X56" i="110" s="1"/>
  <c r="X59" i="110" s="1"/>
  <c r="BG18" i="3"/>
  <c r="I31" i="159"/>
  <c r="AF30" i="159" s="1"/>
  <c r="L32" i="159"/>
  <c r="BF30" i="159" s="1"/>
  <c r="F18" i="160"/>
  <c r="G31" i="159"/>
  <c r="AD30" i="159" s="1"/>
  <c r="F32" i="159"/>
  <c r="AZ30" i="159" s="1"/>
  <c r="K32" i="159"/>
  <c r="BE30" i="159" s="1"/>
  <c r="F17" i="160"/>
  <c r="F15" i="160"/>
  <c r="F31" i="159"/>
  <c r="AC30" i="159" s="1"/>
  <c r="F14" i="160"/>
  <c r="N32" i="159"/>
  <c r="BH30" i="159" s="1"/>
  <c r="F13" i="160"/>
  <c r="M32" i="159"/>
  <c r="BG30" i="159" s="1"/>
  <c r="K17" i="160"/>
  <c r="K25" i="42"/>
  <c r="K38" i="42" s="1"/>
  <c r="O33" i="42"/>
  <c r="AT19" i="3"/>
  <c r="AT28" i="3" s="1"/>
  <c r="S47" i="159"/>
  <c r="AO47" i="159"/>
  <c r="BL47" i="159"/>
  <c r="L33" i="42"/>
  <c r="V20" i="110"/>
  <c r="V23" i="110" s="1"/>
  <c r="V34" i="110" s="1"/>
  <c r="F32" i="42"/>
  <c r="L25" i="3"/>
  <c r="T24" i="110"/>
  <c r="T56" i="110" s="1"/>
  <c r="T59" i="110" s="1"/>
  <c r="F31" i="42"/>
  <c r="BF16" i="3"/>
  <c r="BF13" i="3"/>
  <c r="BF17" i="3"/>
  <c r="BF15" i="3"/>
  <c r="BF18" i="3"/>
  <c r="BF19" i="3"/>
  <c r="BF28" i="3" s="1"/>
  <c r="F27" i="3"/>
  <c r="F75" i="3" s="1"/>
  <c r="AE19" i="159"/>
  <c r="H19" i="160"/>
  <c r="H28" i="160" s="1"/>
  <c r="AC16" i="3"/>
  <c r="K28" i="3"/>
  <c r="O32" i="159"/>
  <c r="BI30" i="159" s="1"/>
  <c r="F26" i="3"/>
  <c r="F58" i="3" s="1"/>
  <c r="L26" i="42"/>
  <c r="AC13" i="3"/>
  <c r="AC25" i="3" s="1"/>
  <c r="AC15" i="3"/>
  <c r="AC26" i="3" s="1"/>
  <c r="AC54" i="3" s="1"/>
  <c r="AC14" i="3"/>
  <c r="AC19" i="3"/>
  <c r="AC28" i="3" s="1"/>
  <c r="AC18" i="3"/>
  <c r="AZ15" i="3"/>
  <c r="AI13" i="3"/>
  <c r="AI25" i="3" s="1"/>
  <c r="AI16" i="3"/>
  <c r="F25" i="42"/>
  <c r="F38" i="42" s="1"/>
  <c r="AI14" i="3"/>
  <c r="AA20" i="110"/>
  <c r="AZ18" i="3"/>
  <c r="AZ14" i="3"/>
  <c r="AI18" i="3"/>
  <c r="P30" i="159"/>
  <c r="P32" i="159" s="1"/>
  <c r="BJ30" i="159" s="1"/>
  <c r="J19" i="160"/>
  <c r="J28" i="160" s="1"/>
  <c r="F30" i="42"/>
  <c r="F33" i="42"/>
  <c r="AZ17" i="3"/>
  <c r="AI17" i="3"/>
  <c r="F21" i="3"/>
  <c r="AZ13" i="3"/>
  <c r="L33" i="3"/>
  <c r="AI15" i="3"/>
  <c r="F25" i="3"/>
  <c r="L32" i="3"/>
  <c r="L37" i="42" s="1"/>
  <c r="L34" i="3"/>
  <c r="F34" i="3"/>
  <c r="F32" i="3"/>
  <c r="F37" i="42" s="1"/>
  <c r="AZ16" i="3"/>
  <c r="F33" i="3"/>
  <c r="L27" i="3"/>
  <c r="L78" i="3" s="1"/>
  <c r="L15" i="160"/>
  <c r="L14" i="160"/>
  <c r="S23" i="110"/>
  <c r="S34" i="110" s="1"/>
  <c r="S21" i="110"/>
  <c r="S24" i="110" s="1"/>
  <c r="S56" i="110" s="1"/>
  <c r="L32" i="42"/>
  <c r="L25" i="42"/>
  <c r="L38" i="42" s="1"/>
  <c r="L16" i="160"/>
  <c r="L26" i="3"/>
  <c r="L55" i="3" s="1"/>
  <c r="L45" i="42" s="1"/>
  <c r="K19" i="160"/>
  <c r="K28" i="160" s="1"/>
  <c r="L13" i="160"/>
  <c r="L17" i="160"/>
  <c r="L21" i="3"/>
  <c r="L19" i="160"/>
  <c r="L28" i="160" s="1"/>
  <c r="L31" i="42"/>
  <c r="L18" i="160"/>
  <c r="K27" i="3"/>
  <c r="AI19" i="159"/>
  <c r="K21" i="3"/>
  <c r="K26" i="42"/>
  <c r="AC21" i="110"/>
  <c r="BE19" i="159"/>
  <c r="BE19" i="160" s="1"/>
  <c r="BE28" i="160" s="1"/>
  <c r="AG21" i="110"/>
  <c r="BA19" i="159"/>
  <c r="BA19" i="160" s="1"/>
  <c r="BA28" i="160" s="1"/>
  <c r="G19" i="160"/>
  <c r="G28" i="160" s="1"/>
  <c r="BE16" i="3"/>
  <c r="BE17" i="3"/>
  <c r="BE14" i="3"/>
  <c r="BE13" i="3"/>
  <c r="BE25" i="3" s="1"/>
  <c r="BE18" i="3"/>
  <c r="BE15" i="3"/>
  <c r="AH13" i="3"/>
  <c r="AH25" i="3" s="1"/>
  <c r="AH18" i="3"/>
  <c r="AH17" i="3"/>
  <c r="K32" i="42"/>
  <c r="Y20" i="110"/>
  <c r="AH16" i="3"/>
  <c r="AH14" i="3"/>
  <c r="AH15" i="3"/>
  <c r="U20" i="110"/>
  <c r="U26" i="110" s="1"/>
  <c r="U50" i="110" s="1"/>
  <c r="K31" i="42"/>
  <c r="K18" i="160"/>
  <c r="K26" i="3"/>
  <c r="K54" i="3" s="1"/>
  <c r="U59" i="110"/>
  <c r="AG19" i="159"/>
  <c r="K32" i="3"/>
  <c r="K37" i="42" s="1"/>
  <c r="N28" i="3"/>
  <c r="K33" i="3"/>
  <c r="AB20" i="110"/>
  <c r="AD20" i="110"/>
  <c r="R21" i="110"/>
  <c r="R27" i="110" s="1"/>
  <c r="R57" i="110" s="1"/>
  <c r="K34" i="3"/>
  <c r="K25" i="3"/>
  <c r="K30" i="42"/>
  <c r="X26" i="110"/>
  <c r="X51" i="110" s="1"/>
  <c r="X23" i="110"/>
  <c r="X34" i="110" s="1"/>
  <c r="K16" i="160"/>
  <c r="M18" i="160"/>
  <c r="K13" i="160"/>
  <c r="K15" i="160"/>
  <c r="H33" i="42"/>
  <c r="K14" i="160"/>
  <c r="M32" i="3"/>
  <c r="M37" i="42" s="1"/>
  <c r="W28" i="3"/>
  <c r="AH19" i="159"/>
  <c r="AH18" i="160" s="1"/>
  <c r="BG17" i="3"/>
  <c r="AJ14" i="3"/>
  <c r="BG19" i="159"/>
  <c r="AJ13" i="3"/>
  <c r="AJ25" i="3" s="1"/>
  <c r="U27" i="110"/>
  <c r="U57" i="110" s="1"/>
  <c r="BG16" i="3"/>
  <c r="AJ16" i="3"/>
  <c r="AJ18" i="3"/>
  <c r="AJ17" i="3"/>
  <c r="J33" i="42"/>
  <c r="BG14" i="3"/>
  <c r="BG19" i="3"/>
  <c r="BG28" i="3" s="1"/>
  <c r="BG15" i="3"/>
  <c r="N19" i="160"/>
  <c r="N28" i="160" s="1"/>
  <c r="BG13" i="3"/>
  <c r="BG25" i="3" s="1"/>
  <c r="AK19" i="159"/>
  <c r="AK19" i="160" s="1"/>
  <c r="AK28" i="160" s="1"/>
  <c r="P21" i="110"/>
  <c r="P27" i="110" s="1"/>
  <c r="P57" i="110" s="1"/>
  <c r="M27" i="3"/>
  <c r="M75" i="3" s="1"/>
  <c r="M30" i="42"/>
  <c r="T20" i="110"/>
  <c r="T26" i="110" s="1"/>
  <c r="T51" i="110" s="1"/>
  <c r="M26" i="42"/>
  <c r="M25" i="3"/>
  <c r="M15" i="160"/>
  <c r="M33" i="3"/>
  <c r="AF19" i="159"/>
  <c r="AF19" i="160" s="1"/>
  <c r="AF28" i="160" s="1"/>
  <c r="M25" i="42"/>
  <c r="M38" i="42" s="1"/>
  <c r="M34" i="3"/>
  <c r="M32" i="42"/>
  <c r="Q21" i="110"/>
  <c r="Q24" i="110" s="1"/>
  <c r="Q56" i="110" s="1"/>
  <c r="Q60" i="110" s="1"/>
  <c r="M26" i="3"/>
  <c r="M57" i="3" s="1"/>
  <c r="BC19" i="159"/>
  <c r="M14" i="160"/>
  <c r="M21" i="3"/>
  <c r="M31" i="42"/>
  <c r="M16" i="160"/>
  <c r="M13" i="160"/>
  <c r="M33" i="42"/>
  <c r="M19" i="160"/>
  <c r="M28" i="160" s="1"/>
  <c r="M17" i="160"/>
  <c r="AJ15" i="3"/>
  <c r="X27" i="110"/>
  <c r="X57" i="110" s="1"/>
  <c r="Q26" i="110"/>
  <c r="Q51" i="110" s="1"/>
  <c r="W21" i="110"/>
  <c r="P23" i="110"/>
  <c r="P33" i="110" s="1"/>
  <c r="V27" i="110"/>
  <c r="V57" i="110" s="1"/>
  <c r="I28" i="3"/>
  <c r="R23" i="110"/>
  <c r="R26" i="110"/>
  <c r="O36" i="159"/>
  <c r="AL35" i="159" s="1"/>
  <c r="O37" i="159"/>
  <c r="BI35" i="159" s="1"/>
  <c r="O13" i="160"/>
  <c r="O15" i="160"/>
  <c r="O14" i="160"/>
  <c r="O17" i="160"/>
  <c r="O16" i="160"/>
  <c r="O18" i="160"/>
  <c r="BM19" i="3"/>
  <c r="BM28" i="3" s="1"/>
  <c r="N36" i="159"/>
  <c r="AK35" i="159" s="1"/>
  <c r="N37" i="159"/>
  <c r="BH35" i="159" s="1"/>
  <c r="N17" i="160"/>
  <c r="N16" i="160"/>
  <c r="N15" i="160"/>
  <c r="N14" i="160"/>
  <c r="N18" i="160"/>
  <c r="N13" i="160"/>
  <c r="L43" i="110"/>
  <c r="L70" i="110" s="1"/>
  <c r="L42" i="110"/>
  <c r="L69" i="110" s="1"/>
  <c r="I60" i="110"/>
  <c r="I59" i="110"/>
  <c r="H32" i="32"/>
  <c r="BB30" i="32" s="1"/>
  <c r="H16" i="3"/>
  <c r="H31" i="32"/>
  <c r="AE30" i="32" s="1"/>
  <c r="H14" i="3"/>
  <c r="H13" i="3"/>
  <c r="H18" i="3"/>
  <c r="O21" i="110"/>
  <c r="O20" i="110"/>
  <c r="H15" i="3"/>
  <c r="H21" i="42"/>
  <c r="I37" i="159"/>
  <c r="BC35" i="159" s="1"/>
  <c r="I36" i="159"/>
  <c r="AF35" i="159" s="1"/>
  <c r="I15" i="160"/>
  <c r="I14" i="160"/>
  <c r="I13" i="160"/>
  <c r="I17" i="160"/>
  <c r="I16" i="160"/>
  <c r="I18" i="160"/>
  <c r="J27" i="32"/>
  <c r="J27" i="159"/>
  <c r="J73" i="110"/>
  <c r="J82" i="110" s="1"/>
  <c r="I34" i="110"/>
  <c r="I33" i="110"/>
  <c r="O37" i="32"/>
  <c r="BI35" i="32" s="1"/>
  <c r="O36" i="32"/>
  <c r="AL35" i="32" s="1"/>
  <c r="O15" i="3"/>
  <c r="O16" i="3"/>
  <c r="O17" i="3"/>
  <c r="O18" i="3"/>
  <c r="O13" i="3"/>
  <c r="O14" i="3"/>
  <c r="K46" i="110"/>
  <c r="K72" i="110" s="1"/>
  <c r="K45" i="110"/>
  <c r="K71" i="110" s="1"/>
  <c r="K37" i="110"/>
  <c r="K36" i="110"/>
  <c r="K90" i="110"/>
  <c r="N37" i="32"/>
  <c r="BH35" i="32" s="1"/>
  <c r="N15" i="3"/>
  <c r="N16" i="3"/>
  <c r="N17" i="3"/>
  <c r="N36" i="32"/>
  <c r="AK35" i="32" s="1"/>
  <c r="N14" i="3"/>
  <c r="N18" i="3"/>
  <c r="N13" i="3"/>
  <c r="F36" i="110"/>
  <c r="F37" i="110"/>
  <c r="F90" i="110"/>
  <c r="N42" i="159"/>
  <c r="BH40" i="159" s="1"/>
  <c r="N41" i="159"/>
  <c r="AK40" i="159" s="1"/>
  <c r="J37" i="159"/>
  <c r="BD35" i="159" s="1"/>
  <c r="J36" i="159"/>
  <c r="AG35" i="159" s="1"/>
  <c r="J15" i="160"/>
  <c r="J14" i="160"/>
  <c r="J13" i="160"/>
  <c r="J17" i="160"/>
  <c r="J16" i="160"/>
  <c r="J18" i="160"/>
  <c r="L40" i="110"/>
  <c r="L68" i="110" s="1"/>
  <c r="L39" i="110"/>
  <c r="L67" i="110" s="1"/>
  <c r="I37" i="32"/>
  <c r="BC35" i="32" s="1"/>
  <c r="I36" i="32"/>
  <c r="AF35" i="32" s="1"/>
  <c r="I14" i="3"/>
  <c r="I18" i="3"/>
  <c r="I15" i="3"/>
  <c r="I17" i="3"/>
  <c r="I16" i="3"/>
  <c r="I13" i="3"/>
  <c r="I27" i="32"/>
  <c r="I27" i="159"/>
  <c r="I51" i="110"/>
  <c r="I50" i="110"/>
  <c r="I73" i="110" s="1"/>
  <c r="I82" i="110" s="1"/>
  <c r="N42" i="32"/>
  <c r="BH40" i="32" s="1"/>
  <c r="N41" i="32"/>
  <c r="AK40" i="32" s="1"/>
  <c r="J37" i="32"/>
  <c r="BD35" i="32" s="1"/>
  <c r="J14" i="3"/>
  <c r="J16" i="3"/>
  <c r="J18" i="3"/>
  <c r="J17" i="3"/>
  <c r="J36" i="32"/>
  <c r="AG35" i="32" s="1"/>
  <c r="J13" i="3"/>
  <c r="J15" i="3"/>
  <c r="BL19" i="3"/>
  <c r="BL28" i="3" s="1"/>
  <c r="G42" i="159"/>
  <c r="BA40" i="159" s="1"/>
  <c r="G41" i="159"/>
  <c r="AD40" i="159" s="1"/>
  <c r="M27" i="32"/>
  <c r="M27" i="159"/>
  <c r="I42" i="159"/>
  <c r="BC40" i="159" s="1"/>
  <c r="I41" i="159"/>
  <c r="AF40" i="159" s="1"/>
  <c r="N36" i="110"/>
  <c r="N37" i="110"/>
  <c r="N90" i="110"/>
  <c r="N46" i="110"/>
  <c r="N72" i="110" s="1"/>
  <c r="N45" i="110"/>
  <c r="N71" i="110" s="1"/>
  <c r="G42" i="32"/>
  <c r="BA40" i="32" s="1"/>
  <c r="G41" i="32"/>
  <c r="AD40" i="32" s="1"/>
  <c r="H27" i="32"/>
  <c r="H27" i="159"/>
  <c r="L27" i="32"/>
  <c r="L27" i="159"/>
  <c r="I42" i="32"/>
  <c r="BC40" i="32" s="1"/>
  <c r="I41" i="32"/>
  <c r="AF40" i="32" s="1"/>
  <c r="BQ19" i="160"/>
  <c r="BQ28" i="160" s="1"/>
  <c r="H32" i="159"/>
  <c r="BB30" i="159" s="1"/>
  <c r="H31" i="159"/>
  <c r="AE30" i="159" s="1"/>
  <c r="H13" i="160"/>
  <c r="H14" i="160"/>
  <c r="H16" i="160"/>
  <c r="H18" i="160"/>
  <c r="H15" i="160"/>
  <c r="BN19" i="3"/>
  <c r="BN28" i="3" s="1"/>
  <c r="L60" i="110"/>
  <c r="L72" i="110" s="1"/>
  <c r="L59" i="110"/>
  <c r="L71" i="110" s="1"/>
  <c r="BO19" i="3"/>
  <c r="BO28" i="3" s="1"/>
  <c r="H42" i="159"/>
  <c r="BB40" i="159" s="1"/>
  <c r="H41" i="159"/>
  <c r="AE40" i="159" s="1"/>
  <c r="H42" i="32"/>
  <c r="BB40" i="32" s="1"/>
  <c r="H41" i="32"/>
  <c r="AE40" i="32" s="1"/>
  <c r="G36" i="159"/>
  <c r="AD35" i="159" s="1"/>
  <c r="G37" i="159"/>
  <c r="BA35" i="159" s="1"/>
  <c r="G18" i="160"/>
  <c r="G17" i="160"/>
  <c r="G13" i="160"/>
  <c r="G16" i="160"/>
  <c r="G14" i="160"/>
  <c r="G15" i="160"/>
  <c r="G27" i="32"/>
  <c r="G27" i="159"/>
  <c r="AM27" i="159"/>
  <c r="BJ27" i="159"/>
  <c r="J90" i="110"/>
  <c r="J42" i="159"/>
  <c r="BD40" i="159" s="1"/>
  <c r="J41" i="159"/>
  <c r="AG40" i="159" s="1"/>
  <c r="F46" i="110"/>
  <c r="F72" i="110" s="1"/>
  <c r="F45" i="110"/>
  <c r="F71" i="110" s="1"/>
  <c r="U47" i="32"/>
  <c r="AQ47" i="32"/>
  <c r="BN47" i="32"/>
  <c r="H37" i="159"/>
  <c r="BB35" i="159" s="1"/>
  <c r="H36" i="159"/>
  <c r="AE35" i="159" s="1"/>
  <c r="H17" i="160"/>
  <c r="O41" i="159"/>
  <c r="AL40" i="159" s="1"/>
  <c r="O42" i="159"/>
  <c r="BI40" i="159" s="1"/>
  <c r="H37" i="110"/>
  <c r="H36" i="110"/>
  <c r="H90" i="110"/>
  <c r="M37" i="110"/>
  <c r="M36" i="110"/>
  <c r="M90" i="110"/>
  <c r="G37" i="32"/>
  <c r="BA35" i="32" s="1"/>
  <c r="G36" i="32"/>
  <c r="AD35" i="32" s="1"/>
  <c r="G18" i="3"/>
  <c r="G15" i="3"/>
  <c r="G13" i="3"/>
  <c r="G14" i="3"/>
  <c r="G17" i="3"/>
  <c r="G16" i="3"/>
  <c r="M73" i="110"/>
  <c r="M82" i="110" s="1"/>
  <c r="Q30" i="32"/>
  <c r="P32" i="32"/>
  <c r="BJ30" i="32" s="1"/>
  <c r="P21" i="42"/>
  <c r="P31" i="32"/>
  <c r="AM30" i="32" s="1"/>
  <c r="F27" i="32"/>
  <c r="F27" i="159"/>
  <c r="N27" i="32"/>
  <c r="N27" i="159"/>
  <c r="AF21" i="110"/>
  <c r="AF20" i="110"/>
  <c r="Y28" i="3"/>
  <c r="J43" i="110"/>
  <c r="J70" i="110" s="1"/>
  <c r="J42" i="110"/>
  <c r="J69" i="110" s="1"/>
  <c r="J80" i="110" s="1"/>
  <c r="J42" i="32"/>
  <c r="BD40" i="32" s="1"/>
  <c r="J41" i="32"/>
  <c r="AG40" i="32" s="1"/>
  <c r="G36" i="110"/>
  <c r="G90" i="110"/>
  <c r="G37" i="110"/>
  <c r="O27" i="159"/>
  <c r="O27" i="32"/>
  <c r="P35" i="32"/>
  <c r="H28" i="34" s="1"/>
  <c r="P35" i="159"/>
  <c r="Q40" i="32"/>
  <c r="P42" i="32"/>
  <c r="BJ40" i="32" s="1"/>
  <c r="P41" i="32"/>
  <c r="AM40" i="32" s="1"/>
  <c r="H37" i="32"/>
  <c r="BB35" i="32" s="1"/>
  <c r="H17" i="3"/>
  <c r="H36" i="32"/>
  <c r="AE35" i="32" s="1"/>
  <c r="G73" i="110"/>
  <c r="G82" i="110" s="1"/>
  <c r="O42" i="32"/>
  <c r="BI40" i="32" s="1"/>
  <c r="O41" i="32"/>
  <c r="AL40" i="32" s="1"/>
  <c r="H46" i="110"/>
  <c r="H72" i="110" s="1"/>
  <c r="H45" i="110"/>
  <c r="H71" i="110" s="1"/>
  <c r="G46" i="110"/>
  <c r="G72" i="110" s="1"/>
  <c r="G45" i="110"/>
  <c r="G71" i="110" s="1"/>
  <c r="M45" i="110"/>
  <c r="M71" i="110" s="1"/>
  <c r="M46" i="110"/>
  <c r="M72" i="110" s="1"/>
  <c r="K27" i="32"/>
  <c r="K27" i="159"/>
  <c r="J39" i="110"/>
  <c r="J67" i="110" s="1"/>
  <c r="J40" i="110"/>
  <c r="J68" i="110" s="1"/>
  <c r="S51" i="110" l="1"/>
  <c r="AI19" i="160"/>
  <c r="AI28" i="160" s="1"/>
  <c r="AA24" i="110"/>
  <c r="AA56" i="110" s="1"/>
  <c r="AA59" i="110" s="1"/>
  <c r="P33" i="42"/>
  <c r="X28" i="3"/>
  <c r="AD26" i="110"/>
  <c r="AD51" i="110" s="1"/>
  <c r="AC17" i="160"/>
  <c r="T28" i="3"/>
  <c r="R28" i="3"/>
  <c r="Q33" i="110"/>
  <c r="Q36" i="110" s="1"/>
  <c r="Y24" i="110"/>
  <c r="Y56" i="110" s="1"/>
  <c r="Y59" i="110" s="1"/>
  <c r="AD27" i="110"/>
  <c r="AD57" i="110" s="1"/>
  <c r="Y23" i="110"/>
  <c r="Y34" i="110" s="1"/>
  <c r="AB27" i="110"/>
  <c r="AB57" i="110" s="1"/>
  <c r="AA23" i="110"/>
  <c r="AA33" i="110" s="1"/>
  <c r="AA36" i="110" s="1"/>
  <c r="AE19" i="160"/>
  <c r="AE28" i="160" s="1"/>
  <c r="AE24" i="110"/>
  <c r="AE56" i="110" s="1"/>
  <c r="AE26" i="110"/>
  <c r="AE50" i="110" s="1"/>
  <c r="P14" i="3"/>
  <c r="AZ21" i="3"/>
  <c r="AJ15" i="160"/>
  <c r="AJ18" i="160"/>
  <c r="AJ13" i="160"/>
  <c r="AJ17" i="160"/>
  <c r="AJ14" i="160"/>
  <c r="AJ16" i="160"/>
  <c r="U33" i="42"/>
  <c r="AC23" i="110"/>
  <c r="AC33" i="110" s="1"/>
  <c r="AC36" i="110" s="1"/>
  <c r="Q24" i="159"/>
  <c r="AN22" i="159" s="1"/>
  <c r="AN19" i="160" s="1"/>
  <c r="AN28" i="160" s="1"/>
  <c r="Q19" i="160"/>
  <c r="Q28" i="160" s="1"/>
  <c r="V60" i="110"/>
  <c r="AG23" i="110"/>
  <c r="AG33" i="110" s="1"/>
  <c r="AG36" i="110" s="1"/>
  <c r="V28" i="3"/>
  <c r="AG27" i="110"/>
  <c r="AG57" i="110" s="1"/>
  <c r="AG19" i="160"/>
  <c r="AG28" i="160" s="1"/>
  <c r="S28" i="3"/>
  <c r="AC27" i="110"/>
  <c r="AC57" i="110" s="1"/>
  <c r="P51" i="110"/>
  <c r="P73" i="110" s="1"/>
  <c r="P82" i="110" s="1"/>
  <c r="BC19" i="160"/>
  <c r="BC28" i="160" s="1"/>
  <c r="R23" i="159"/>
  <c r="BL22" i="159" s="1"/>
  <c r="BL19" i="160" s="1"/>
  <c r="BL28" i="160" s="1"/>
  <c r="Z26" i="110"/>
  <c r="Z50" i="110" s="1"/>
  <c r="Z23" i="110"/>
  <c r="Z34" i="110" s="1"/>
  <c r="Z45" i="110" s="1"/>
  <c r="Z24" i="110"/>
  <c r="Z56" i="110" s="1"/>
  <c r="Z60" i="110" s="1"/>
  <c r="S24" i="159"/>
  <c r="AP22" i="159" s="1"/>
  <c r="AP19" i="160" s="1"/>
  <c r="AP28" i="160" s="1"/>
  <c r="R19" i="160"/>
  <c r="R28" i="160" s="1"/>
  <c r="S19" i="160"/>
  <c r="S28" i="160" s="1"/>
  <c r="V19" i="160"/>
  <c r="V28" i="160" s="1"/>
  <c r="W26" i="110"/>
  <c r="W50" i="110" s="1"/>
  <c r="W90" i="110" s="1"/>
  <c r="BF16" i="160"/>
  <c r="Y19" i="160"/>
  <c r="Y28" i="160" s="1"/>
  <c r="Y23" i="159"/>
  <c r="BS22" i="159" s="1"/>
  <c r="BS19" i="160" s="1"/>
  <c r="BS28" i="160" s="1"/>
  <c r="W24" i="110"/>
  <c r="W56" i="110" s="1"/>
  <c r="W59" i="110" s="1"/>
  <c r="Q28" i="3"/>
  <c r="X19" i="160"/>
  <c r="X28" i="160" s="1"/>
  <c r="X24" i="159"/>
  <c r="AU22" i="159" s="1"/>
  <c r="AU19" i="160" s="1"/>
  <c r="AU28" i="160" s="1"/>
  <c r="AB23" i="110"/>
  <c r="AB34" i="110" s="1"/>
  <c r="AB46" i="110" s="1"/>
  <c r="T24" i="159"/>
  <c r="AQ22" i="159" s="1"/>
  <c r="AQ19" i="160" s="1"/>
  <c r="AQ28" i="160" s="1"/>
  <c r="T19" i="160"/>
  <c r="T28" i="160" s="1"/>
  <c r="V24" i="159"/>
  <c r="AS22" i="159" s="1"/>
  <c r="AS19" i="160" s="1"/>
  <c r="AS28" i="160" s="1"/>
  <c r="U19" i="160"/>
  <c r="U28" i="160" s="1"/>
  <c r="AZ15" i="160"/>
  <c r="Z24" i="159"/>
  <c r="AW22" i="159" s="1"/>
  <c r="AW19" i="160" s="1"/>
  <c r="AW28" i="160" s="1"/>
  <c r="U24" i="159"/>
  <c r="AR22" i="159" s="1"/>
  <c r="AR19" i="160" s="1"/>
  <c r="AR28" i="160" s="1"/>
  <c r="Z23" i="159"/>
  <c r="BT22" i="159" s="1"/>
  <c r="BT19" i="160" s="1"/>
  <c r="BT28" i="160" s="1"/>
  <c r="P41" i="159"/>
  <c r="AM40" i="159" s="1"/>
  <c r="Q40" i="159"/>
  <c r="Q42" i="159" s="1"/>
  <c r="BK40" i="159" s="1"/>
  <c r="BF32" i="3"/>
  <c r="AE23" i="110"/>
  <c r="AE33" i="110" s="1"/>
  <c r="AE37" i="110" s="1"/>
  <c r="AC50" i="110"/>
  <c r="BF13" i="160"/>
  <c r="BF25" i="160" s="1"/>
  <c r="BF14" i="160"/>
  <c r="BF17" i="160"/>
  <c r="BF15" i="160"/>
  <c r="BF18" i="160"/>
  <c r="K26" i="160"/>
  <c r="K55" i="160" s="1"/>
  <c r="K68" i="160" s="1"/>
  <c r="W34" i="110"/>
  <c r="W45" i="110" s="1"/>
  <c r="X60" i="110"/>
  <c r="AJ26" i="3"/>
  <c r="AJ58" i="3" s="1"/>
  <c r="F26" i="160"/>
  <c r="F57" i="160" s="1"/>
  <c r="AC13" i="160"/>
  <c r="AC25" i="160" s="1"/>
  <c r="F27" i="160"/>
  <c r="F77" i="160" s="1"/>
  <c r="AC16" i="160"/>
  <c r="AC15" i="160"/>
  <c r="AZ13" i="160"/>
  <c r="AZ17" i="160"/>
  <c r="BG17" i="160"/>
  <c r="AZ14" i="160"/>
  <c r="AZ18" i="160"/>
  <c r="AZ16" i="160"/>
  <c r="AC14" i="160"/>
  <c r="L79" i="3"/>
  <c r="AC18" i="160"/>
  <c r="F33" i="160"/>
  <c r="L54" i="3"/>
  <c r="F32" i="160"/>
  <c r="F25" i="160"/>
  <c r="F43" i="160" s="1"/>
  <c r="F34" i="160"/>
  <c r="F21" i="160"/>
  <c r="V33" i="110"/>
  <c r="V37" i="110" s="1"/>
  <c r="V42" i="110" s="1"/>
  <c r="V69" i="110" s="1"/>
  <c r="V26" i="110"/>
  <c r="V50" i="110" s="1"/>
  <c r="L32" i="160"/>
  <c r="BF26" i="3"/>
  <c r="BF58" i="3" s="1"/>
  <c r="P50" i="159"/>
  <c r="F56" i="3"/>
  <c r="T60" i="110"/>
  <c r="L76" i="3"/>
  <c r="Q30" i="159"/>
  <c r="F54" i="3"/>
  <c r="BF27" i="3"/>
  <c r="BF79" i="3" s="1"/>
  <c r="F55" i="3"/>
  <c r="F45" i="42" s="1"/>
  <c r="F57" i="3"/>
  <c r="K21" i="160"/>
  <c r="BF25" i="3"/>
  <c r="BF34" i="3"/>
  <c r="BF33" i="3"/>
  <c r="AI18" i="160"/>
  <c r="P13" i="3"/>
  <c r="P18" i="160"/>
  <c r="P18" i="3"/>
  <c r="P15" i="3"/>
  <c r="AI14" i="160"/>
  <c r="AP47" i="159"/>
  <c r="BM47" i="159"/>
  <c r="T47" i="159"/>
  <c r="F78" i="3"/>
  <c r="F79" i="3"/>
  <c r="BF21" i="3"/>
  <c r="F77" i="3"/>
  <c r="AI34" i="3"/>
  <c r="F76" i="3"/>
  <c r="AI32" i="3"/>
  <c r="K77" i="3"/>
  <c r="AC27" i="3"/>
  <c r="AC77" i="3" s="1"/>
  <c r="AZ26" i="3"/>
  <c r="AZ56" i="3" s="1"/>
  <c r="K76" i="3"/>
  <c r="AC33" i="3"/>
  <c r="AC32" i="3"/>
  <c r="X50" i="110"/>
  <c r="X73" i="110" s="1"/>
  <c r="X82" i="110" s="1"/>
  <c r="AC56" i="3"/>
  <c r="AC21" i="3"/>
  <c r="AC58" i="3"/>
  <c r="AC34" i="3"/>
  <c r="P13" i="160"/>
  <c r="P25" i="160" s="1"/>
  <c r="U51" i="110"/>
  <c r="U73" i="110" s="1"/>
  <c r="U82" i="110" s="1"/>
  <c r="AC57" i="3"/>
  <c r="U23" i="110"/>
  <c r="U33" i="110" s="1"/>
  <c r="U37" i="110" s="1"/>
  <c r="U42" i="110" s="1"/>
  <c r="U69" i="110" s="1"/>
  <c r="P31" i="159"/>
  <c r="AM30" i="159" s="1"/>
  <c r="AH21" i="3"/>
  <c r="AC55" i="3"/>
  <c r="AZ34" i="3"/>
  <c r="AI21" i="3"/>
  <c r="AZ27" i="3"/>
  <c r="AZ77" i="3" s="1"/>
  <c r="AZ33" i="3"/>
  <c r="BE17" i="160"/>
  <c r="AZ32" i="3"/>
  <c r="BE14" i="160"/>
  <c r="L26" i="160"/>
  <c r="L56" i="160" s="1"/>
  <c r="AI33" i="3"/>
  <c r="AZ25" i="3"/>
  <c r="BE13" i="160"/>
  <c r="K57" i="3"/>
  <c r="S33" i="110"/>
  <c r="S36" i="110" s="1"/>
  <c r="AA26" i="110"/>
  <c r="AA51" i="110" s="1"/>
  <c r="K55" i="3"/>
  <c r="K45" i="42" s="1"/>
  <c r="AI26" i="3"/>
  <c r="AI56" i="3" s="1"/>
  <c r="L27" i="160"/>
  <c r="L79" i="160" s="1"/>
  <c r="L25" i="160"/>
  <c r="L43" i="160" s="1"/>
  <c r="L21" i="160"/>
  <c r="AI27" i="3"/>
  <c r="AI78" i="3" s="1"/>
  <c r="AI15" i="160"/>
  <c r="K79" i="3"/>
  <c r="L58" i="3"/>
  <c r="L77" i="3"/>
  <c r="L75" i="3"/>
  <c r="L57" i="3"/>
  <c r="L56" i="3"/>
  <c r="K75" i="3"/>
  <c r="K78" i="3"/>
  <c r="S27" i="110"/>
  <c r="S57" i="110" s="1"/>
  <c r="S73" i="110" s="1"/>
  <c r="S82" i="110" s="1"/>
  <c r="K58" i="3"/>
  <c r="R24" i="110"/>
  <c r="R56" i="110" s="1"/>
  <c r="R60" i="110" s="1"/>
  <c r="K56" i="3"/>
  <c r="L33" i="160"/>
  <c r="BE26" i="3"/>
  <c r="BE55" i="3" s="1"/>
  <c r="L34" i="160"/>
  <c r="BE16" i="160"/>
  <c r="AG24" i="110"/>
  <c r="AG56" i="110" s="1"/>
  <c r="BE15" i="160"/>
  <c r="AI17" i="160"/>
  <c r="AI13" i="160"/>
  <c r="AI25" i="160" s="1"/>
  <c r="BE18" i="160"/>
  <c r="AI16" i="160"/>
  <c r="AC24" i="110"/>
  <c r="AC56" i="110" s="1"/>
  <c r="Q50" i="110"/>
  <c r="Q90" i="110" s="1"/>
  <c r="BG27" i="3"/>
  <c r="BG75" i="3" s="1"/>
  <c r="M58" i="3"/>
  <c r="M56" i="3"/>
  <c r="BE34" i="3"/>
  <c r="BE33" i="3"/>
  <c r="BE32" i="3"/>
  <c r="BE21" i="3"/>
  <c r="Y26" i="110"/>
  <c r="Y50" i="110" s="1"/>
  <c r="BE27" i="3"/>
  <c r="BE79" i="3" s="1"/>
  <c r="AH27" i="3"/>
  <c r="AH79" i="3" s="1"/>
  <c r="AJ34" i="3"/>
  <c r="AH32" i="3"/>
  <c r="M26" i="160"/>
  <c r="M54" i="160" s="1"/>
  <c r="Q59" i="110"/>
  <c r="AB26" i="110"/>
  <c r="AB50" i="110" s="1"/>
  <c r="X33" i="110"/>
  <c r="X37" i="110" s="1"/>
  <c r="X43" i="110" s="1"/>
  <c r="X70" i="110" s="1"/>
  <c r="AH26" i="3"/>
  <c r="AH57" i="3" s="1"/>
  <c r="BG18" i="160"/>
  <c r="M54" i="3"/>
  <c r="M55" i="3"/>
  <c r="M45" i="42" s="1"/>
  <c r="AJ33" i="3"/>
  <c r="AH34" i="3"/>
  <c r="AJ32" i="3"/>
  <c r="AH33" i="3"/>
  <c r="BG34" i="3"/>
  <c r="BG26" i="3"/>
  <c r="BG58" i="3" s="1"/>
  <c r="K27" i="160"/>
  <c r="K76" i="160" s="1"/>
  <c r="AD23" i="110"/>
  <c r="AG51" i="110"/>
  <c r="K32" i="160"/>
  <c r="AH17" i="160"/>
  <c r="AH16" i="160"/>
  <c r="AH13" i="160"/>
  <c r="K25" i="160"/>
  <c r="K45" i="160" s="1"/>
  <c r="BG15" i="160"/>
  <c r="AH15" i="160"/>
  <c r="BG13" i="160"/>
  <c r="BG25" i="160" s="1"/>
  <c r="AH14" i="160"/>
  <c r="BG14" i="160"/>
  <c r="AJ21" i="3"/>
  <c r="M27" i="160"/>
  <c r="M78" i="160" s="1"/>
  <c r="K34" i="160"/>
  <c r="BG16" i="160"/>
  <c r="AH19" i="160"/>
  <c r="AH28" i="160" s="1"/>
  <c r="K33" i="160"/>
  <c r="BG19" i="160"/>
  <c r="BG28" i="160" s="1"/>
  <c r="BG21" i="3"/>
  <c r="AJ27" i="3"/>
  <c r="AJ79" i="3" s="1"/>
  <c r="BG33" i="3"/>
  <c r="BG32" i="3"/>
  <c r="T23" i="110"/>
  <c r="T33" i="110" s="1"/>
  <c r="T36" i="110" s="1"/>
  <c r="T40" i="110" s="1"/>
  <c r="T68" i="110" s="1"/>
  <c r="P24" i="110"/>
  <c r="P56" i="110" s="1"/>
  <c r="P60" i="110" s="1"/>
  <c r="M79" i="3"/>
  <c r="M77" i="3"/>
  <c r="M76" i="3"/>
  <c r="M78" i="3"/>
  <c r="M32" i="160"/>
  <c r="T50" i="110"/>
  <c r="T73" i="110" s="1"/>
  <c r="T82" i="110" s="1"/>
  <c r="M21" i="160"/>
  <c r="M25" i="160"/>
  <c r="M44" i="160" s="1"/>
  <c r="M33" i="160"/>
  <c r="Q27" i="110"/>
  <c r="Q57" i="110" s="1"/>
  <c r="M34" i="160"/>
  <c r="W27" i="110"/>
  <c r="W57" i="110" s="1"/>
  <c r="BB17" i="3"/>
  <c r="P34" i="110"/>
  <c r="P45" i="110" s="1"/>
  <c r="AE17" i="160"/>
  <c r="W37" i="110"/>
  <c r="W42" i="110" s="1"/>
  <c r="W69" i="110" s="1"/>
  <c r="P90" i="110"/>
  <c r="P36" i="110"/>
  <c r="P39" i="110" s="1"/>
  <c r="P67" i="110" s="1"/>
  <c r="I27" i="160"/>
  <c r="I79" i="160" s="1"/>
  <c r="G26" i="160"/>
  <c r="G57" i="160" s="1"/>
  <c r="I26" i="160"/>
  <c r="I56" i="160" s="1"/>
  <c r="R34" i="110"/>
  <c r="R33" i="110"/>
  <c r="AA60" i="110"/>
  <c r="S46" i="110"/>
  <c r="S45" i="110"/>
  <c r="N26" i="160"/>
  <c r="N57" i="160" s="1"/>
  <c r="S59" i="110"/>
  <c r="S60" i="110"/>
  <c r="R51" i="110"/>
  <c r="R50" i="110"/>
  <c r="AH27" i="32"/>
  <c r="BE27" i="32"/>
  <c r="K50" i="32"/>
  <c r="K43" i="3"/>
  <c r="K44" i="3"/>
  <c r="K45" i="3"/>
  <c r="BB15" i="160"/>
  <c r="BB18" i="160"/>
  <c r="BB13" i="160"/>
  <c r="BB14" i="160"/>
  <c r="BB16" i="160"/>
  <c r="BC13" i="3"/>
  <c r="BC14" i="3"/>
  <c r="BC16" i="3"/>
  <c r="BC18" i="3"/>
  <c r="BC17" i="3"/>
  <c r="BC15" i="3"/>
  <c r="AE17" i="3"/>
  <c r="AC27" i="32"/>
  <c r="AZ27" i="32"/>
  <c r="F45" i="3"/>
  <c r="F44" i="3"/>
  <c r="F43" i="3"/>
  <c r="F50" i="32"/>
  <c r="H39" i="110"/>
  <c r="H67" i="110" s="1"/>
  <c r="H40" i="110"/>
  <c r="H68" i="110" s="1"/>
  <c r="P16" i="160"/>
  <c r="BA16" i="160"/>
  <c r="BA18" i="160"/>
  <c r="BA17" i="160"/>
  <c r="BA15" i="160"/>
  <c r="BA13" i="160"/>
  <c r="BA14" i="160"/>
  <c r="BF27" i="159"/>
  <c r="AI27" i="159"/>
  <c r="L50" i="159"/>
  <c r="BG27" i="159"/>
  <c r="AJ27" i="159"/>
  <c r="M50" i="159"/>
  <c r="I25" i="42"/>
  <c r="I38" i="42" s="1"/>
  <c r="I32" i="3"/>
  <c r="I37" i="42" s="1"/>
  <c r="I26" i="42"/>
  <c r="I30" i="42"/>
  <c r="I21" i="3"/>
  <c r="I34" i="3"/>
  <c r="I25" i="3"/>
  <c r="I44" i="3" s="1"/>
  <c r="I33" i="3"/>
  <c r="BD15" i="160"/>
  <c r="BD17" i="160"/>
  <c r="BD13" i="160"/>
  <c r="BD18" i="160"/>
  <c r="BD16" i="160"/>
  <c r="BD14" i="160"/>
  <c r="F43" i="110"/>
  <c r="F70" i="110" s="1"/>
  <c r="F42" i="110"/>
  <c r="F69" i="110" s="1"/>
  <c r="F80" i="110" s="1"/>
  <c r="O26" i="3"/>
  <c r="O31" i="42"/>
  <c r="J132" i="110"/>
  <c r="N27" i="160"/>
  <c r="G42" i="110"/>
  <c r="G69" i="110" s="1"/>
  <c r="G80" i="110" s="1"/>
  <c r="G43" i="110"/>
  <c r="G70" i="110" s="1"/>
  <c r="W40" i="110"/>
  <c r="W68" i="110" s="1"/>
  <c r="W39" i="110"/>
  <c r="W67" i="110" s="1"/>
  <c r="P27" i="32"/>
  <c r="AL27" i="32"/>
  <c r="BI27" i="32"/>
  <c r="O50" i="32"/>
  <c r="AF26" i="110"/>
  <c r="AF23" i="110"/>
  <c r="Q32" i="32"/>
  <c r="BK30" i="32" s="1"/>
  <c r="R30" i="32"/>
  <c r="Q31" i="32"/>
  <c r="AN30" i="32" s="1"/>
  <c r="Q21" i="42"/>
  <c r="H43" i="110"/>
  <c r="H70" i="110" s="1"/>
  <c r="H42" i="110"/>
  <c r="H69" i="110" s="1"/>
  <c r="H80" i="110" s="1"/>
  <c r="AD13" i="160"/>
  <c r="AD18" i="160"/>
  <c r="AD16" i="160"/>
  <c r="AD14" i="160"/>
  <c r="AD15" i="160"/>
  <c r="AD17" i="160"/>
  <c r="H26" i="160"/>
  <c r="BF27" i="32"/>
  <c r="AI27" i="32"/>
  <c r="L68" i="3"/>
  <c r="L50" i="32"/>
  <c r="L43" i="3"/>
  <c r="L44" i="3"/>
  <c r="L45" i="3"/>
  <c r="AJ27" i="32"/>
  <c r="BG27" i="32"/>
  <c r="M43" i="3"/>
  <c r="M44" i="3"/>
  <c r="M45" i="3"/>
  <c r="M50" i="32"/>
  <c r="F39" i="110"/>
  <c r="F67" i="110" s="1"/>
  <c r="F40" i="110"/>
  <c r="F68" i="110" s="1"/>
  <c r="F81" i="110" s="1"/>
  <c r="N32" i="42"/>
  <c r="N27" i="3"/>
  <c r="AL16" i="3"/>
  <c r="AL18" i="3"/>
  <c r="AL13" i="3"/>
  <c r="AL14" i="3"/>
  <c r="AL15" i="3"/>
  <c r="AL17" i="3"/>
  <c r="BD27" i="159"/>
  <c r="AG27" i="159"/>
  <c r="J50" i="159"/>
  <c r="AF17" i="160"/>
  <c r="AF16" i="160"/>
  <c r="AF18" i="160"/>
  <c r="AF13" i="160"/>
  <c r="AF14" i="160"/>
  <c r="AF15" i="160"/>
  <c r="H26" i="3"/>
  <c r="H31" i="42"/>
  <c r="BB18" i="3"/>
  <c r="BB16" i="3"/>
  <c r="BB15" i="3"/>
  <c r="BB13" i="3"/>
  <c r="BB14" i="3"/>
  <c r="O27" i="160"/>
  <c r="AZ27" i="159"/>
  <c r="AC27" i="159"/>
  <c r="F50" i="159"/>
  <c r="AG17" i="160"/>
  <c r="AG14" i="160"/>
  <c r="AG15" i="160"/>
  <c r="AG16" i="160"/>
  <c r="AG18" i="160"/>
  <c r="AG13" i="160"/>
  <c r="K42" i="110"/>
  <c r="K69" i="110" s="1"/>
  <c r="K80" i="110" s="1"/>
  <c r="K43" i="110"/>
  <c r="K70" i="110" s="1"/>
  <c r="Q35" i="159"/>
  <c r="P37" i="159"/>
  <c r="BJ35" i="159" s="1"/>
  <c r="BJ17" i="160" s="1"/>
  <c r="P36" i="159"/>
  <c r="AM35" i="159" s="1"/>
  <c r="P17" i="160"/>
  <c r="G32" i="42"/>
  <c r="G27" i="3"/>
  <c r="P14" i="160"/>
  <c r="BB27" i="159"/>
  <c r="AE27" i="159"/>
  <c r="H50" i="159"/>
  <c r="AG17" i="3"/>
  <c r="AG14" i="3"/>
  <c r="AG16" i="3"/>
  <c r="AG18" i="3"/>
  <c r="AG15" i="3"/>
  <c r="AG13" i="3"/>
  <c r="BC27" i="159"/>
  <c r="AF27" i="159"/>
  <c r="I50" i="159"/>
  <c r="N30" i="42"/>
  <c r="N25" i="42"/>
  <c r="N38" i="42" s="1"/>
  <c r="N26" i="42"/>
  <c r="N25" i="3"/>
  <c r="N44" i="3" s="1"/>
  <c r="N32" i="3"/>
  <c r="N37" i="42" s="1"/>
  <c r="N21" i="3"/>
  <c r="N33" i="3"/>
  <c r="N34" i="3"/>
  <c r="AK16" i="3"/>
  <c r="AK18" i="3"/>
  <c r="AK13" i="3"/>
  <c r="AK14" i="3"/>
  <c r="AK15" i="3"/>
  <c r="AK17" i="3"/>
  <c r="X45" i="110"/>
  <c r="X71" i="110" s="1"/>
  <c r="X46" i="110"/>
  <c r="AG27" i="32"/>
  <c r="BD27" i="32"/>
  <c r="J50" i="32"/>
  <c r="BC17" i="160"/>
  <c r="BC13" i="160"/>
  <c r="BC15" i="160"/>
  <c r="BC16" i="160"/>
  <c r="BC14" i="160"/>
  <c r="BC18" i="160"/>
  <c r="O23" i="110"/>
  <c r="O26" i="110"/>
  <c r="O26" i="160"/>
  <c r="BA18" i="3"/>
  <c r="BA14" i="3"/>
  <c r="BA16" i="3"/>
  <c r="BA13" i="3"/>
  <c r="BA17" i="3"/>
  <c r="BA15" i="3"/>
  <c r="BD17" i="3"/>
  <c r="BD13" i="3"/>
  <c r="BD14" i="3"/>
  <c r="BD18" i="3"/>
  <c r="BD16" i="3"/>
  <c r="BD15" i="3"/>
  <c r="AE13" i="3"/>
  <c r="AE15" i="3"/>
  <c r="AE18" i="3"/>
  <c r="AE14" i="3"/>
  <c r="AE16" i="3"/>
  <c r="G40" i="110"/>
  <c r="G68" i="110" s="1"/>
  <c r="G81" i="110" s="1"/>
  <c r="G39" i="110"/>
  <c r="G67" i="110" s="1"/>
  <c r="AF24" i="110"/>
  <c r="AF56" i="110" s="1"/>
  <c r="AF27" i="110"/>
  <c r="AF57" i="110" s="1"/>
  <c r="Q35" i="32"/>
  <c r="Q18" i="3" s="1"/>
  <c r="P37" i="32"/>
  <c r="BJ35" i="32" s="1"/>
  <c r="BJ17" i="3" s="1"/>
  <c r="P36" i="32"/>
  <c r="AM35" i="32" s="1"/>
  <c r="AM17" i="3" s="1"/>
  <c r="P17" i="3"/>
  <c r="P16" i="3"/>
  <c r="G25" i="42"/>
  <c r="G38" i="42" s="1"/>
  <c r="G25" i="3"/>
  <c r="G44" i="3" s="1"/>
  <c r="G32" i="3"/>
  <c r="G37" i="42" s="1"/>
  <c r="G30" i="42"/>
  <c r="G26" i="42"/>
  <c r="G21" i="3"/>
  <c r="G33" i="3"/>
  <c r="G34" i="3"/>
  <c r="P15" i="160"/>
  <c r="G27" i="160"/>
  <c r="AE27" i="32"/>
  <c r="BB27" i="32"/>
  <c r="H50" i="32"/>
  <c r="N42" i="110"/>
  <c r="N69" i="110" s="1"/>
  <c r="N80" i="110" s="1"/>
  <c r="N43" i="110"/>
  <c r="N70" i="110" s="1"/>
  <c r="BC27" i="32"/>
  <c r="AF27" i="32"/>
  <c r="I50" i="32"/>
  <c r="I26" i="3"/>
  <c r="I31" i="42"/>
  <c r="O32" i="42"/>
  <c r="O27" i="3"/>
  <c r="BI15" i="3"/>
  <c r="BI17" i="3"/>
  <c r="BI14" i="3"/>
  <c r="BI13" i="3"/>
  <c r="BI16" i="3"/>
  <c r="BI18" i="3"/>
  <c r="O27" i="110"/>
  <c r="O57" i="110" s="1"/>
  <c r="O24" i="110"/>
  <c r="O56" i="110" s="1"/>
  <c r="O25" i="160"/>
  <c r="O43" i="160" s="1"/>
  <c r="O21" i="160"/>
  <c r="O34" i="160"/>
  <c r="O33" i="160"/>
  <c r="O32" i="160"/>
  <c r="Q27" i="159"/>
  <c r="BI27" i="159"/>
  <c r="AL27" i="159"/>
  <c r="O50" i="159"/>
  <c r="J81" i="110"/>
  <c r="J133" i="110" s="1"/>
  <c r="G26" i="3"/>
  <c r="G31" i="42"/>
  <c r="M40" i="110"/>
  <c r="M68" i="110" s="1"/>
  <c r="M81" i="110" s="1"/>
  <c r="M39" i="110"/>
  <c r="M67" i="110" s="1"/>
  <c r="H27" i="160"/>
  <c r="N39" i="110"/>
  <c r="N67" i="110" s="1"/>
  <c r="N40" i="110"/>
  <c r="N68" i="110" s="1"/>
  <c r="J31" i="42"/>
  <c r="J26" i="3"/>
  <c r="J21" i="160"/>
  <c r="J25" i="160"/>
  <c r="J43" i="160" s="1"/>
  <c r="J34" i="160"/>
  <c r="J33" i="160"/>
  <c r="J32" i="160"/>
  <c r="V46" i="110"/>
  <c r="V45" i="110"/>
  <c r="V71" i="110" s="1"/>
  <c r="O25" i="42"/>
  <c r="O38" i="42" s="1"/>
  <c r="O30" i="42"/>
  <c r="O26" i="42"/>
  <c r="O25" i="3"/>
  <c r="O45" i="3" s="1"/>
  <c r="O32" i="3"/>
  <c r="O37" i="42" s="1"/>
  <c r="O21" i="3"/>
  <c r="O33" i="3"/>
  <c r="O34" i="3"/>
  <c r="BH13" i="160"/>
  <c r="BH15" i="160"/>
  <c r="BH16" i="160"/>
  <c r="BH18" i="160"/>
  <c r="BH17" i="160"/>
  <c r="BH14" i="160"/>
  <c r="BI13" i="160"/>
  <c r="BI14" i="160"/>
  <c r="BI17" i="160"/>
  <c r="BI16" i="160"/>
  <c r="BI15" i="160"/>
  <c r="BI18" i="160"/>
  <c r="Q42" i="32"/>
  <c r="BK40" i="32" s="1"/>
  <c r="R40" i="32"/>
  <c r="Q41" i="32"/>
  <c r="AN40" i="32" s="1"/>
  <c r="Y27" i="159"/>
  <c r="U27" i="159"/>
  <c r="V27" i="159"/>
  <c r="R27" i="159"/>
  <c r="W27" i="159"/>
  <c r="S27" i="159"/>
  <c r="X27" i="159"/>
  <c r="Z27" i="159"/>
  <c r="BH27" i="159"/>
  <c r="T27" i="159"/>
  <c r="AK27" i="159"/>
  <c r="N50" i="159"/>
  <c r="M43" i="110"/>
  <c r="M70" i="110" s="1"/>
  <c r="M42" i="110"/>
  <c r="M69" i="110" s="1"/>
  <c r="M80" i="110" s="1"/>
  <c r="BB17" i="160"/>
  <c r="BA27" i="159"/>
  <c r="AD27" i="159"/>
  <c r="G50" i="159"/>
  <c r="G21" i="160"/>
  <c r="G34" i="160"/>
  <c r="G25" i="160"/>
  <c r="G45" i="160" s="1"/>
  <c r="G33" i="160"/>
  <c r="G32" i="160"/>
  <c r="H21" i="160"/>
  <c r="H25" i="160"/>
  <c r="H45" i="160" s="1"/>
  <c r="H34" i="160"/>
  <c r="H33" i="160"/>
  <c r="H32" i="160"/>
  <c r="J26" i="42"/>
  <c r="J25" i="42"/>
  <c r="J38" i="42" s="1"/>
  <c r="J32" i="3"/>
  <c r="J37" i="42" s="1"/>
  <c r="J30" i="42"/>
  <c r="J33" i="3"/>
  <c r="J34" i="3"/>
  <c r="J25" i="3"/>
  <c r="J44" i="3" s="1"/>
  <c r="J21" i="3"/>
  <c r="I32" i="42"/>
  <c r="I27" i="3"/>
  <c r="L86" i="110"/>
  <c r="L88" i="110"/>
  <c r="L87" i="110"/>
  <c r="L79" i="110"/>
  <c r="L75" i="110"/>
  <c r="J27" i="160"/>
  <c r="N26" i="3"/>
  <c r="N31" i="42"/>
  <c r="I37" i="110"/>
  <c r="I36" i="110"/>
  <c r="I90" i="110"/>
  <c r="H25" i="3"/>
  <c r="H44" i="3" s="1"/>
  <c r="H32" i="3"/>
  <c r="H37" i="42" s="1"/>
  <c r="H25" i="42"/>
  <c r="H38" i="42" s="1"/>
  <c r="H26" i="42"/>
  <c r="H30" i="42"/>
  <c r="H34" i="3"/>
  <c r="H21" i="3"/>
  <c r="H33" i="3"/>
  <c r="AK14" i="160"/>
  <c r="AK15" i="160"/>
  <c r="AK13" i="160"/>
  <c r="AK18" i="160"/>
  <c r="AK17" i="160"/>
  <c r="AK16" i="160"/>
  <c r="AL17" i="160"/>
  <c r="AL14" i="160"/>
  <c r="AL16" i="160"/>
  <c r="AL15" i="160"/>
  <c r="AL18" i="160"/>
  <c r="AL13" i="160"/>
  <c r="M135" i="110"/>
  <c r="M134" i="110"/>
  <c r="M132" i="110"/>
  <c r="M133" i="110"/>
  <c r="M131" i="110"/>
  <c r="J79" i="110"/>
  <c r="J88" i="110"/>
  <c r="J86" i="110"/>
  <c r="J75" i="110"/>
  <c r="J87" i="110"/>
  <c r="BE27" i="159"/>
  <c r="AH27" i="159"/>
  <c r="K50" i="159"/>
  <c r="G134" i="110"/>
  <c r="G135" i="110"/>
  <c r="G133" i="110"/>
  <c r="G132" i="110"/>
  <c r="G145" i="110" s="1"/>
  <c r="G131" i="110"/>
  <c r="J109" i="110"/>
  <c r="J108" i="110"/>
  <c r="J110" i="110"/>
  <c r="J111" i="110"/>
  <c r="J112" i="110"/>
  <c r="X27" i="32"/>
  <c r="Z27" i="32"/>
  <c r="Q27" i="32"/>
  <c r="AK27" i="32"/>
  <c r="U27" i="32"/>
  <c r="W27" i="32"/>
  <c r="R27" i="32"/>
  <c r="T27" i="32"/>
  <c r="V27" i="32"/>
  <c r="Y27" i="32"/>
  <c r="S27" i="32"/>
  <c r="BH27" i="32"/>
  <c r="N50" i="32"/>
  <c r="AD17" i="3"/>
  <c r="AD14" i="3"/>
  <c r="AD16" i="3"/>
  <c r="AD18" i="3"/>
  <c r="AD13" i="3"/>
  <c r="AD15" i="3"/>
  <c r="V47" i="32"/>
  <c r="BO47" i="32"/>
  <c r="AR47" i="32"/>
  <c r="AB60" i="110"/>
  <c r="AB59" i="110"/>
  <c r="AD27" i="32"/>
  <c r="BA27" i="32"/>
  <c r="G50" i="32"/>
  <c r="AE18" i="160"/>
  <c r="AE13" i="160"/>
  <c r="AE14" i="160"/>
  <c r="AE16" i="160"/>
  <c r="AE15" i="160"/>
  <c r="P37" i="110"/>
  <c r="Q46" i="110"/>
  <c r="Q72" i="110" s="1"/>
  <c r="Q45" i="110"/>
  <c r="J32" i="42"/>
  <c r="J27" i="3"/>
  <c r="AF17" i="3"/>
  <c r="AF15" i="3"/>
  <c r="AF13" i="3"/>
  <c r="AF16" i="3"/>
  <c r="AF18" i="3"/>
  <c r="AF14" i="3"/>
  <c r="L81" i="110"/>
  <c r="J26" i="160"/>
  <c r="BH17" i="3"/>
  <c r="BH15" i="3"/>
  <c r="BH13" i="3"/>
  <c r="BH14" i="3"/>
  <c r="BH16" i="3"/>
  <c r="BH18" i="3"/>
  <c r="K40" i="110"/>
  <c r="K68" i="110" s="1"/>
  <c r="K81" i="110" s="1"/>
  <c r="K39" i="110"/>
  <c r="K67" i="110" s="1"/>
  <c r="I45" i="110"/>
  <c r="I71" i="110" s="1"/>
  <c r="I46" i="110"/>
  <c r="I72" i="110" s="1"/>
  <c r="I21" i="160"/>
  <c r="I25" i="160"/>
  <c r="I45" i="160" s="1"/>
  <c r="I33" i="160"/>
  <c r="I32" i="160"/>
  <c r="I34" i="160"/>
  <c r="H27" i="3"/>
  <c r="H32" i="42"/>
  <c r="L80" i="110"/>
  <c r="N25" i="160"/>
  <c r="N43" i="160" s="1"/>
  <c r="N21" i="160"/>
  <c r="N33" i="160"/>
  <c r="N32" i="160"/>
  <c r="N34" i="160"/>
  <c r="Q37" i="110" l="1"/>
  <c r="Q42" i="110" s="1"/>
  <c r="Q69" i="110" s="1"/>
  <c r="AC26" i="160"/>
  <c r="AC57" i="160" s="1"/>
  <c r="Y60" i="110"/>
  <c r="AD50" i="110"/>
  <c r="AD73" i="110" s="1"/>
  <c r="AD82" i="110" s="1"/>
  <c r="Y33" i="110"/>
  <c r="Y90" i="110" s="1"/>
  <c r="AA34" i="110"/>
  <c r="AA46" i="110" s="1"/>
  <c r="AA72" i="110" s="1"/>
  <c r="AA37" i="110"/>
  <c r="AA43" i="110" s="1"/>
  <c r="AA70" i="110" s="1"/>
  <c r="AZ26" i="160"/>
  <c r="AZ56" i="160" s="1"/>
  <c r="P34" i="3"/>
  <c r="T119" i="34" s="1"/>
  <c r="AC34" i="110"/>
  <c r="AC45" i="110" s="1"/>
  <c r="AJ33" i="160"/>
  <c r="AE51" i="110"/>
  <c r="AE73" i="110" s="1"/>
  <c r="AE82" i="110" s="1"/>
  <c r="V72" i="110"/>
  <c r="W60" i="110"/>
  <c r="AJ26" i="160"/>
  <c r="AJ57" i="160" s="1"/>
  <c r="AJ25" i="160"/>
  <c r="AJ43" i="160" s="1"/>
  <c r="AJ21" i="160"/>
  <c r="AG34" i="110"/>
  <c r="F89" i="3"/>
  <c r="AG90" i="110"/>
  <c r="AJ34" i="160"/>
  <c r="AC60" i="3"/>
  <c r="AC61" i="3" s="1"/>
  <c r="AZ21" i="160"/>
  <c r="Z59" i="110"/>
  <c r="Z71" i="110" s="1"/>
  <c r="AC37" i="110"/>
  <c r="AC42" i="110" s="1"/>
  <c r="AC69" i="110" s="1"/>
  <c r="AJ32" i="160"/>
  <c r="AJ27" i="160"/>
  <c r="AJ75" i="160" s="1"/>
  <c r="AG37" i="110"/>
  <c r="AC90" i="110"/>
  <c r="AG73" i="110"/>
  <c r="AG82" i="110" s="1"/>
  <c r="Z51" i="110"/>
  <c r="Z73" i="110" s="1"/>
  <c r="Z82" i="110" s="1"/>
  <c r="Z46" i="110"/>
  <c r="Z72" i="110" s="1"/>
  <c r="Z33" i="110"/>
  <c r="Z36" i="110" s="1"/>
  <c r="R40" i="159"/>
  <c r="R42" i="159" s="1"/>
  <c r="BL40" i="159" s="1"/>
  <c r="AB33" i="110"/>
  <c r="AB90" i="110" s="1"/>
  <c r="W51" i="110"/>
  <c r="W73" i="110" s="1"/>
  <c r="W82" i="110" s="1"/>
  <c r="AB45" i="110"/>
  <c r="AB71" i="110" s="1"/>
  <c r="Q41" i="159"/>
  <c r="AN40" i="159" s="1"/>
  <c r="AE34" i="110"/>
  <c r="AE90" i="110"/>
  <c r="AE36" i="110"/>
  <c r="K54" i="160"/>
  <c r="BF32" i="160"/>
  <c r="BF27" i="160"/>
  <c r="BF77" i="160" s="1"/>
  <c r="AC73" i="110"/>
  <c r="AC82" i="110" s="1"/>
  <c r="BF33" i="160"/>
  <c r="BF34" i="160"/>
  <c r="K58" i="160"/>
  <c r="K71" i="160" s="1"/>
  <c r="K57" i="160"/>
  <c r="K56" i="160"/>
  <c r="BF26" i="160"/>
  <c r="BF55" i="160" s="1"/>
  <c r="BF21" i="160"/>
  <c r="W46" i="110"/>
  <c r="X72" i="110"/>
  <c r="F58" i="160"/>
  <c r="AJ54" i="3"/>
  <c r="AJ55" i="3"/>
  <c r="AJ68" i="3" s="1"/>
  <c r="AJ56" i="3"/>
  <c r="AJ57" i="3"/>
  <c r="F56" i="160"/>
  <c r="F69" i="160" s="1"/>
  <c r="F55" i="160"/>
  <c r="F68" i="160" s="1"/>
  <c r="F54" i="160"/>
  <c r="V43" i="110"/>
  <c r="V70" i="110" s="1"/>
  <c r="AM18" i="3"/>
  <c r="F78" i="160"/>
  <c r="AM16" i="3"/>
  <c r="AM15" i="3"/>
  <c r="AM26" i="3" s="1"/>
  <c r="AM55" i="3" s="1"/>
  <c r="AM14" i="3"/>
  <c r="AM13" i="3"/>
  <c r="AM25" i="3" s="1"/>
  <c r="F75" i="160"/>
  <c r="F79" i="160"/>
  <c r="F76" i="160"/>
  <c r="BJ18" i="160"/>
  <c r="BJ15" i="160"/>
  <c r="BJ26" i="160" s="1"/>
  <c r="BJ57" i="160" s="1"/>
  <c r="BJ14" i="160"/>
  <c r="BJ16" i="160"/>
  <c r="BJ13" i="160"/>
  <c r="F45" i="160"/>
  <c r="F48" i="160" s="1"/>
  <c r="F44" i="160"/>
  <c r="F70" i="160" s="1"/>
  <c r="Q15" i="160"/>
  <c r="AC21" i="160"/>
  <c r="V36" i="110"/>
  <c r="V39" i="110" s="1"/>
  <c r="V67" i="110" s="1"/>
  <c r="V79" i="110" s="1"/>
  <c r="AC34" i="160"/>
  <c r="AC33" i="160"/>
  <c r="AC32" i="160"/>
  <c r="AZ34" i="160"/>
  <c r="BG26" i="160"/>
  <c r="BG57" i="160" s="1"/>
  <c r="AZ33" i="160"/>
  <c r="AZ32" i="160"/>
  <c r="AZ25" i="160"/>
  <c r="AZ44" i="160" s="1"/>
  <c r="AZ27" i="160"/>
  <c r="AZ76" i="160" s="1"/>
  <c r="V90" i="110"/>
  <c r="AC27" i="160"/>
  <c r="AC76" i="160" s="1"/>
  <c r="V51" i="110"/>
  <c r="V73" i="110" s="1"/>
  <c r="V82" i="110" s="1"/>
  <c r="BF55" i="3"/>
  <c r="BF68" i="3" s="1"/>
  <c r="BF57" i="3"/>
  <c r="BF56" i="3"/>
  <c r="BF54" i="3"/>
  <c r="F60" i="3"/>
  <c r="F72" i="3" s="1"/>
  <c r="AI77" i="3"/>
  <c r="Q32" i="159"/>
  <c r="BK30" i="159" s="1"/>
  <c r="R30" i="159"/>
  <c r="R32" i="159" s="1"/>
  <c r="BL30" i="159" s="1"/>
  <c r="Q31" i="159"/>
  <c r="AN30" i="159" s="1"/>
  <c r="AI76" i="3"/>
  <c r="Q18" i="160"/>
  <c r="AI75" i="3"/>
  <c r="Q16" i="160"/>
  <c r="AI79" i="3"/>
  <c r="F50" i="42"/>
  <c r="Q13" i="160"/>
  <c r="Q25" i="160" s="1"/>
  <c r="Q45" i="160" s="1"/>
  <c r="Q14" i="160"/>
  <c r="BF76" i="3"/>
  <c r="BF77" i="3"/>
  <c r="BF75" i="3"/>
  <c r="BF78" i="3"/>
  <c r="AC76" i="3"/>
  <c r="AC78" i="3"/>
  <c r="AM15" i="160"/>
  <c r="P25" i="3"/>
  <c r="P44" i="3" s="1"/>
  <c r="F68" i="3"/>
  <c r="P26" i="42"/>
  <c r="P30" i="42"/>
  <c r="P32" i="3"/>
  <c r="P37" i="42" s="1"/>
  <c r="P33" i="3"/>
  <c r="T115" i="34" s="1"/>
  <c r="AH21" i="160"/>
  <c r="AC79" i="3"/>
  <c r="AC75" i="3"/>
  <c r="AZ57" i="3"/>
  <c r="P32" i="42"/>
  <c r="K89" i="3"/>
  <c r="L45" i="160"/>
  <c r="L48" i="160" s="1"/>
  <c r="AZ54" i="3"/>
  <c r="K50" i="42"/>
  <c r="AZ55" i="3"/>
  <c r="AZ68" i="3" s="1"/>
  <c r="P26" i="3"/>
  <c r="P55" i="3" s="1"/>
  <c r="P45" i="42" s="1"/>
  <c r="AZ58" i="3"/>
  <c r="L76" i="160"/>
  <c r="AI33" i="160"/>
  <c r="L75" i="160"/>
  <c r="L78" i="160"/>
  <c r="L77" i="160"/>
  <c r="Q16" i="3"/>
  <c r="Q15" i="3"/>
  <c r="U90" i="110"/>
  <c r="K60" i="3"/>
  <c r="K72" i="3" s="1"/>
  <c r="BJ18" i="3"/>
  <c r="AM18" i="160"/>
  <c r="BN47" i="159"/>
  <c r="AQ47" i="159"/>
  <c r="U47" i="159"/>
  <c r="U34" i="110"/>
  <c r="U45" i="110" s="1"/>
  <c r="U71" i="110" s="1"/>
  <c r="U80" i="110" s="1"/>
  <c r="S37" i="110"/>
  <c r="S42" i="110" s="1"/>
  <c r="S69" i="110" s="1"/>
  <c r="S90" i="110"/>
  <c r="BE26" i="160"/>
  <c r="BE56" i="160" s="1"/>
  <c r="AM13" i="160"/>
  <c r="AM14" i="160"/>
  <c r="AM16" i="160"/>
  <c r="AM17" i="160"/>
  <c r="U36" i="110"/>
  <c r="U39" i="110" s="1"/>
  <c r="U67" i="110" s="1"/>
  <c r="U79" i="110" s="1"/>
  <c r="BE76" i="3"/>
  <c r="AI26" i="160"/>
  <c r="AI57" i="160" s="1"/>
  <c r="L55" i="160"/>
  <c r="L68" i="160" s="1"/>
  <c r="L60" i="3"/>
  <c r="L63" i="3" s="1"/>
  <c r="BE32" i="160"/>
  <c r="AZ79" i="3"/>
  <c r="AZ75" i="3"/>
  <c r="AZ76" i="3"/>
  <c r="AZ78" i="3"/>
  <c r="AI34" i="160"/>
  <c r="AA50" i="110"/>
  <c r="AA73" i="110" s="1"/>
  <c r="AA82" i="110" s="1"/>
  <c r="AB51" i="110"/>
  <c r="AB73" i="110" s="1"/>
  <c r="AB82" i="110" s="1"/>
  <c r="BE21" i="160"/>
  <c r="L54" i="160"/>
  <c r="BE33" i="160"/>
  <c r="BE25" i="160"/>
  <c r="BE43" i="160" s="1"/>
  <c r="BE34" i="160"/>
  <c r="AI58" i="3"/>
  <c r="L57" i="160"/>
  <c r="L58" i="160"/>
  <c r="L89" i="3"/>
  <c r="L44" i="160"/>
  <c r="AI32" i="160"/>
  <c r="BE57" i="3"/>
  <c r="BE56" i="3"/>
  <c r="M43" i="160"/>
  <c r="AI54" i="3"/>
  <c r="R59" i="110"/>
  <c r="BE54" i="3"/>
  <c r="AI57" i="3"/>
  <c r="AI55" i="3"/>
  <c r="AI68" i="3" s="1"/>
  <c r="K68" i="3"/>
  <c r="M68" i="3"/>
  <c r="BG78" i="3"/>
  <c r="AI21" i="160"/>
  <c r="BG76" i="3"/>
  <c r="BE75" i="3"/>
  <c r="BG77" i="3"/>
  <c r="BE78" i="3"/>
  <c r="BE77" i="3"/>
  <c r="BG79" i="3"/>
  <c r="BE27" i="160"/>
  <c r="BE78" i="160" s="1"/>
  <c r="AI27" i="160"/>
  <c r="AI75" i="160" s="1"/>
  <c r="M57" i="160"/>
  <c r="M70" i="160" s="1"/>
  <c r="M60" i="3"/>
  <c r="M72" i="3" s="1"/>
  <c r="M55" i="160"/>
  <c r="M68" i="160" s="1"/>
  <c r="M56" i="160"/>
  <c r="Q73" i="110"/>
  <c r="Q82" i="110" s="1"/>
  <c r="Y51" i="110"/>
  <c r="Y73" i="110" s="1"/>
  <c r="Y82" i="110" s="1"/>
  <c r="BE58" i="3"/>
  <c r="AH76" i="3"/>
  <c r="BG55" i="3"/>
  <c r="BG68" i="3" s="1"/>
  <c r="AH56" i="3"/>
  <c r="AH75" i="3"/>
  <c r="AH77" i="3"/>
  <c r="AH78" i="3"/>
  <c r="K44" i="160"/>
  <c r="U43" i="110"/>
  <c r="U70" i="110" s="1"/>
  <c r="P59" i="110"/>
  <c r="P71" i="110" s="1"/>
  <c r="AJ75" i="3"/>
  <c r="X42" i="110"/>
  <c r="X69" i="110" s="1"/>
  <c r="X80" i="110" s="1"/>
  <c r="AJ78" i="3"/>
  <c r="X36" i="110"/>
  <c r="X39" i="110" s="1"/>
  <c r="X67" i="110" s="1"/>
  <c r="X79" i="110" s="1"/>
  <c r="X99" i="110" s="1"/>
  <c r="X90" i="110"/>
  <c r="AH27" i="160"/>
  <c r="AH78" i="160" s="1"/>
  <c r="AH54" i="3"/>
  <c r="Q71" i="110"/>
  <c r="M58" i="160"/>
  <c r="AH55" i="3"/>
  <c r="AH58" i="3"/>
  <c r="BG34" i="160"/>
  <c r="K78" i="160"/>
  <c r="K79" i="160"/>
  <c r="AH25" i="160"/>
  <c r="AH44" i="160" s="1"/>
  <c r="BG54" i="3"/>
  <c r="M89" i="3"/>
  <c r="BG56" i="3"/>
  <c r="K75" i="160"/>
  <c r="AE26" i="160"/>
  <c r="AE55" i="160" s="1"/>
  <c r="AE68" i="160" s="1"/>
  <c r="K77" i="160"/>
  <c r="BG57" i="3"/>
  <c r="AD33" i="110"/>
  <c r="AD34" i="110"/>
  <c r="K43" i="160"/>
  <c r="M79" i="160"/>
  <c r="M76" i="160"/>
  <c r="M77" i="160"/>
  <c r="AH26" i="160"/>
  <c r="AH56" i="160" s="1"/>
  <c r="AH32" i="160"/>
  <c r="M75" i="160"/>
  <c r="AH33" i="160"/>
  <c r="AH34" i="160"/>
  <c r="BG21" i="160"/>
  <c r="BG33" i="160"/>
  <c r="BG27" i="160"/>
  <c r="BG79" i="160" s="1"/>
  <c r="I76" i="160"/>
  <c r="BG32" i="160"/>
  <c r="P46" i="110"/>
  <c r="P72" i="110" s="1"/>
  <c r="T39" i="110"/>
  <c r="T67" i="110" s="1"/>
  <c r="T79" i="110" s="1"/>
  <c r="T37" i="110"/>
  <c r="T90" i="110"/>
  <c r="AJ77" i="3"/>
  <c r="AJ76" i="3"/>
  <c r="T34" i="110"/>
  <c r="I43" i="3"/>
  <c r="W71" i="110"/>
  <c r="W80" i="110" s="1"/>
  <c r="M45" i="160"/>
  <c r="BB26" i="3"/>
  <c r="BB55" i="3" s="1"/>
  <c r="BB68" i="3" s="1"/>
  <c r="W43" i="110"/>
  <c r="W70" i="110" s="1"/>
  <c r="P26" i="160"/>
  <c r="P54" i="160" s="1"/>
  <c r="G56" i="160"/>
  <c r="I75" i="160"/>
  <c r="I78" i="160"/>
  <c r="P27" i="160"/>
  <c r="P77" i="160" s="1"/>
  <c r="I77" i="160"/>
  <c r="I54" i="160"/>
  <c r="N58" i="160"/>
  <c r="BA26" i="3"/>
  <c r="BA58" i="3" s="1"/>
  <c r="AC54" i="160"/>
  <c r="AE26" i="3"/>
  <c r="AE54" i="3" s="1"/>
  <c r="AC58" i="160"/>
  <c r="N56" i="160"/>
  <c r="N69" i="160" s="1"/>
  <c r="I55" i="160"/>
  <c r="I68" i="160" s="1"/>
  <c r="I58" i="160"/>
  <c r="I71" i="160" s="1"/>
  <c r="I84" i="160" s="1"/>
  <c r="I57" i="160"/>
  <c r="G54" i="160"/>
  <c r="AK26" i="3"/>
  <c r="AK58" i="3" s="1"/>
  <c r="O45" i="160"/>
  <c r="G55" i="160"/>
  <c r="G68" i="160" s="1"/>
  <c r="AF27" i="160"/>
  <c r="AF79" i="160" s="1"/>
  <c r="P40" i="110"/>
  <c r="P68" i="110" s="1"/>
  <c r="P87" i="110" s="1"/>
  <c r="AD26" i="3"/>
  <c r="AD58" i="3" s="1"/>
  <c r="I44" i="160"/>
  <c r="G58" i="160"/>
  <c r="G71" i="160" s="1"/>
  <c r="G44" i="160"/>
  <c r="G70" i="160" s="1"/>
  <c r="P25" i="42"/>
  <c r="P38" i="42" s="1"/>
  <c r="I43" i="160"/>
  <c r="I69" i="160" s="1"/>
  <c r="S72" i="110"/>
  <c r="V80" i="110"/>
  <c r="V110" i="110" s="1"/>
  <c r="BD26" i="3"/>
  <c r="BD58" i="3" s="1"/>
  <c r="M50" i="42"/>
  <c r="BD26" i="160"/>
  <c r="BD55" i="160" s="1"/>
  <c r="BD68" i="160" s="1"/>
  <c r="R90" i="110"/>
  <c r="R36" i="110"/>
  <c r="R37" i="110"/>
  <c r="BH27" i="3"/>
  <c r="BH77" i="3" s="1"/>
  <c r="G43" i="160"/>
  <c r="N44" i="160"/>
  <c r="N70" i="160" s="1"/>
  <c r="P21" i="3"/>
  <c r="BI27" i="3"/>
  <c r="BI78" i="3" s="1"/>
  <c r="AL26" i="3"/>
  <c r="AL54" i="3" s="1"/>
  <c r="BA27" i="160"/>
  <c r="BA78" i="160" s="1"/>
  <c r="R45" i="110"/>
  <c r="R46" i="110"/>
  <c r="R72" i="110" s="1"/>
  <c r="S40" i="110"/>
  <c r="S68" i="110" s="1"/>
  <c r="S39" i="110"/>
  <c r="S67" i="110" s="1"/>
  <c r="AE27" i="3"/>
  <c r="AE78" i="3" s="1"/>
  <c r="BA27" i="3"/>
  <c r="BA76" i="3" s="1"/>
  <c r="BC26" i="160"/>
  <c r="BC57" i="160" s="1"/>
  <c r="N55" i="160"/>
  <c r="N68" i="160" s="1"/>
  <c r="AL27" i="3"/>
  <c r="AL75" i="3" s="1"/>
  <c r="BI26" i="160"/>
  <c r="BI56" i="160" s="1"/>
  <c r="BI26" i="3"/>
  <c r="BI55" i="3" s="1"/>
  <c r="BI68" i="3" s="1"/>
  <c r="BD27" i="3"/>
  <c r="BD79" i="3" s="1"/>
  <c r="N54" i="160"/>
  <c r="P32" i="160"/>
  <c r="P33" i="160"/>
  <c r="R73" i="110"/>
  <c r="R82" i="110" s="1"/>
  <c r="AL26" i="160"/>
  <c r="AL55" i="160" s="1"/>
  <c r="AL68" i="160" s="1"/>
  <c r="AK26" i="160"/>
  <c r="AK57" i="160" s="1"/>
  <c r="BH26" i="160"/>
  <c r="BH57" i="160" s="1"/>
  <c r="S71" i="110"/>
  <c r="H48" i="160"/>
  <c r="I48" i="160"/>
  <c r="O48" i="3"/>
  <c r="AV27" i="32"/>
  <c r="BS27" i="32"/>
  <c r="BP27" i="159"/>
  <c r="AS27" i="159"/>
  <c r="L41" i="3"/>
  <c r="L67" i="3" s="1"/>
  <c r="L87" i="3"/>
  <c r="L69" i="3"/>
  <c r="L46" i="42"/>
  <c r="L44" i="42"/>
  <c r="H56" i="160"/>
  <c r="H54" i="160"/>
  <c r="H57" i="160"/>
  <c r="H58" i="160"/>
  <c r="H55" i="160"/>
  <c r="H68" i="160" s="1"/>
  <c r="O44" i="3"/>
  <c r="H87" i="110"/>
  <c r="H79" i="110"/>
  <c r="H86" i="110"/>
  <c r="H88" i="110"/>
  <c r="H75" i="110"/>
  <c r="F70" i="3"/>
  <c r="F47" i="42"/>
  <c r="BC33" i="3"/>
  <c r="BC25" i="3"/>
  <c r="BC44" i="3" s="1"/>
  <c r="BC21" i="3"/>
  <c r="BC32" i="3"/>
  <c r="BC34" i="3"/>
  <c r="P42" i="110"/>
  <c r="P69" i="110" s="1"/>
  <c r="P43" i="110"/>
  <c r="P70" i="110" s="1"/>
  <c r="AS27" i="32"/>
  <c r="BP27" i="32"/>
  <c r="L50" i="42"/>
  <c r="O44" i="160"/>
  <c r="N67" i="157"/>
  <c r="N78" i="160"/>
  <c r="N79" i="160"/>
  <c r="N75" i="160"/>
  <c r="N77" i="160"/>
  <c r="N76" i="160"/>
  <c r="F110" i="110"/>
  <c r="F112" i="110"/>
  <c r="F111" i="110"/>
  <c r="F108" i="110"/>
  <c r="F109" i="110"/>
  <c r="Y37" i="110"/>
  <c r="BH26" i="3"/>
  <c r="L134" i="110"/>
  <c r="L131" i="110"/>
  <c r="L132" i="110"/>
  <c r="L145" i="110" s="1"/>
  <c r="L133" i="110"/>
  <c r="L135" i="110"/>
  <c r="G43" i="3"/>
  <c r="AD27" i="3"/>
  <c r="AQ27" i="32"/>
  <c r="BN27" i="32"/>
  <c r="AK27" i="160"/>
  <c r="I39" i="110"/>
  <c r="I67" i="110" s="1"/>
  <c r="I40" i="110"/>
  <c r="I68" i="110" s="1"/>
  <c r="I81" i="110" s="1"/>
  <c r="BS27" i="159"/>
  <c r="AV27" i="159"/>
  <c r="R42" i="32"/>
  <c r="BL40" i="32" s="1"/>
  <c r="S40" i="32"/>
  <c r="R41" i="32"/>
  <c r="AO40" i="32" s="1"/>
  <c r="H75" i="160"/>
  <c r="H76" i="160"/>
  <c r="H77" i="160"/>
  <c r="H78" i="160"/>
  <c r="H79" i="160"/>
  <c r="I57" i="3"/>
  <c r="I70" i="3" s="1"/>
  <c r="I54" i="3"/>
  <c r="I55" i="3"/>
  <c r="I56" i="3"/>
  <c r="I58" i="3"/>
  <c r="K67" i="157"/>
  <c r="BC25" i="160"/>
  <c r="BC43" i="160" s="1"/>
  <c r="BC21" i="160"/>
  <c r="BC34" i="160"/>
  <c r="BC33" i="160"/>
  <c r="BC32" i="160"/>
  <c r="AG27" i="3"/>
  <c r="AG26" i="160"/>
  <c r="H54" i="3"/>
  <c r="H58" i="3"/>
  <c r="H55" i="3"/>
  <c r="H56" i="3"/>
  <c r="H57" i="3"/>
  <c r="H47" i="42" s="1"/>
  <c r="J45" i="160"/>
  <c r="AL25" i="3"/>
  <c r="AL45" i="3" s="1"/>
  <c r="AL33" i="3"/>
  <c r="AL34" i="3"/>
  <c r="AL21" i="3"/>
  <c r="AL32" i="3"/>
  <c r="M70" i="3"/>
  <c r="M47" i="42"/>
  <c r="AD26" i="160"/>
  <c r="W79" i="110"/>
  <c r="W99" i="110" s="1"/>
  <c r="W87" i="110"/>
  <c r="W88" i="110"/>
  <c r="W86" i="110"/>
  <c r="O55" i="3"/>
  <c r="O54" i="3"/>
  <c r="O57" i="3"/>
  <c r="O58" i="3"/>
  <c r="O71" i="3" s="1"/>
  <c r="O56" i="3"/>
  <c r="BF45" i="160"/>
  <c r="BF43" i="160"/>
  <c r="BF44" i="160"/>
  <c r="BA26" i="160"/>
  <c r="BJ16" i="3"/>
  <c r="BB27" i="160"/>
  <c r="BE44" i="3"/>
  <c r="BE43" i="3"/>
  <c r="BE45" i="3"/>
  <c r="P34" i="160"/>
  <c r="H79" i="3"/>
  <c r="H76" i="3"/>
  <c r="H75" i="3"/>
  <c r="H77" i="3"/>
  <c r="H78" i="3"/>
  <c r="AJ44" i="3"/>
  <c r="AJ45" i="3"/>
  <c r="AJ43" i="3"/>
  <c r="BH34" i="3"/>
  <c r="BH25" i="3"/>
  <c r="BH44" i="3" s="1"/>
  <c r="BH21" i="3"/>
  <c r="BH32" i="3"/>
  <c r="BH33" i="3"/>
  <c r="G45" i="3"/>
  <c r="N55" i="3"/>
  <c r="N57" i="3"/>
  <c r="N47" i="42" s="1"/>
  <c r="N56" i="3"/>
  <c r="N58" i="3"/>
  <c r="N54" i="3"/>
  <c r="BN27" i="159"/>
  <c r="AQ27" i="159"/>
  <c r="AE25" i="3"/>
  <c r="AE43" i="3" s="1"/>
  <c r="AE32" i="3"/>
  <c r="AE33" i="3"/>
  <c r="AE34" i="3"/>
  <c r="AE21" i="3"/>
  <c r="O43" i="3"/>
  <c r="AF27" i="3"/>
  <c r="AE27" i="160"/>
  <c r="AO27" i="32"/>
  <c r="BL27" i="32"/>
  <c r="AL27" i="160"/>
  <c r="I43" i="110"/>
  <c r="I70" i="110" s="1"/>
  <c r="I42" i="110"/>
  <c r="I69" i="110" s="1"/>
  <c r="I80" i="110" s="1"/>
  <c r="J76" i="160"/>
  <c r="J77" i="160"/>
  <c r="J78" i="160"/>
  <c r="J79" i="160"/>
  <c r="J75" i="160"/>
  <c r="G48" i="160"/>
  <c r="BT27" i="159"/>
  <c r="AW27" i="159"/>
  <c r="N45" i="160"/>
  <c r="BH25" i="160"/>
  <c r="BH43" i="160" s="1"/>
  <c r="BH21" i="160"/>
  <c r="BH34" i="160"/>
  <c r="BH33" i="160"/>
  <c r="BH32" i="160"/>
  <c r="N81" i="110"/>
  <c r="H45" i="3"/>
  <c r="O55" i="160"/>
  <c r="O68" i="160" s="1"/>
  <c r="O54" i="160"/>
  <c r="O56" i="160"/>
  <c r="O69" i="160" s="1"/>
  <c r="O57" i="160"/>
  <c r="O58" i="160"/>
  <c r="O51" i="110"/>
  <c r="O50" i="110"/>
  <c r="L67" i="157"/>
  <c r="Q40" i="110"/>
  <c r="Q68" i="110" s="1"/>
  <c r="Q39" i="110"/>
  <c r="Q67" i="110" s="1"/>
  <c r="AG27" i="160"/>
  <c r="AF26" i="160"/>
  <c r="J44" i="160"/>
  <c r="N79" i="3"/>
  <c r="N78" i="3"/>
  <c r="N77" i="3"/>
  <c r="N75" i="3"/>
  <c r="N76" i="3"/>
  <c r="AD27" i="160"/>
  <c r="Q13" i="3"/>
  <c r="G110" i="110"/>
  <c r="G111" i="110"/>
  <c r="G112" i="110"/>
  <c r="G117" i="110" s="1"/>
  <c r="G108" i="110"/>
  <c r="G114" i="110" s="1"/>
  <c r="G109" i="110"/>
  <c r="BD27" i="160"/>
  <c r="BJ14" i="3"/>
  <c r="BC26" i="3"/>
  <c r="BB21" i="160"/>
  <c r="BB25" i="160"/>
  <c r="BB45" i="160" s="1"/>
  <c r="BB34" i="160"/>
  <c r="BB32" i="160"/>
  <c r="BB33" i="160"/>
  <c r="BE68" i="3"/>
  <c r="AH45" i="3"/>
  <c r="AH43" i="3"/>
  <c r="AH44" i="3"/>
  <c r="AH70" i="3" s="1"/>
  <c r="P21" i="160"/>
  <c r="AK25" i="3"/>
  <c r="AK44" i="3" s="1"/>
  <c r="AK33" i="3"/>
  <c r="AK34" i="3"/>
  <c r="AK21" i="3"/>
  <c r="AK32" i="3"/>
  <c r="AU27" i="32"/>
  <c r="BR27" i="32"/>
  <c r="J98" i="110"/>
  <c r="J124" i="110" s="1"/>
  <c r="J96" i="110"/>
  <c r="J99" i="110"/>
  <c r="J97" i="110"/>
  <c r="J123" i="110" s="1"/>
  <c r="BO27" i="159"/>
  <c r="AR27" i="159"/>
  <c r="O79" i="3"/>
  <c r="O78" i="3"/>
  <c r="O77" i="3"/>
  <c r="O75" i="3"/>
  <c r="O76" i="3"/>
  <c r="L69" i="160"/>
  <c r="AE25" i="160"/>
  <c r="AE44" i="160" s="1"/>
  <c r="AE21" i="160"/>
  <c r="AE34" i="160"/>
  <c r="AE33" i="160"/>
  <c r="AE32" i="160"/>
  <c r="N45" i="3"/>
  <c r="AA40" i="110"/>
  <c r="AA68" i="110" s="1"/>
  <c r="AA39" i="110"/>
  <c r="AA67" i="110" s="1"/>
  <c r="I77" i="3"/>
  <c r="I78" i="3"/>
  <c r="I79" i="3"/>
  <c r="I75" i="3"/>
  <c r="I76" i="3"/>
  <c r="BR27" i="159"/>
  <c r="AU27" i="159"/>
  <c r="BI27" i="160"/>
  <c r="N88" i="110"/>
  <c r="N79" i="110"/>
  <c r="N75" i="110"/>
  <c r="N87" i="110"/>
  <c r="N86" i="110"/>
  <c r="M79" i="110"/>
  <c r="M75" i="110"/>
  <c r="M87" i="110"/>
  <c r="M88" i="110"/>
  <c r="M86" i="110"/>
  <c r="BK27" i="159"/>
  <c r="AN27" i="159"/>
  <c r="Q50" i="159"/>
  <c r="O33" i="110"/>
  <c r="O34" i="110"/>
  <c r="H43" i="160"/>
  <c r="BB27" i="3"/>
  <c r="M41" i="3"/>
  <c r="M67" i="3" s="1"/>
  <c r="M87" i="3"/>
  <c r="M69" i="3"/>
  <c r="M44" i="42"/>
  <c r="M46" i="42"/>
  <c r="L71" i="3"/>
  <c r="L84" i="3" s="1"/>
  <c r="L48" i="3"/>
  <c r="L48" i="42"/>
  <c r="H109" i="110"/>
  <c r="H110" i="110"/>
  <c r="H111" i="110"/>
  <c r="H112" i="110"/>
  <c r="H108" i="110"/>
  <c r="Q67" i="157"/>
  <c r="J131" i="110"/>
  <c r="J145" i="110" s="1"/>
  <c r="BJ13" i="3"/>
  <c r="AC68" i="3"/>
  <c r="AZ43" i="3"/>
  <c r="AZ45" i="3"/>
  <c r="AZ44" i="3"/>
  <c r="K71" i="3"/>
  <c r="K84" i="3" s="1"/>
  <c r="K48" i="42"/>
  <c r="K48" i="3"/>
  <c r="P44" i="160"/>
  <c r="P45" i="160"/>
  <c r="P43" i="160"/>
  <c r="AW27" i="32"/>
  <c r="BT27" i="32"/>
  <c r="J57" i="160"/>
  <c r="J58" i="160"/>
  <c r="J55" i="160"/>
  <c r="J68" i="160" s="1"/>
  <c r="J54" i="160"/>
  <c r="J56" i="160"/>
  <c r="J69" i="160" s="1"/>
  <c r="K79" i="110"/>
  <c r="K86" i="110"/>
  <c r="K75" i="110"/>
  <c r="K88" i="110"/>
  <c r="K87" i="110"/>
  <c r="AT27" i="32"/>
  <c r="BQ27" i="32"/>
  <c r="N43" i="3"/>
  <c r="BO27" i="32"/>
  <c r="AR27" i="32"/>
  <c r="J114" i="110"/>
  <c r="BM27" i="159"/>
  <c r="AP27" i="159"/>
  <c r="BI25" i="160"/>
  <c r="BI43" i="160" s="1"/>
  <c r="BI21" i="160"/>
  <c r="BI32" i="160"/>
  <c r="BI33" i="160"/>
  <c r="BI34" i="160"/>
  <c r="BI33" i="3"/>
  <c r="BI34" i="3"/>
  <c r="BI25" i="3"/>
  <c r="BI43" i="3" s="1"/>
  <c r="BI32" i="3"/>
  <c r="BI21" i="3"/>
  <c r="J67" i="157"/>
  <c r="BD21" i="3"/>
  <c r="BD32" i="3"/>
  <c r="BD33" i="3"/>
  <c r="BD34" i="3"/>
  <c r="BD25" i="3"/>
  <c r="BD44" i="3" s="1"/>
  <c r="H44" i="160"/>
  <c r="F41" i="160"/>
  <c r="F67" i="160" s="1"/>
  <c r="BB25" i="3"/>
  <c r="BB45" i="3" s="1"/>
  <c r="BB34" i="3"/>
  <c r="BB32" i="3"/>
  <c r="BB33" i="3"/>
  <c r="BB21" i="3"/>
  <c r="AF25" i="160"/>
  <c r="AF43" i="160" s="1"/>
  <c r="AF21" i="160"/>
  <c r="AF33" i="160"/>
  <c r="AF32" i="160"/>
  <c r="AF34" i="160"/>
  <c r="F134" i="110"/>
  <c r="F131" i="110"/>
  <c r="F135" i="110"/>
  <c r="F132" i="110"/>
  <c r="F133" i="110"/>
  <c r="O67" i="157"/>
  <c r="L70" i="3"/>
  <c r="L47" i="42"/>
  <c r="AI43" i="3"/>
  <c r="AI45" i="3"/>
  <c r="AI44" i="3"/>
  <c r="S30" i="32"/>
  <c r="R32" i="32"/>
  <c r="BL30" i="32" s="1"/>
  <c r="R31" i="32"/>
  <c r="AO30" i="32" s="1"/>
  <c r="R21" i="42"/>
  <c r="J135" i="110"/>
  <c r="BJ15" i="3"/>
  <c r="BJ26" i="3" s="1"/>
  <c r="AC45" i="3"/>
  <c r="AC44" i="3"/>
  <c r="AC70" i="3" s="1"/>
  <c r="AC43" i="3"/>
  <c r="BB26" i="160"/>
  <c r="K47" i="42"/>
  <c r="K70" i="3"/>
  <c r="P27" i="3"/>
  <c r="AK25" i="160"/>
  <c r="AK43" i="160" s="1"/>
  <c r="AK21" i="160"/>
  <c r="AK34" i="160"/>
  <c r="AK33" i="160"/>
  <c r="AK32" i="160"/>
  <c r="G79" i="3"/>
  <c r="G77" i="3"/>
  <c r="G75" i="3"/>
  <c r="G78" i="3"/>
  <c r="G76" i="3"/>
  <c r="R41" i="159"/>
  <c r="AO40" i="159" s="1"/>
  <c r="F71" i="3"/>
  <c r="F84" i="3" s="1"/>
  <c r="F48" i="42"/>
  <c r="F48" i="3"/>
  <c r="J77" i="3"/>
  <c r="J75" i="3"/>
  <c r="J76" i="3"/>
  <c r="J79" i="3"/>
  <c r="J78" i="3"/>
  <c r="K132" i="110"/>
  <c r="K135" i="110"/>
  <c r="K133" i="110"/>
  <c r="K131" i="110"/>
  <c r="K134" i="110"/>
  <c r="L109" i="110"/>
  <c r="L108" i="110"/>
  <c r="L114" i="110" s="1"/>
  <c r="L111" i="110"/>
  <c r="L112" i="110"/>
  <c r="L117" i="110" s="1"/>
  <c r="L110" i="110"/>
  <c r="AF25" i="3"/>
  <c r="AF43" i="3" s="1"/>
  <c r="AF21" i="3"/>
  <c r="AF32" i="3"/>
  <c r="AF33" i="3"/>
  <c r="AF34" i="3"/>
  <c r="M108" i="110"/>
  <c r="M110" i="110"/>
  <c r="M109" i="110"/>
  <c r="M111" i="110"/>
  <c r="M112" i="110"/>
  <c r="BQ27" i="159"/>
  <c r="AT27" i="159"/>
  <c r="BH27" i="160"/>
  <c r="I45" i="3"/>
  <c r="H43" i="3"/>
  <c r="G79" i="110"/>
  <c r="G75" i="110"/>
  <c r="G87" i="110"/>
  <c r="G86" i="110"/>
  <c r="G88" i="110"/>
  <c r="BA25" i="3"/>
  <c r="BA43" i="3" s="1"/>
  <c r="BA34" i="3"/>
  <c r="BA21" i="3"/>
  <c r="BA32" i="3"/>
  <c r="BA33" i="3"/>
  <c r="J45" i="3"/>
  <c r="AG25" i="3"/>
  <c r="AG45" i="3" s="1"/>
  <c r="AG21" i="3"/>
  <c r="AG32" i="3"/>
  <c r="AG33" i="3"/>
  <c r="AG34" i="3"/>
  <c r="K108" i="110"/>
  <c r="K114" i="110" s="1"/>
  <c r="K110" i="110"/>
  <c r="K111" i="110"/>
  <c r="K109" i="110"/>
  <c r="K112" i="110"/>
  <c r="K117" i="110" s="1"/>
  <c r="P79" i="110"/>
  <c r="AC43" i="160"/>
  <c r="AC44" i="160"/>
  <c r="AC70" i="160" s="1"/>
  <c r="AC45" i="160"/>
  <c r="Y45" i="110"/>
  <c r="Y71" i="110" s="1"/>
  <c r="Y46" i="110"/>
  <c r="Y72" i="110" s="1"/>
  <c r="F88" i="110"/>
  <c r="F79" i="110"/>
  <c r="F75" i="110"/>
  <c r="F86" i="110"/>
  <c r="F87" i="110"/>
  <c r="BF44" i="3"/>
  <c r="BF45" i="3"/>
  <c r="BF43" i="3"/>
  <c r="AD21" i="160"/>
  <c r="AD34" i="160"/>
  <c r="AD25" i="160"/>
  <c r="AD44" i="160" s="1"/>
  <c r="AD32" i="160"/>
  <c r="AD33" i="160"/>
  <c r="J134" i="110"/>
  <c r="BD25" i="160"/>
  <c r="BD43" i="160" s="1"/>
  <c r="BD21" i="160"/>
  <c r="BD33" i="160"/>
  <c r="BD34" i="160"/>
  <c r="BD32" i="160"/>
  <c r="BG43" i="160"/>
  <c r="BG44" i="160"/>
  <c r="BG45" i="160"/>
  <c r="H67" i="157"/>
  <c r="P31" i="42"/>
  <c r="K44" i="42"/>
  <c r="K87" i="3"/>
  <c r="K41" i="3"/>
  <c r="K67" i="3" s="1"/>
  <c r="K69" i="3"/>
  <c r="K46" i="42"/>
  <c r="K48" i="160"/>
  <c r="J55" i="3"/>
  <c r="J57" i="3"/>
  <c r="J70" i="3" s="1"/>
  <c r="J54" i="3"/>
  <c r="J58" i="3"/>
  <c r="J56" i="3"/>
  <c r="J43" i="3"/>
  <c r="O77" i="160"/>
  <c r="O79" i="160"/>
  <c r="O75" i="160"/>
  <c r="O76" i="160"/>
  <c r="O78" i="160"/>
  <c r="AF51" i="110"/>
  <c r="AF50" i="110"/>
  <c r="O60" i="110"/>
  <c r="O59" i="110"/>
  <c r="M48" i="3"/>
  <c r="M71" i="3"/>
  <c r="M84" i="3" s="1"/>
  <c r="M48" i="42"/>
  <c r="BA25" i="160"/>
  <c r="BA43" i="160" s="1"/>
  <c r="BA21" i="160"/>
  <c r="BA34" i="160"/>
  <c r="BA32" i="160"/>
  <c r="BA33" i="160"/>
  <c r="I67" i="157"/>
  <c r="AF26" i="3"/>
  <c r="AB72" i="110"/>
  <c r="BP47" i="32"/>
  <c r="W47" i="32"/>
  <c r="AS47" i="32"/>
  <c r="AC39" i="110"/>
  <c r="AC67" i="110" s="1"/>
  <c r="AC59" i="110"/>
  <c r="AC40" i="110"/>
  <c r="AC68" i="110" s="1"/>
  <c r="AC60" i="110"/>
  <c r="AD33" i="3"/>
  <c r="AD34" i="3"/>
  <c r="AD25" i="3"/>
  <c r="AD43" i="3" s="1"/>
  <c r="AD21" i="3"/>
  <c r="AD32" i="3"/>
  <c r="P67" i="157"/>
  <c r="AP27" i="32"/>
  <c r="BM27" i="32"/>
  <c r="AN27" i="32"/>
  <c r="BK27" i="32"/>
  <c r="Q50" i="32"/>
  <c r="T67" i="157" s="1"/>
  <c r="M145" i="110"/>
  <c r="AL25" i="160"/>
  <c r="AL43" i="160" s="1"/>
  <c r="AL33" i="160"/>
  <c r="AL34" i="160"/>
  <c r="AL32" i="160"/>
  <c r="AL21" i="160"/>
  <c r="L96" i="110"/>
  <c r="L97" i="110"/>
  <c r="L123" i="110" s="1"/>
  <c r="L99" i="110"/>
  <c r="L98" i="110"/>
  <c r="L124" i="110" s="1"/>
  <c r="BL27" i="159"/>
  <c r="AO27" i="159"/>
  <c r="G55" i="3"/>
  <c r="G54" i="3"/>
  <c r="G56" i="3"/>
  <c r="G57" i="3"/>
  <c r="G47" i="42" s="1"/>
  <c r="G58" i="3"/>
  <c r="N111" i="110"/>
  <c r="N112" i="110"/>
  <c r="N109" i="110"/>
  <c r="N108" i="110"/>
  <c r="N110" i="110"/>
  <c r="G75" i="160"/>
  <c r="G76" i="160"/>
  <c r="G78" i="160"/>
  <c r="G79" i="160"/>
  <c r="G77" i="160"/>
  <c r="R35" i="32"/>
  <c r="R18" i="3" s="1"/>
  <c r="Q37" i="32"/>
  <c r="BK35" i="32" s="1"/>
  <c r="BK17" i="3" s="1"/>
  <c r="Q36" i="32"/>
  <c r="AN35" i="32" s="1"/>
  <c r="AN17" i="3" s="1"/>
  <c r="Q17" i="3"/>
  <c r="BC27" i="160"/>
  <c r="AK27" i="3"/>
  <c r="AG26" i="3"/>
  <c r="R35" i="159"/>
  <c r="Q36" i="159"/>
  <c r="AN35" i="159" s="1"/>
  <c r="Q17" i="160"/>
  <c r="Q37" i="159"/>
  <c r="BK35" i="159" s="1"/>
  <c r="AG25" i="160"/>
  <c r="AG43" i="160" s="1"/>
  <c r="AG21" i="160"/>
  <c r="AG34" i="160"/>
  <c r="AG33" i="160"/>
  <c r="AG32" i="160"/>
  <c r="BG43" i="3"/>
  <c r="BG44" i="3"/>
  <c r="BG45" i="3"/>
  <c r="Q14" i="3"/>
  <c r="AF34" i="110"/>
  <c r="AF33" i="110"/>
  <c r="P50" i="32"/>
  <c r="AM27" i="32"/>
  <c r="BJ27" i="32"/>
  <c r="AI43" i="160"/>
  <c r="AI45" i="160"/>
  <c r="AI44" i="160"/>
  <c r="H81" i="110"/>
  <c r="F87" i="3"/>
  <c r="F44" i="42"/>
  <c r="F46" i="42"/>
  <c r="F41" i="3"/>
  <c r="F67" i="3" s="1"/>
  <c r="F69" i="3"/>
  <c r="BC27" i="3"/>
  <c r="M67" i="157"/>
  <c r="O20" i="157"/>
  <c r="M20" i="157"/>
  <c r="J20" i="157"/>
  <c r="I20" i="157"/>
  <c r="L20" i="157"/>
  <c r="Q20" i="157"/>
  <c r="P20" i="157"/>
  <c r="N20" i="157"/>
  <c r="K20" i="157"/>
  <c r="H20" i="157"/>
  <c r="Y36" i="110" l="1"/>
  <c r="Q43" i="110"/>
  <c r="Q70" i="110" s="1"/>
  <c r="AA45" i="110"/>
  <c r="AA71" i="110" s="1"/>
  <c r="AA42" i="110"/>
  <c r="AA69" i="110" s="1"/>
  <c r="AA80" i="110" s="1"/>
  <c r="AA111" i="110" s="1"/>
  <c r="AC56" i="160"/>
  <c r="AC69" i="160" s="1"/>
  <c r="AC55" i="160"/>
  <c r="AC68" i="160" s="1"/>
  <c r="AZ55" i="160"/>
  <c r="AZ68" i="160" s="1"/>
  <c r="AZ58" i="160"/>
  <c r="AZ57" i="160"/>
  <c r="AZ54" i="160"/>
  <c r="AC46" i="110"/>
  <c r="AC72" i="110" s="1"/>
  <c r="AJ54" i="160"/>
  <c r="AJ55" i="160"/>
  <c r="AJ68" i="160" s="1"/>
  <c r="AJ45" i="160"/>
  <c r="AJ44" i="160"/>
  <c r="AJ70" i="160" s="1"/>
  <c r="AC72" i="3"/>
  <c r="AJ56" i="160"/>
  <c r="AJ69" i="160" s="1"/>
  <c r="AC43" i="110"/>
  <c r="AC70" i="110" s="1"/>
  <c r="Z90" i="110"/>
  <c r="AJ58" i="160"/>
  <c r="W72" i="110"/>
  <c r="W75" i="110" s="1"/>
  <c r="AJ77" i="160"/>
  <c r="AJ79" i="160"/>
  <c r="AJ76" i="160"/>
  <c r="G41" i="160"/>
  <c r="G67" i="160" s="1"/>
  <c r="AC63" i="3"/>
  <c r="AC62" i="3"/>
  <c r="AJ78" i="160"/>
  <c r="F83" i="3"/>
  <c r="AB37" i="110"/>
  <c r="AB42" i="110" s="1"/>
  <c r="AB69" i="110" s="1"/>
  <c r="AB80" i="110" s="1"/>
  <c r="AB36" i="110"/>
  <c r="AB39" i="110" s="1"/>
  <c r="AB67" i="110" s="1"/>
  <c r="Z37" i="110"/>
  <c r="Z43" i="110" s="1"/>
  <c r="Z70" i="110" s="1"/>
  <c r="S40" i="159"/>
  <c r="S42" i="159" s="1"/>
  <c r="BM40" i="159" s="1"/>
  <c r="P75" i="110"/>
  <c r="I41" i="3"/>
  <c r="I67" i="3" s="1"/>
  <c r="I42" i="42" s="1"/>
  <c r="BF78" i="160"/>
  <c r="BF76" i="160"/>
  <c r="BF75" i="160"/>
  <c r="BF79" i="160"/>
  <c r="K70" i="160"/>
  <c r="BF54" i="160"/>
  <c r="BF57" i="160"/>
  <c r="BF70" i="160" s="1"/>
  <c r="BF56" i="160"/>
  <c r="BF69" i="160" s="1"/>
  <c r="BF58" i="160"/>
  <c r="BF71" i="160" s="1"/>
  <c r="K60" i="160"/>
  <c r="K72" i="160" s="1"/>
  <c r="V40" i="110"/>
  <c r="V68" i="110" s="1"/>
  <c r="V81" i="110" s="1"/>
  <c r="V134" i="110" s="1"/>
  <c r="F60" i="160"/>
  <c r="F72" i="160" s="1"/>
  <c r="AJ70" i="3"/>
  <c r="AJ60" i="3"/>
  <c r="AJ63" i="3" s="1"/>
  <c r="F87" i="160"/>
  <c r="BJ34" i="160"/>
  <c r="F71" i="160"/>
  <c r="F84" i="160" s="1"/>
  <c r="AM21" i="3"/>
  <c r="F89" i="160"/>
  <c r="AM33" i="3"/>
  <c r="AM32" i="3"/>
  <c r="AM27" i="3"/>
  <c r="AM78" i="3" s="1"/>
  <c r="AM34" i="3"/>
  <c r="BJ27" i="160"/>
  <c r="BJ76" i="160" s="1"/>
  <c r="F83" i="160"/>
  <c r="BJ32" i="160"/>
  <c r="BJ21" i="160"/>
  <c r="BJ25" i="160"/>
  <c r="BJ43" i="160" s="1"/>
  <c r="BJ33" i="160"/>
  <c r="AC78" i="160"/>
  <c r="AZ45" i="160"/>
  <c r="AZ43" i="160"/>
  <c r="BG54" i="160"/>
  <c r="BG58" i="160"/>
  <c r="BG71" i="160" s="1"/>
  <c r="BG84" i="160" s="1"/>
  <c r="BG55" i="160"/>
  <c r="BG68" i="160" s="1"/>
  <c r="BG56" i="160"/>
  <c r="BG69" i="160" s="1"/>
  <c r="AZ78" i="160"/>
  <c r="AZ77" i="160"/>
  <c r="AZ75" i="160"/>
  <c r="AZ79" i="160"/>
  <c r="AC75" i="160"/>
  <c r="AC77" i="160"/>
  <c r="AC79" i="160"/>
  <c r="BF70" i="3"/>
  <c r="P45" i="3"/>
  <c r="AN17" i="160"/>
  <c r="P43" i="3"/>
  <c r="BF60" i="3"/>
  <c r="BF63" i="3" s="1"/>
  <c r="R31" i="159"/>
  <c r="AO30" i="159" s="1"/>
  <c r="F62" i="3"/>
  <c r="F61" i="3"/>
  <c r="F85" i="3"/>
  <c r="F52" i="42" s="1"/>
  <c r="R18" i="160"/>
  <c r="F63" i="3"/>
  <c r="F86" i="3"/>
  <c r="F43" i="42"/>
  <c r="S30" i="159"/>
  <c r="S31" i="159" s="1"/>
  <c r="AP30" i="159" s="1"/>
  <c r="BK17" i="160"/>
  <c r="J41" i="160"/>
  <c r="J67" i="160" s="1"/>
  <c r="Q27" i="160"/>
  <c r="Q77" i="160" s="1"/>
  <c r="AI89" i="3"/>
  <c r="T111" i="34"/>
  <c r="BF89" i="3"/>
  <c r="Q32" i="160"/>
  <c r="Q33" i="160"/>
  <c r="Q34" i="160"/>
  <c r="Q21" i="160"/>
  <c r="AC89" i="3"/>
  <c r="BE70" i="3"/>
  <c r="AI56" i="160"/>
  <c r="AI69" i="160" s="1"/>
  <c r="AM33" i="160"/>
  <c r="AZ60" i="3"/>
  <c r="AZ63" i="3" s="1"/>
  <c r="K83" i="3"/>
  <c r="AZ70" i="3"/>
  <c r="U46" i="110"/>
  <c r="U72" i="110" s="1"/>
  <c r="AM32" i="160"/>
  <c r="AM34" i="160"/>
  <c r="BE57" i="160"/>
  <c r="L89" i="160"/>
  <c r="AM25" i="160"/>
  <c r="AM43" i="160" s="1"/>
  <c r="L41" i="160"/>
  <c r="L67" i="160" s="1"/>
  <c r="BE45" i="160"/>
  <c r="BE48" i="160" s="1"/>
  <c r="BE60" i="3"/>
  <c r="BE72" i="3" s="1"/>
  <c r="L71" i="160"/>
  <c r="L84" i="160" s="1"/>
  <c r="AM27" i="160"/>
  <c r="AM77" i="160" s="1"/>
  <c r="K61" i="3"/>
  <c r="AI58" i="160"/>
  <c r="AI71" i="160" s="1"/>
  <c r="BE89" i="3"/>
  <c r="K63" i="3"/>
  <c r="K62" i="3"/>
  <c r="P56" i="3"/>
  <c r="S43" i="110"/>
  <c r="S70" i="110" s="1"/>
  <c r="S81" i="110" s="1"/>
  <c r="S133" i="110" s="1"/>
  <c r="K86" i="3"/>
  <c r="P54" i="3"/>
  <c r="AI54" i="160"/>
  <c r="K89" i="160"/>
  <c r="U40" i="110"/>
  <c r="U68" i="110" s="1"/>
  <c r="U88" i="110" s="1"/>
  <c r="K43" i="42"/>
  <c r="P58" i="3"/>
  <c r="K41" i="160"/>
  <c r="K67" i="160" s="1"/>
  <c r="P57" i="3"/>
  <c r="P47" i="42" s="1"/>
  <c r="AI70" i="160"/>
  <c r="Q26" i="3"/>
  <c r="Q54" i="3" s="1"/>
  <c r="AI55" i="160"/>
  <c r="AI68" i="160" s="1"/>
  <c r="AI70" i="3"/>
  <c r="BK16" i="3"/>
  <c r="BK14" i="3"/>
  <c r="BK15" i="3"/>
  <c r="BK26" i="3" s="1"/>
  <c r="BK55" i="3" s="1"/>
  <c r="BK68" i="3" s="1"/>
  <c r="AN15" i="3"/>
  <c r="AN26" i="3" s="1"/>
  <c r="AN56" i="3" s="1"/>
  <c r="R50" i="32"/>
  <c r="AA90" i="110"/>
  <c r="AM21" i="160"/>
  <c r="BO47" i="159"/>
  <c r="AR47" i="159"/>
  <c r="V47" i="159"/>
  <c r="BE58" i="160"/>
  <c r="BE55" i="160"/>
  <c r="BE68" i="160" s="1"/>
  <c r="BE54" i="160"/>
  <c r="BE75" i="160"/>
  <c r="AZ89" i="3"/>
  <c r="AM26" i="160"/>
  <c r="AM55" i="160" s="1"/>
  <c r="AM68" i="160" s="1"/>
  <c r="BE44" i="160"/>
  <c r="L61" i="3"/>
  <c r="L62" i="3"/>
  <c r="L43" i="42"/>
  <c r="L86" i="3"/>
  <c r="L72" i="3"/>
  <c r="L88" i="3" s="1"/>
  <c r="M41" i="160"/>
  <c r="M67" i="160" s="1"/>
  <c r="AI60" i="3"/>
  <c r="AI62" i="3" s="1"/>
  <c r="L60" i="160"/>
  <c r="L62" i="160" s="1"/>
  <c r="AE54" i="160"/>
  <c r="K69" i="160"/>
  <c r="M69" i="160"/>
  <c r="M83" i="160" s="1"/>
  <c r="L87" i="160"/>
  <c r="L70" i="160"/>
  <c r="L83" i="160" s="1"/>
  <c r="K87" i="160"/>
  <c r="BE77" i="160"/>
  <c r="BE76" i="160"/>
  <c r="AI76" i="160"/>
  <c r="BE79" i="160"/>
  <c r="R71" i="110"/>
  <c r="M43" i="42"/>
  <c r="M62" i="3"/>
  <c r="BG89" i="3"/>
  <c r="M86" i="3"/>
  <c r="BG76" i="160"/>
  <c r="M63" i="3"/>
  <c r="M61" i="3"/>
  <c r="AH89" i="3"/>
  <c r="AI77" i="160"/>
  <c r="AI78" i="160"/>
  <c r="AI79" i="160"/>
  <c r="M60" i="160"/>
  <c r="M61" i="160" s="1"/>
  <c r="M87" i="160"/>
  <c r="K84" i="160"/>
  <c r="AH79" i="160"/>
  <c r="AH77" i="160"/>
  <c r="AH75" i="160"/>
  <c r="G60" i="160"/>
  <c r="G62" i="160" s="1"/>
  <c r="AH76" i="160"/>
  <c r="BG70" i="3"/>
  <c r="X40" i="110"/>
  <c r="X68" i="110" s="1"/>
  <c r="X75" i="110" s="1"/>
  <c r="W96" i="110"/>
  <c r="AH43" i="160"/>
  <c r="AH69" i="160" s="1"/>
  <c r="AE56" i="160"/>
  <c r="Q80" i="110"/>
  <c r="Q109" i="110" s="1"/>
  <c r="AE58" i="160"/>
  <c r="AE57" i="160"/>
  <c r="AE70" i="160" s="1"/>
  <c r="P79" i="160"/>
  <c r="AH60" i="3"/>
  <c r="AH72" i="3" s="1"/>
  <c r="V112" i="110"/>
  <c r="AH68" i="3"/>
  <c r="AH45" i="160"/>
  <c r="AH48" i="160" s="1"/>
  <c r="BG75" i="160"/>
  <c r="BC43" i="3"/>
  <c r="BG78" i="160"/>
  <c r="AH58" i="160"/>
  <c r="BG77" i="160"/>
  <c r="AH55" i="160"/>
  <c r="AH68" i="160" s="1"/>
  <c r="BG60" i="3"/>
  <c r="BG63" i="3" s="1"/>
  <c r="P56" i="160"/>
  <c r="P69" i="160" s="1"/>
  <c r="I46" i="42"/>
  <c r="AH54" i="160"/>
  <c r="AJ89" i="3"/>
  <c r="M89" i="160"/>
  <c r="AH57" i="160"/>
  <c r="AH70" i="160" s="1"/>
  <c r="AD36" i="110"/>
  <c r="AD40" i="110" s="1"/>
  <c r="AD68" i="110" s="1"/>
  <c r="AD37" i="110"/>
  <c r="AD42" i="110" s="1"/>
  <c r="AD69" i="110" s="1"/>
  <c r="AD90" i="110"/>
  <c r="V109" i="110"/>
  <c r="AK55" i="3"/>
  <c r="AK68" i="3" s="1"/>
  <c r="P57" i="160"/>
  <c r="P70" i="160" s="1"/>
  <c r="BB58" i="3"/>
  <c r="BB71" i="3" s="1"/>
  <c r="M48" i="160"/>
  <c r="AE43" i="160"/>
  <c r="BB57" i="3"/>
  <c r="T88" i="110"/>
  <c r="M71" i="160"/>
  <c r="M84" i="160" s="1"/>
  <c r="BB56" i="3"/>
  <c r="T87" i="110"/>
  <c r="BB54" i="3"/>
  <c r="T86" i="110"/>
  <c r="I89" i="160"/>
  <c r="T46" i="110"/>
  <c r="T72" i="110" s="1"/>
  <c r="T45" i="110"/>
  <c r="T71" i="110" s="1"/>
  <c r="T42" i="110"/>
  <c r="T69" i="110" s="1"/>
  <c r="T43" i="110"/>
  <c r="T70" i="110" s="1"/>
  <c r="BJ56" i="160"/>
  <c r="BI76" i="3"/>
  <c r="BI75" i="3"/>
  <c r="AM57" i="3"/>
  <c r="P58" i="160"/>
  <c r="P71" i="160" s="1"/>
  <c r="BI79" i="3"/>
  <c r="P55" i="160"/>
  <c r="P68" i="160" s="1"/>
  <c r="AL44" i="3"/>
  <c r="AE76" i="3"/>
  <c r="BI77" i="3"/>
  <c r="P81" i="110"/>
  <c r="P132" i="110" s="1"/>
  <c r="BC45" i="3"/>
  <c r="BC48" i="3" s="1"/>
  <c r="BJ27" i="3"/>
  <c r="BJ79" i="3" s="1"/>
  <c r="AL45" i="160"/>
  <c r="AL48" i="160" s="1"/>
  <c r="X98" i="110"/>
  <c r="W97" i="110"/>
  <c r="W98" i="110"/>
  <c r="AE79" i="3"/>
  <c r="AD54" i="3"/>
  <c r="AM56" i="3"/>
  <c r="P88" i="110"/>
  <c r="AE77" i="3"/>
  <c r="AD56" i="3"/>
  <c r="AD69" i="3" s="1"/>
  <c r="AM54" i="3"/>
  <c r="BA75" i="3"/>
  <c r="P80" i="110"/>
  <c r="P111" i="110" s="1"/>
  <c r="P86" i="110"/>
  <c r="AD57" i="3"/>
  <c r="AM58" i="3"/>
  <c r="BD77" i="3"/>
  <c r="AD55" i="3"/>
  <c r="AD68" i="3" s="1"/>
  <c r="BH43" i="3"/>
  <c r="V111" i="110"/>
  <c r="BC58" i="160"/>
  <c r="V108" i="110"/>
  <c r="P78" i="160"/>
  <c r="I41" i="160"/>
  <c r="I67" i="160" s="1"/>
  <c r="BJ54" i="160"/>
  <c r="BH76" i="3"/>
  <c r="BJ55" i="160"/>
  <c r="BJ68" i="160" s="1"/>
  <c r="AL43" i="3"/>
  <c r="P76" i="160"/>
  <c r="BJ58" i="160"/>
  <c r="P75" i="160"/>
  <c r="O71" i="160"/>
  <c r="O84" i="160" s="1"/>
  <c r="O48" i="160"/>
  <c r="BI54" i="160"/>
  <c r="BI55" i="160"/>
  <c r="BI68" i="160" s="1"/>
  <c r="O41" i="160"/>
  <c r="O67" i="160" s="1"/>
  <c r="AL56" i="160"/>
  <c r="AL69" i="160" s="1"/>
  <c r="AK56" i="3"/>
  <c r="AL57" i="160"/>
  <c r="BD58" i="160"/>
  <c r="AL56" i="3"/>
  <c r="BA77" i="3"/>
  <c r="BH56" i="160"/>
  <c r="BH69" i="160" s="1"/>
  <c r="BD57" i="160"/>
  <c r="BG70" i="160"/>
  <c r="BD56" i="160"/>
  <c r="BD69" i="160" s="1"/>
  <c r="BD54" i="160"/>
  <c r="I60" i="160"/>
  <c r="I86" i="160" s="1"/>
  <c r="G89" i="160"/>
  <c r="I87" i="160"/>
  <c r="BA56" i="3"/>
  <c r="BA69" i="3" s="1"/>
  <c r="J60" i="160"/>
  <c r="J61" i="160" s="1"/>
  <c r="AK45" i="160"/>
  <c r="AK48" i="160" s="1"/>
  <c r="AK44" i="160"/>
  <c r="AK70" i="160" s="1"/>
  <c r="AE58" i="3"/>
  <c r="AE56" i="3"/>
  <c r="AE69" i="3" s="1"/>
  <c r="BA55" i="3"/>
  <c r="BA68" i="3" s="1"/>
  <c r="AE57" i="3"/>
  <c r="BA54" i="3"/>
  <c r="AE55" i="3"/>
  <c r="AE68" i="3" s="1"/>
  <c r="BA57" i="3"/>
  <c r="N60" i="160"/>
  <c r="N63" i="160" s="1"/>
  <c r="BD45" i="160"/>
  <c r="BD48" i="160" s="1"/>
  <c r="AK54" i="3"/>
  <c r="J89" i="160"/>
  <c r="AK57" i="3"/>
  <c r="AK70" i="3" s="1"/>
  <c r="G69" i="160"/>
  <c r="G83" i="160" s="1"/>
  <c r="I70" i="160"/>
  <c r="I83" i="160" s="1"/>
  <c r="S80" i="110"/>
  <c r="S111" i="110" s="1"/>
  <c r="BA79" i="3"/>
  <c r="AK56" i="160"/>
  <c r="BH79" i="3"/>
  <c r="BI54" i="3"/>
  <c r="AF75" i="160"/>
  <c r="BC56" i="160"/>
  <c r="BC69" i="160" s="1"/>
  <c r="BH55" i="160"/>
  <c r="BH68" i="160" s="1"/>
  <c r="BH54" i="160"/>
  <c r="AK54" i="160"/>
  <c r="BH78" i="3"/>
  <c r="BI58" i="3"/>
  <c r="AF78" i="160"/>
  <c r="BC54" i="160"/>
  <c r="BH58" i="160"/>
  <c r="AK55" i="160"/>
  <c r="AK68" i="160" s="1"/>
  <c r="BI57" i="3"/>
  <c r="AF77" i="160"/>
  <c r="BC55" i="160"/>
  <c r="BC68" i="160" s="1"/>
  <c r="AD43" i="160"/>
  <c r="AL57" i="3"/>
  <c r="AZ70" i="160"/>
  <c r="BH75" i="3"/>
  <c r="AK58" i="160"/>
  <c r="BI56" i="3"/>
  <c r="BI69" i="3" s="1"/>
  <c r="AF76" i="160"/>
  <c r="G87" i="160"/>
  <c r="O84" i="3"/>
  <c r="BA76" i="160"/>
  <c r="H60" i="160"/>
  <c r="H72" i="160" s="1"/>
  <c r="BA78" i="3"/>
  <c r="M88" i="3"/>
  <c r="BA77" i="160"/>
  <c r="AL58" i="3"/>
  <c r="AL71" i="3" s="1"/>
  <c r="AL44" i="160"/>
  <c r="M50" i="3"/>
  <c r="N83" i="160"/>
  <c r="P68" i="3"/>
  <c r="AE75" i="3"/>
  <c r="BA45" i="160"/>
  <c r="BA48" i="160" s="1"/>
  <c r="BD56" i="3"/>
  <c r="BI58" i="160"/>
  <c r="Q44" i="160"/>
  <c r="AL76" i="3"/>
  <c r="BA79" i="160"/>
  <c r="AL55" i="3"/>
  <c r="AL68" i="3" s="1"/>
  <c r="J87" i="160"/>
  <c r="BH45" i="3"/>
  <c r="BH48" i="3" s="1"/>
  <c r="BD57" i="3"/>
  <c r="BD70" i="3" s="1"/>
  <c r="Q43" i="160"/>
  <c r="AG44" i="3"/>
  <c r="AK43" i="3"/>
  <c r="I44" i="42"/>
  <c r="L83" i="3"/>
  <c r="BD55" i="3"/>
  <c r="BD68" i="3" s="1"/>
  <c r="BD75" i="3"/>
  <c r="N41" i="160"/>
  <c r="N67" i="160" s="1"/>
  <c r="AL79" i="3"/>
  <c r="AL58" i="160"/>
  <c r="H89" i="160"/>
  <c r="BF68" i="160"/>
  <c r="AL77" i="3"/>
  <c r="BD54" i="3"/>
  <c r="R43" i="110"/>
  <c r="R70" i="110" s="1"/>
  <c r="R42" i="110"/>
  <c r="R69" i="110" s="1"/>
  <c r="AE45" i="160"/>
  <c r="BI57" i="160"/>
  <c r="BD76" i="3"/>
  <c r="AL78" i="3"/>
  <c r="AL54" i="160"/>
  <c r="BA75" i="160"/>
  <c r="N87" i="160"/>
  <c r="R40" i="110"/>
  <c r="R68" i="110" s="1"/>
  <c r="R39" i="110"/>
  <c r="R67" i="110" s="1"/>
  <c r="AK45" i="3"/>
  <c r="AK48" i="3" s="1"/>
  <c r="O87" i="160"/>
  <c r="BD78" i="3"/>
  <c r="N89" i="3"/>
  <c r="H89" i="3"/>
  <c r="BD44" i="160"/>
  <c r="BI45" i="3"/>
  <c r="BI48" i="3" s="1"/>
  <c r="S86" i="110"/>
  <c r="S87" i="110"/>
  <c r="S88" i="110"/>
  <c r="S79" i="110"/>
  <c r="X102" i="110"/>
  <c r="BI69" i="160"/>
  <c r="BB48" i="160"/>
  <c r="BB48" i="3"/>
  <c r="AG48" i="3"/>
  <c r="Q27" i="3"/>
  <c r="Q32" i="42"/>
  <c r="J71" i="3"/>
  <c r="J84" i="3" s="1"/>
  <c r="J48" i="3"/>
  <c r="J48" i="42"/>
  <c r="G97" i="110"/>
  <c r="G123" i="110" s="1"/>
  <c r="G98" i="110"/>
  <c r="G124" i="110" s="1"/>
  <c r="G99" i="110"/>
  <c r="G96" i="110"/>
  <c r="F50" i="3"/>
  <c r="BJ54" i="3"/>
  <c r="BJ55" i="3"/>
  <c r="BJ68" i="3" s="1"/>
  <c r="BJ56" i="3"/>
  <c r="BJ57" i="3"/>
  <c r="BJ58" i="3"/>
  <c r="R14" i="3"/>
  <c r="T30" i="32"/>
  <c r="S32" i="32"/>
  <c r="BM30" i="32" s="1"/>
  <c r="S21" i="42"/>
  <c r="S31" i="32"/>
  <c r="AP30" i="32" s="1"/>
  <c r="M83" i="3"/>
  <c r="AF45" i="3"/>
  <c r="BA44" i="160"/>
  <c r="AN15" i="160"/>
  <c r="AN14" i="3"/>
  <c r="T96" i="110"/>
  <c r="T99" i="110"/>
  <c r="T97" i="110"/>
  <c r="T98" i="110"/>
  <c r="AD76" i="160"/>
  <c r="AD75" i="160"/>
  <c r="AD77" i="160"/>
  <c r="AD78" i="160"/>
  <c r="AD79" i="160"/>
  <c r="H48" i="42"/>
  <c r="H71" i="3"/>
  <c r="H84" i="3" s="1"/>
  <c r="H48" i="3"/>
  <c r="BK18" i="160"/>
  <c r="G48" i="42"/>
  <c r="G71" i="3"/>
  <c r="G84" i="3" s="1"/>
  <c r="G48" i="3"/>
  <c r="AJ71" i="3"/>
  <c r="AJ84" i="3" s="1"/>
  <c r="AJ48" i="3"/>
  <c r="BF41" i="160"/>
  <c r="BF67" i="160" s="1"/>
  <c r="BI44" i="3"/>
  <c r="AG57" i="160"/>
  <c r="AG58" i="160"/>
  <c r="AG55" i="160"/>
  <c r="AG68" i="160" s="1"/>
  <c r="AG54" i="160"/>
  <c r="AG56" i="160"/>
  <c r="AG69" i="160" s="1"/>
  <c r="I133" i="110"/>
  <c r="I134" i="110"/>
  <c r="I131" i="110"/>
  <c r="I132" i="110"/>
  <c r="I145" i="110" s="1"/>
  <c r="I135" i="110"/>
  <c r="F114" i="110"/>
  <c r="O90" i="110"/>
  <c r="O36" i="110"/>
  <c r="O37" i="110"/>
  <c r="L42" i="42"/>
  <c r="W102" i="110"/>
  <c r="G45" i="42"/>
  <c r="G68" i="3"/>
  <c r="K91" i="3"/>
  <c r="K42" i="42"/>
  <c r="BK13" i="3"/>
  <c r="BF69" i="3"/>
  <c r="BF87" i="3"/>
  <c r="BF41" i="3"/>
  <c r="BF67" i="3" s="1"/>
  <c r="AC71" i="160"/>
  <c r="AC48" i="160"/>
  <c r="P98" i="110"/>
  <c r="P97" i="110"/>
  <c r="P96" i="110"/>
  <c r="P99" i="110"/>
  <c r="R13" i="3"/>
  <c r="AG44" i="160"/>
  <c r="H70" i="160"/>
  <c r="N69" i="3"/>
  <c r="N44" i="42"/>
  <c r="N46" i="42"/>
  <c r="N87" i="3"/>
  <c r="N41" i="3"/>
  <c r="N67" i="3" s="1"/>
  <c r="AN16" i="160"/>
  <c r="AZ71" i="3"/>
  <c r="AZ84" i="3" s="1"/>
  <c r="AZ48" i="3"/>
  <c r="AN13" i="3"/>
  <c r="M91" i="3"/>
  <c r="M42" i="42"/>
  <c r="BB76" i="3"/>
  <c r="BB79" i="3"/>
  <c r="BB77" i="3"/>
  <c r="BB75" i="3"/>
  <c r="BB78" i="3"/>
  <c r="BD43" i="3"/>
  <c r="AA79" i="110"/>
  <c r="AA86" i="110"/>
  <c r="AA87" i="110"/>
  <c r="AA88" i="110"/>
  <c r="J102" i="110"/>
  <c r="J125" i="110"/>
  <c r="J140" i="110" s="1"/>
  <c r="F88" i="3"/>
  <c r="Q79" i="110"/>
  <c r="Q87" i="110"/>
  <c r="Q86" i="110"/>
  <c r="Q88" i="110"/>
  <c r="Q75" i="110"/>
  <c r="I110" i="110"/>
  <c r="I109" i="110"/>
  <c r="I111" i="110"/>
  <c r="I108" i="110"/>
  <c r="I114" i="110" s="1"/>
  <c r="I112" i="110"/>
  <c r="I117" i="110" s="1"/>
  <c r="BK16" i="160"/>
  <c r="O69" i="3"/>
  <c r="O87" i="3"/>
  <c r="O44" i="42"/>
  <c r="O46" i="42"/>
  <c r="O41" i="3"/>
  <c r="O67" i="3" s="1"/>
  <c r="BF48" i="160"/>
  <c r="BB44" i="3"/>
  <c r="I79" i="110"/>
  <c r="I87" i="110"/>
  <c r="I86" i="110"/>
  <c r="I88" i="110"/>
  <c r="I75" i="110"/>
  <c r="X110" i="110"/>
  <c r="X112" i="110"/>
  <c r="X125" i="110" s="1"/>
  <c r="X109" i="110"/>
  <c r="X108" i="110"/>
  <c r="X111" i="110"/>
  <c r="H96" i="110"/>
  <c r="H97" i="110"/>
  <c r="H123" i="110" s="1"/>
  <c r="H99" i="110"/>
  <c r="H98" i="110"/>
  <c r="H124" i="110" s="1"/>
  <c r="O48" i="42"/>
  <c r="H70" i="3"/>
  <c r="S35" i="159"/>
  <c r="R37" i="159"/>
  <c r="BL35" i="159" s="1"/>
  <c r="BL17" i="160" s="1"/>
  <c r="R17" i="160"/>
  <c r="R36" i="159"/>
  <c r="AO35" i="159" s="1"/>
  <c r="BC55" i="3"/>
  <c r="BC68" i="3" s="1"/>
  <c r="BC56" i="3"/>
  <c r="BC57" i="3"/>
  <c r="BC70" i="3" s="1"/>
  <c r="BC54" i="3"/>
  <c r="BC58" i="3"/>
  <c r="Z39" i="110"/>
  <c r="Z67" i="110" s="1"/>
  <c r="Z40" i="110"/>
  <c r="Z68" i="110" s="1"/>
  <c r="J87" i="3"/>
  <c r="J69" i="3"/>
  <c r="J44" i="42"/>
  <c r="J46" i="42"/>
  <c r="J41" i="3"/>
  <c r="J67" i="3" s="1"/>
  <c r="J60" i="3"/>
  <c r="J63" i="3" s="1"/>
  <c r="J50" i="42"/>
  <c r="AL48" i="3"/>
  <c r="BF71" i="3"/>
  <c r="BF84" i="3" s="1"/>
  <c r="BF48" i="3"/>
  <c r="F99" i="110"/>
  <c r="F98" i="110"/>
  <c r="F124" i="110" s="1"/>
  <c r="F97" i="110"/>
  <c r="F123" i="110" s="1"/>
  <c r="F96" i="110"/>
  <c r="K85" i="3"/>
  <c r="K52" i="42" s="1"/>
  <c r="BH76" i="160"/>
  <c r="BH77" i="160"/>
  <c r="BH78" i="160"/>
  <c r="BH75" i="160"/>
  <c r="BH79" i="160"/>
  <c r="K145" i="110"/>
  <c r="BB56" i="160"/>
  <c r="BB54" i="160"/>
  <c r="BB58" i="160"/>
  <c r="BB57" i="160"/>
  <c r="BB55" i="160"/>
  <c r="BB68" i="160" s="1"/>
  <c r="R15" i="3"/>
  <c r="AI71" i="3"/>
  <c r="AI84" i="3" s="1"/>
  <c r="AI48" i="3"/>
  <c r="AG45" i="160"/>
  <c r="F91" i="160"/>
  <c r="U111" i="110"/>
  <c r="U112" i="110"/>
  <c r="U110" i="110"/>
  <c r="U108" i="110"/>
  <c r="U109" i="110"/>
  <c r="AN18" i="160"/>
  <c r="P41" i="160"/>
  <c r="P67" i="160" s="1"/>
  <c r="AZ69" i="3"/>
  <c r="AZ87" i="3"/>
  <c r="AZ41" i="3"/>
  <c r="AZ67" i="3" s="1"/>
  <c r="AN18" i="3"/>
  <c r="M49" i="3"/>
  <c r="H69" i="160"/>
  <c r="H87" i="160"/>
  <c r="H41" i="160"/>
  <c r="H67" i="160" s="1"/>
  <c r="BD45" i="3"/>
  <c r="AA81" i="110"/>
  <c r="O89" i="3"/>
  <c r="J122" i="110"/>
  <c r="J143" i="110"/>
  <c r="J103" i="110"/>
  <c r="J95" i="110"/>
  <c r="J121" i="110" s="1"/>
  <c r="Q25" i="3"/>
  <c r="Q25" i="42"/>
  <c r="Q38" i="42" s="1"/>
  <c r="Q32" i="3"/>
  <c r="Q37" i="42" s="1"/>
  <c r="Q30" i="42"/>
  <c r="Q26" i="42"/>
  <c r="Q21" i="3"/>
  <c r="Q34" i="3"/>
  <c r="Q33" i="3"/>
  <c r="Q81" i="110"/>
  <c r="BI45" i="160"/>
  <c r="BK15" i="160"/>
  <c r="Q31" i="42"/>
  <c r="N45" i="42"/>
  <c r="N68" i="3"/>
  <c r="J71" i="160"/>
  <c r="J84" i="160" s="1"/>
  <c r="J48" i="160"/>
  <c r="AG75" i="3"/>
  <c r="AG77" i="3"/>
  <c r="AG78" i="3"/>
  <c r="AG76" i="3"/>
  <c r="AG79" i="3"/>
  <c r="BB43" i="3"/>
  <c r="I45" i="42"/>
  <c r="I68" i="3"/>
  <c r="AK76" i="160"/>
  <c r="AK77" i="160"/>
  <c r="AK78" i="160"/>
  <c r="AK79" i="160"/>
  <c r="AK75" i="160"/>
  <c r="BC79" i="3"/>
  <c r="BC77" i="3"/>
  <c r="BC78" i="3"/>
  <c r="BC75" i="3"/>
  <c r="BC76" i="3"/>
  <c r="AF55" i="160"/>
  <c r="AF68" i="160" s="1"/>
  <c r="AF54" i="160"/>
  <c r="AF56" i="160"/>
  <c r="AF69" i="160" s="1"/>
  <c r="AF57" i="160"/>
  <c r="AF58" i="160"/>
  <c r="AJ87" i="3"/>
  <c r="AJ69" i="3"/>
  <c r="AJ41" i="3"/>
  <c r="AJ67" i="3" s="1"/>
  <c r="R67" i="157"/>
  <c r="X47" i="32"/>
  <c r="BQ47" i="32"/>
  <c r="AT47" i="32"/>
  <c r="AD59" i="110"/>
  <c r="AD45" i="110"/>
  <c r="AD46" i="110"/>
  <c r="AD60" i="110"/>
  <c r="R13" i="160"/>
  <c r="BG48" i="160"/>
  <c r="AC41" i="160"/>
  <c r="AC67" i="160" s="1"/>
  <c r="AC69" i="3"/>
  <c r="AC83" i="3" s="1"/>
  <c r="AC87" i="3"/>
  <c r="AC41" i="3"/>
  <c r="AC67" i="3" s="1"/>
  <c r="AC86" i="3"/>
  <c r="R16" i="3"/>
  <c r="AI87" i="3"/>
  <c r="AI69" i="3"/>
  <c r="AI41" i="3"/>
  <c r="AI67" i="3" s="1"/>
  <c r="F49" i="160"/>
  <c r="AD44" i="3"/>
  <c r="AN13" i="160"/>
  <c r="P48" i="160"/>
  <c r="AN16" i="3"/>
  <c r="L50" i="3"/>
  <c r="AE45" i="3"/>
  <c r="M99" i="110"/>
  <c r="M96" i="110"/>
  <c r="M98" i="110"/>
  <c r="M124" i="110" s="1"/>
  <c r="M97" i="110"/>
  <c r="M123" i="110" s="1"/>
  <c r="N48" i="3"/>
  <c r="N48" i="42"/>
  <c r="N71" i="3"/>
  <c r="N84" i="3" s="1"/>
  <c r="BD77" i="160"/>
  <c r="BD76" i="160"/>
  <c r="BD75" i="160"/>
  <c r="BD78" i="160"/>
  <c r="BD79" i="160"/>
  <c r="O60" i="160"/>
  <c r="BI44" i="160"/>
  <c r="G84" i="160"/>
  <c r="AL79" i="160"/>
  <c r="AL75" i="160"/>
  <c r="AL77" i="160"/>
  <c r="AL76" i="160"/>
  <c r="AL78" i="160"/>
  <c r="BA45" i="3"/>
  <c r="BK14" i="160"/>
  <c r="BB75" i="160"/>
  <c r="BB77" i="160"/>
  <c r="BB76" i="160"/>
  <c r="BB78" i="160"/>
  <c r="BB79" i="160"/>
  <c r="U96" i="110"/>
  <c r="U98" i="110"/>
  <c r="U97" i="110"/>
  <c r="U99" i="110"/>
  <c r="AF45" i="160"/>
  <c r="I60" i="3"/>
  <c r="I50" i="42"/>
  <c r="AD79" i="3"/>
  <c r="AD75" i="3"/>
  <c r="AD78" i="3"/>
  <c r="AD76" i="3"/>
  <c r="AD77" i="3"/>
  <c r="BH55" i="3"/>
  <c r="BH68" i="3" s="1"/>
  <c r="BH57" i="3"/>
  <c r="BH70" i="3" s="1"/>
  <c r="BH58" i="3"/>
  <c r="BH54" i="3"/>
  <c r="BH56" i="3"/>
  <c r="G70" i="3"/>
  <c r="N70" i="3"/>
  <c r="BG69" i="3"/>
  <c r="BG87" i="3"/>
  <c r="BG41" i="3"/>
  <c r="BG67" i="3" s="1"/>
  <c r="P77" i="3"/>
  <c r="P78" i="3"/>
  <c r="P76" i="3"/>
  <c r="P75" i="3"/>
  <c r="P79" i="3"/>
  <c r="BI79" i="160"/>
  <c r="BI75" i="160"/>
  <c r="BI76" i="160"/>
  <c r="BI77" i="160"/>
  <c r="BI78" i="160"/>
  <c r="AG76" i="160"/>
  <c r="AG78" i="160"/>
  <c r="AG75" i="160"/>
  <c r="AG77" i="160"/>
  <c r="AG79" i="160"/>
  <c r="AG58" i="3"/>
  <c r="AG54" i="3"/>
  <c r="AG55" i="3"/>
  <c r="AG68" i="3" s="1"/>
  <c r="AG56" i="3"/>
  <c r="AG57" i="3"/>
  <c r="F49" i="3"/>
  <c r="AI48" i="160"/>
  <c r="AF90" i="110"/>
  <c r="AF36" i="110"/>
  <c r="AF37" i="110"/>
  <c r="AK79" i="3"/>
  <c r="AK78" i="3"/>
  <c r="AK75" i="3"/>
  <c r="AK76" i="3"/>
  <c r="AK77" i="3"/>
  <c r="L125" i="110"/>
  <c r="L140" i="110" s="1"/>
  <c r="L102" i="110"/>
  <c r="X97" i="110"/>
  <c r="W112" i="110"/>
  <c r="W125" i="110" s="1"/>
  <c r="W110" i="110"/>
  <c r="W108" i="110"/>
  <c r="W109" i="110"/>
  <c r="W111" i="110"/>
  <c r="R14" i="160"/>
  <c r="J45" i="42"/>
  <c r="J68" i="3"/>
  <c r="K49" i="3"/>
  <c r="I71" i="3"/>
  <c r="I84" i="3" s="1"/>
  <c r="I48" i="3"/>
  <c r="I48" i="42"/>
  <c r="L116" i="110"/>
  <c r="L126" i="110"/>
  <c r="L115" i="110"/>
  <c r="L142" i="110"/>
  <c r="J141" i="110"/>
  <c r="J115" i="110"/>
  <c r="J116" i="110"/>
  <c r="J126" i="110"/>
  <c r="J142" i="110"/>
  <c r="AD45" i="3"/>
  <c r="AN14" i="160"/>
  <c r="V99" i="110"/>
  <c r="V96" i="110"/>
  <c r="V98" i="110"/>
  <c r="V97" i="110"/>
  <c r="V123" i="110" s="1"/>
  <c r="H114" i="110"/>
  <c r="AE44" i="3"/>
  <c r="Q48" i="160"/>
  <c r="BC45" i="160"/>
  <c r="N48" i="160"/>
  <c r="N71" i="160"/>
  <c r="N84" i="160" s="1"/>
  <c r="BA44" i="3"/>
  <c r="BK13" i="160"/>
  <c r="K88" i="3"/>
  <c r="BB44" i="160"/>
  <c r="AD55" i="160"/>
  <c r="AD68" i="160" s="1"/>
  <c r="AD56" i="160"/>
  <c r="AD54" i="160"/>
  <c r="AD58" i="160"/>
  <c r="AD57" i="160"/>
  <c r="AD70" i="160" s="1"/>
  <c r="AF44" i="160"/>
  <c r="S42" i="32"/>
  <c r="BM40" i="32" s="1"/>
  <c r="T40" i="32"/>
  <c r="S41" i="32"/>
  <c r="AP40" i="32" s="1"/>
  <c r="BH44" i="160"/>
  <c r="BH70" i="160" s="1"/>
  <c r="G44" i="42"/>
  <c r="G69" i="3"/>
  <c r="G46" i="42"/>
  <c r="G87" i="3"/>
  <c r="G41" i="3"/>
  <c r="G67" i="3" s="1"/>
  <c r="Y43" i="110"/>
  <c r="Y70" i="110" s="1"/>
  <c r="Y42" i="110"/>
  <c r="Y69" i="110" s="1"/>
  <c r="Y80" i="110" s="1"/>
  <c r="N89" i="160"/>
  <c r="O70" i="3"/>
  <c r="O47" i="42"/>
  <c r="I69" i="3"/>
  <c r="I47" i="42"/>
  <c r="BE69" i="3"/>
  <c r="BE87" i="3"/>
  <c r="BE41" i="3"/>
  <c r="BE67" i="3" s="1"/>
  <c r="X96" i="110"/>
  <c r="H132" i="110"/>
  <c r="H133" i="110"/>
  <c r="H131" i="110"/>
  <c r="H135" i="110"/>
  <c r="H134" i="110"/>
  <c r="AM44" i="3"/>
  <c r="AM45" i="3"/>
  <c r="AM43" i="3"/>
  <c r="BC77" i="160"/>
  <c r="BC78" i="160"/>
  <c r="BC75" i="160"/>
  <c r="BC79" i="160"/>
  <c r="BC76" i="160"/>
  <c r="R50" i="159"/>
  <c r="R16" i="160"/>
  <c r="AI41" i="160"/>
  <c r="AI67" i="160" s="1"/>
  <c r="BG48" i="3"/>
  <c r="BG71" i="3"/>
  <c r="BG84" i="3" s="1"/>
  <c r="AG43" i="3"/>
  <c r="N114" i="110"/>
  <c r="AC71" i="110"/>
  <c r="R15" i="160"/>
  <c r="BG41" i="160"/>
  <c r="BG67" i="160" s="1"/>
  <c r="M114" i="110"/>
  <c r="M117" i="110" s="1"/>
  <c r="J89" i="3"/>
  <c r="AC71" i="3"/>
  <c r="AC84" i="3" s="1"/>
  <c r="AC48" i="3"/>
  <c r="F145" i="110"/>
  <c r="K50" i="3"/>
  <c r="BJ32" i="3"/>
  <c r="BJ33" i="3"/>
  <c r="BJ34" i="3"/>
  <c r="BJ25" i="3"/>
  <c r="BJ44" i="3" s="1"/>
  <c r="BJ21" i="3"/>
  <c r="H117" i="110"/>
  <c r="N99" i="110"/>
  <c r="N96" i="110"/>
  <c r="N98" i="110"/>
  <c r="N124" i="110" s="1"/>
  <c r="N97" i="110"/>
  <c r="N123" i="110" s="1"/>
  <c r="AH69" i="3"/>
  <c r="AH87" i="3"/>
  <c r="AH41" i="3"/>
  <c r="AH67" i="3" s="1"/>
  <c r="G115" i="110"/>
  <c r="G116" i="110"/>
  <c r="G126" i="110"/>
  <c r="G142" i="110"/>
  <c r="F50" i="160"/>
  <c r="BC44" i="160"/>
  <c r="BC70" i="160" s="1"/>
  <c r="N135" i="110"/>
  <c r="N133" i="110"/>
  <c r="N134" i="110"/>
  <c r="N132" i="110"/>
  <c r="N131" i="110"/>
  <c r="AE75" i="160"/>
  <c r="AE77" i="160"/>
  <c r="AE76" i="160"/>
  <c r="AE78" i="160"/>
  <c r="AE79" i="160"/>
  <c r="BB43" i="160"/>
  <c r="H45" i="42"/>
  <c r="H68" i="3"/>
  <c r="BH45" i="160"/>
  <c r="AD45" i="160"/>
  <c r="Q26" i="160"/>
  <c r="Y39" i="110"/>
  <c r="Y67" i="110" s="1"/>
  <c r="Y40" i="110"/>
  <c r="Y68" i="110" s="1"/>
  <c r="O70" i="160"/>
  <c r="J47" i="42"/>
  <c r="AF44" i="3"/>
  <c r="O45" i="42"/>
  <c r="O68" i="3"/>
  <c r="H60" i="3"/>
  <c r="H63" i="3" s="1"/>
  <c r="H50" i="42"/>
  <c r="G60" i="3"/>
  <c r="G50" i="42"/>
  <c r="F42" i="42"/>
  <c r="F91" i="3"/>
  <c r="AM68" i="3"/>
  <c r="S35" i="32"/>
  <c r="S13" i="3" s="1"/>
  <c r="R37" i="32"/>
  <c r="BL35" i="32" s="1"/>
  <c r="BL17" i="3" s="1"/>
  <c r="R36" i="32"/>
  <c r="AO35" i="32" s="1"/>
  <c r="AO17" i="3" s="1"/>
  <c r="R17" i="3"/>
  <c r="L143" i="110"/>
  <c r="L122" i="110"/>
  <c r="L95" i="110"/>
  <c r="L121" i="110" s="1"/>
  <c r="AC79" i="110"/>
  <c r="AC86" i="110"/>
  <c r="AC88" i="110"/>
  <c r="AC87" i="110"/>
  <c r="AF55" i="3"/>
  <c r="AF68" i="3" s="1"/>
  <c r="AF57" i="3"/>
  <c r="AF56" i="3"/>
  <c r="AF69" i="3" s="1"/>
  <c r="AF54" i="3"/>
  <c r="AF58" i="3"/>
  <c r="AF73" i="110"/>
  <c r="AF82" i="110" s="1"/>
  <c r="O89" i="160"/>
  <c r="BK18" i="3"/>
  <c r="K116" i="110"/>
  <c r="K115" i="110"/>
  <c r="K126" i="110"/>
  <c r="H44" i="42"/>
  <c r="H69" i="3"/>
  <c r="H46" i="42"/>
  <c r="H87" i="3"/>
  <c r="H41" i="3"/>
  <c r="H67" i="3" s="1"/>
  <c r="G89" i="3"/>
  <c r="AZ83" i="3"/>
  <c r="K98" i="110"/>
  <c r="K124" i="110" s="1"/>
  <c r="K97" i="110"/>
  <c r="K123" i="110" s="1"/>
  <c r="K96" i="110"/>
  <c r="K99" i="110"/>
  <c r="O45" i="110"/>
  <c r="O71" i="110" s="1"/>
  <c r="O46" i="110"/>
  <c r="O72" i="110" s="1"/>
  <c r="I89" i="3"/>
  <c r="AH71" i="3"/>
  <c r="AH84" i="3" s="1"/>
  <c r="AH48" i="3"/>
  <c r="M85" i="3"/>
  <c r="M52" i="42" s="1"/>
  <c r="J70" i="160"/>
  <c r="J83" i="160" s="1"/>
  <c r="O73" i="110"/>
  <c r="O82" i="110" s="1"/>
  <c r="BE69" i="160"/>
  <c r="AF79" i="3"/>
  <c r="AF78" i="3"/>
  <c r="AF76" i="3"/>
  <c r="AF77" i="3"/>
  <c r="AF75" i="3"/>
  <c r="N60" i="3"/>
  <c r="N50" i="42"/>
  <c r="BE71" i="3"/>
  <c r="BE84" i="3" s="1"/>
  <c r="BE48" i="3"/>
  <c r="BA57" i="160"/>
  <c r="BA55" i="160"/>
  <c r="BA68" i="160" s="1"/>
  <c r="BA56" i="160"/>
  <c r="BA69" i="160" s="1"/>
  <c r="BA58" i="160"/>
  <c r="BA54" i="160"/>
  <c r="O60" i="3"/>
  <c r="O50" i="42"/>
  <c r="J117" i="110"/>
  <c r="L49" i="3"/>
  <c r="I87" i="3"/>
  <c r="H71" i="160"/>
  <c r="H84" i="160" s="1"/>
  <c r="R20" i="157"/>
  <c r="S41" i="159" l="1"/>
  <c r="AP40" i="159" s="1"/>
  <c r="T40" i="159"/>
  <c r="U40" i="159" s="1"/>
  <c r="AA75" i="110"/>
  <c r="AZ71" i="160"/>
  <c r="AZ84" i="160" s="1"/>
  <c r="AZ60" i="160"/>
  <c r="AZ61" i="160" s="1"/>
  <c r="AC87" i="160"/>
  <c r="AC83" i="160"/>
  <c r="AC60" i="160"/>
  <c r="AC63" i="160" s="1"/>
  <c r="AZ87" i="160"/>
  <c r="AB40" i="110"/>
  <c r="AB68" i="110" s="1"/>
  <c r="AB87" i="110" s="1"/>
  <c r="AB43" i="110"/>
  <c r="AB70" i="110" s="1"/>
  <c r="AJ71" i="160"/>
  <c r="AJ84" i="160" s="1"/>
  <c r="AJ41" i="160"/>
  <c r="AJ67" i="160" s="1"/>
  <c r="AJ87" i="160"/>
  <c r="AJ60" i="160"/>
  <c r="AJ86" i="160" s="1"/>
  <c r="AJ48" i="160"/>
  <c r="W81" i="110"/>
  <c r="W135" i="110" s="1"/>
  <c r="P99" i="160" s="1"/>
  <c r="AC81" i="110"/>
  <c r="AC132" i="110" s="1"/>
  <c r="AJ89" i="160"/>
  <c r="F88" i="160"/>
  <c r="G49" i="160"/>
  <c r="G50" i="160"/>
  <c r="BA41" i="160"/>
  <c r="BA67" i="160" s="1"/>
  <c r="H83" i="160"/>
  <c r="Z42" i="110"/>
  <c r="Z69" i="110" s="1"/>
  <c r="Z80" i="110" s="1"/>
  <c r="Z109" i="110" s="1"/>
  <c r="BA41" i="3"/>
  <c r="BA67" i="3" s="1"/>
  <c r="AZ89" i="160"/>
  <c r="AD41" i="3"/>
  <c r="AD67" i="3" s="1"/>
  <c r="AC91" i="3"/>
  <c r="AC89" i="160"/>
  <c r="AE41" i="3"/>
  <c r="AE67" i="3" s="1"/>
  <c r="AE41" i="160"/>
  <c r="AE67" i="160" s="1"/>
  <c r="AE60" i="160"/>
  <c r="AE63" i="160" s="1"/>
  <c r="BB60" i="3"/>
  <c r="BB72" i="3" s="1"/>
  <c r="U75" i="110"/>
  <c r="BA89" i="3"/>
  <c r="H91" i="160"/>
  <c r="AD41" i="160"/>
  <c r="AD67" i="160" s="1"/>
  <c r="I50" i="3"/>
  <c r="AF41" i="3"/>
  <c r="AF67" i="3" s="1"/>
  <c r="I49" i="3"/>
  <c r="AF41" i="160"/>
  <c r="AF67" i="160" s="1"/>
  <c r="BC41" i="3"/>
  <c r="BC67" i="3" s="1"/>
  <c r="BC41" i="160"/>
  <c r="BC67" i="160" s="1"/>
  <c r="BF89" i="160"/>
  <c r="BF84" i="160"/>
  <c r="K83" i="160"/>
  <c r="BF87" i="160"/>
  <c r="V87" i="110"/>
  <c r="K61" i="160"/>
  <c r="V86" i="110"/>
  <c r="V88" i="110"/>
  <c r="K63" i="160"/>
  <c r="BF60" i="160"/>
  <c r="BF72" i="160" s="1"/>
  <c r="BF91" i="160" s="1"/>
  <c r="K86" i="160"/>
  <c r="K62" i="160"/>
  <c r="AJ83" i="3"/>
  <c r="V75" i="110"/>
  <c r="F85" i="160"/>
  <c r="F62" i="160"/>
  <c r="F63" i="160"/>
  <c r="F86" i="160"/>
  <c r="F61" i="160"/>
  <c r="AJ72" i="3"/>
  <c r="AJ91" i="3" s="1"/>
  <c r="AJ62" i="3"/>
  <c r="AJ86" i="3"/>
  <c r="AJ61" i="3"/>
  <c r="AM79" i="3"/>
  <c r="AM77" i="3"/>
  <c r="AM76" i="3"/>
  <c r="AM75" i="3"/>
  <c r="BJ45" i="160"/>
  <c r="BJ71" i="160" s="1"/>
  <c r="BJ77" i="160"/>
  <c r="BJ75" i="160"/>
  <c r="BJ79" i="160"/>
  <c r="BJ78" i="160"/>
  <c r="BJ44" i="160"/>
  <c r="BJ70" i="160" s="1"/>
  <c r="AO16" i="3"/>
  <c r="BL15" i="160"/>
  <c r="BL26" i="160" s="1"/>
  <c r="BL58" i="160" s="1"/>
  <c r="AZ41" i="160"/>
  <c r="AZ67" i="160" s="1"/>
  <c r="AZ69" i="160"/>
  <c r="AZ83" i="160" s="1"/>
  <c r="AZ48" i="160"/>
  <c r="BL18" i="160"/>
  <c r="BL16" i="160"/>
  <c r="BL14" i="160"/>
  <c r="BL13" i="160"/>
  <c r="BG87" i="160"/>
  <c r="BG60" i="160"/>
  <c r="BG61" i="160" s="1"/>
  <c r="AN26" i="160"/>
  <c r="AN57" i="160" s="1"/>
  <c r="J50" i="160"/>
  <c r="P41" i="3"/>
  <c r="P67" i="3" s="1"/>
  <c r="P42" i="42" s="1"/>
  <c r="BF83" i="3"/>
  <c r="AC84" i="160"/>
  <c r="J49" i="160"/>
  <c r="U87" i="110"/>
  <c r="P50" i="42"/>
  <c r="AO17" i="160"/>
  <c r="BF62" i="3"/>
  <c r="P71" i="3"/>
  <c r="P84" i="3" s="1"/>
  <c r="S15" i="160"/>
  <c r="T30" i="159"/>
  <c r="T32" i="159" s="1"/>
  <c r="BN30" i="159" s="1"/>
  <c r="P48" i="3"/>
  <c r="BF86" i="3"/>
  <c r="S32" i="159"/>
  <c r="BM30" i="159" s="1"/>
  <c r="BF61" i="3"/>
  <c r="BF72" i="3"/>
  <c r="BF91" i="3" s="1"/>
  <c r="BK26" i="160"/>
  <c r="BK55" i="160" s="1"/>
  <c r="BK68" i="160" s="1"/>
  <c r="Q78" i="160"/>
  <c r="Q76" i="160"/>
  <c r="Q79" i="160"/>
  <c r="Q75" i="160"/>
  <c r="AM75" i="160"/>
  <c r="AM76" i="160"/>
  <c r="P70" i="3"/>
  <c r="AM79" i="160"/>
  <c r="AM78" i="160"/>
  <c r="AZ62" i="3"/>
  <c r="AZ61" i="3"/>
  <c r="AZ86" i="3"/>
  <c r="AZ72" i="3"/>
  <c r="AZ88" i="3" s="1"/>
  <c r="BE83" i="3"/>
  <c r="K50" i="160"/>
  <c r="S75" i="110"/>
  <c r="AI87" i="160"/>
  <c r="L49" i="160"/>
  <c r="AI83" i="3"/>
  <c r="AD43" i="110"/>
  <c r="AD70" i="110" s="1"/>
  <c r="G72" i="160"/>
  <c r="G85" i="160" s="1"/>
  <c r="L50" i="160"/>
  <c r="P87" i="3"/>
  <c r="AI60" i="160"/>
  <c r="AI86" i="160" s="1"/>
  <c r="U81" i="110"/>
  <c r="U134" i="110" s="1"/>
  <c r="AG41" i="160"/>
  <c r="AG67" i="160" s="1"/>
  <c r="Q56" i="3"/>
  <c r="AM45" i="160"/>
  <c r="AM44" i="160"/>
  <c r="Q58" i="3"/>
  <c r="Q57" i="3"/>
  <c r="BE60" i="160"/>
  <c r="BE61" i="160" s="1"/>
  <c r="Q55" i="3"/>
  <c r="Q45" i="42" s="1"/>
  <c r="P60" i="3"/>
  <c r="P63" i="3" s="1"/>
  <c r="P69" i="3"/>
  <c r="AM56" i="160"/>
  <c r="AM57" i="160"/>
  <c r="AM54" i="160"/>
  <c r="BE63" i="3"/>
  <c r="U86" i="110"/>
  <c r="BE61" i="3"/>
  <c r="BE87" i="160"/>
  <c r="BE86" i="3"/>
  <c r="P112" i="110"/>
  <c r="P125" i="110" s="1"/>
  <c r="BD87" i="160"/>
  <c r="AM58" i="160"/>
  <c r="P48" i="42"/>
  <c r="AH41" i="160"/>
  <c r="AH67" i="160" s="1"/>
  <c r="BE91" i="3"/>
  <c r="P110" i="110"/>
  <c r="P123" i="110" s="1"/>
  <c r="BE71" i="160"/>
  <c r="BE84" i="160" s="1"/>
  <c r="X88" i="110"/>
  <c r="P46" i="42"/>
  <c r="BE62" i="3"/>
  <c r="K88" i="160"/>
  <c r="BD41" i="160"/>
  <c r="BD67" i="160" s="1"/>
  <c r="P44" i="42"/>
  <c r="BE70" i="160"/>
  <c r="BE83" i="160" s="1"/>
  <c r="AH83" i="3"/>
  <c r="BK27" i="3"/>
  <c r="BK76" i="3" s="1"/>
  <c r="BL15" i="3"/>
  <c r="BL26" i="3" s="1"/>
  <c r="BL54" i="3" s="1"/>
  <c r="BD60" i="160"/>
  <c r="BD72" i="160" s="1"/>
  <c r="BE41" i="160"/>
  <c r="BE67" i="160" s="1"/>
  <c r="K91" i="160"/>
  <c r="K85" i="160"/>
  <c r="K49" i="160"/>
  <c r="AO13" i="3"/>
  <c r="AO25" i="3" s="1"/>
  <c r="AO16" i="160"/>
  <c r="S50" i="32"/>
  <c r="W47" i="159"/>
  <c r="AS47" i="159"/>
  <c r="BP47" i="159"/>
  <c r="S13" i="160"/>
  <c r="S25" i="160" s="1"/>
  <c r="AI84" i="160"/>
  <c r="L91" i="3"/>
  <c r="L61" i="160"/>
  <c r="L85" i="3"/>
  <c r="L52" i="42" s="1"/>
  <c r="M63" i="160"/>
  <c r="AI72" i="3"/>
  <c r="AI85" i="3" s="1"/>
  <c r="AI61" i="3"/>
  <c r="AI86" i="3"/>
  <c r="AI63" i="3"/>
  <c r="R80" i="110"/>
  <c r="R110" i="110" s="1"/>
  <c r="L72" i="160"/>
  <c r="L88" i="160" s="1"/>
  <c r="L63" i="160"/>
  <c r="AH87" i="160"/>
  <c r="M49" i="160"/>
  <c r="M50" i="160"/>
  <c r="L86" i="160"/>
  <c r="G61" i="160"/>
  <c r="BJ78" i="3"/>
  <c r="M86" i="160"/>
  <c r="G86" i="160"/>
  <c r="M72" i="160"/>
  <c r="M88" i="160" s="1"/>
  <c r="G63" i="160"/>
  <c r="M62" i="160"/>
  <c r="BJ75" i="3"/>
  <c r="BE89" i="160"/>
  <c r="X87" i="110"/>
  <c r="BG83" i="3"/>
  <c r="AE71" i="160"/>
  <c r="AE84" i="160" s="1"/>
  <c r="X81" i="110"/>
  <c r="X133" i="110" s="1"/>
  <c r="AI89" i="160"/>
  <c r="AH63" i="3"/>
  <c r="AH88" i="3"/>
  <c r="P108" i="110"/>
  <c r="W122" i="110"/>
  <c r="P109" i="110"/>
  <c r="BC71" i="3"/>
  <c r="BC84" i="3" s="1"/>
  <c r="AH86" i="3"/>
  <c r="AH83" i="160"/>
  <c r="Q110" i="110"/>
  <c r="BG86" i="3"/>
  <c r="Q112" i="110"/>
  <c r="Q111" i="110"/>
  <c r="Q108" i="110"/>
  <c r="AH89" i="160"/>
  <c r="AH61" i="3"/>
  <c r="X86" i="110"/>
  <c r="BC69" i="3"/>
  <c r="BC83" i="3" s="1"/>
  <c r="BJ77" i="3"/>
  <c r="AH60" i="160"/>
  <c r="AH72" i="160" s="1"/>
  <c r="AH71" i="160"/>
  <c r="AH84" i="160" s="1"/>
  <c r="P84" i="160"/>
  <c r="P87" i="160"/>
  <c r="BG89" i="160"/>
  <c r="AH62" i="3"/>
  <c r="AE87" i="160"/>
  <c r="AE69" i="160"/>
  <c r="AE83" i="160" s="1"/>
  <c r="AD39" i="110"/>
  <c r="AD67" i="110" s="1"/>
  <c r="AD79" i="110" s="1"/>
  <c r="AL71" i="160"/>
  <c r="AL84" i="160" s="1"/>
  <c r="BH69" i="3"/>
  <c r="BH83" i="3" s="1"/>
  <c r="AL41" i="160"/>
  <c r="AL67" i="160" s="1"/>
  <c r="BG62" i="3"/>
  <c r="BG61" i="3"/>
  <c r="BG72" i="3"/>
  <c r="BG91" i="3" s="1"/>
  <c r="P60" i="160"/>
  <c r="P63" i="160" s="1"/>
  <c r="X124" i="110"/>
  <c r="BB70" i="3"/>
  <c r="H63" i="160"/>
  <c r="AL41" i="3"/>
  <c r="AL67" i="3" s="1"/>
  <c r="BK54" i="3"/>
  <c r="BK56" i="3"/>
  <c r="W123" i="110"/>
  <c r="T81" i="110"/>
  <c r="BJ76" i="3"/>
  <c r="AD70" i="3"/>
  <c r="AE89" i="3"/>
  <c r="BD71" i="160"/>
  <c r="BD84" i="160" s="1"/>
  <c r="W95" i="110"/>
  <c r="W121" i="110" s="1"/>
  <c r="BI89" i="3"/>
  <c r="AM70" i="3"/>
  <c r="BA70" i="3"/>
  <c r="BA83" i="3" s="1"/>
  <c r="T80" i="110"/>
  <c r="T75" i="110"/>
  <c r="AM60" i="3"/>
  <c r="AM72" i="3" s="1"/>
  <c r="W124" i="110"/>
  <c r="P131" i="110"/>
  <c r="AL69" i="3"/>
  <c r="P135" i="110"/>
  <c r="P134" i="110"/>
  <c r="P133" i="110"/>
  <c r="AG70" i="3"/>
  <c r="H86" i="160"/>
  <c r="V131" i="110"/>
  <c r="I49" i="160"/>
  <c r="V133" i="110"/>
  <c r="O97" i="160" s="1"/>
  <c r="AE48" i="160"/>
  <c r="V135" i="110"/>
  <c r="O50" i="160"/>
  <c r="V114" i="110"/>
  <c r="V115" i="110" s="1"/>
  <c r="V132" i="110"/>
  <c r="I50" i="160"/>
  <c r="AD60" i="3"/>
  <c r="AD72" i="3" s="1"/>
  <c r="AD87" i="3"/>
  <c r="BJ70" i="3"/>
  <c r="V124" i="110"/>
  <c r="O98" i="3" s="1"/>
  <c r="AL60" i="160"/>
  <c r="AL63" i="160" s="1"/>
  <c r="S110" i="110"/>
  <c r="BI60" i="3"/>
  <c r="BI63" i="3" s="1"/>
  <c r="P89" i="160"/>
  <c r="AN54" i="3"/>
  <c r="BJ60" i="160"/>
  <c r="BJ63" i="160" s="1"/>
  <c r="AA110" i="110"/>
  <c r="I61" i="160"/>
  <c r="N61" i="160"/>
  <c r="AA108" i="110"/>
  <c r="AK60" i="3"/>
  <c r="AK86" i="3" s="1"/>
  <c r="AA112" i="110"/>
  <c r="AA109" i="110"/>
  <c r="BI60" i="160"/>
  <c r="BI63" i="160" s="1"/>
  <c r="AL87" i="3"/>
  <c r="I72" i="160"/>
  <c r="I88" i="160" s="1"/>
  <c r="BF50" i="160"/>
  <c r="O49" i="160"/>
  <c r="BI70" i="3"/>
  <c r="BI83" i="3" s="1"/>
  <c r="BE50" i="3"/>
  <c r="Y81" i="110"/>
  <c r="Y132" i="110" s="1"/>
  <c r="O50" i="3"/>
  <c r="AL70" i="3"/>
  <c r="R26" i="160"/>
  <c r="R57" i="160" s="1"/>
  <c r="AE70" i="3"/>
  <c r="J72" i="160"/>
  <c r="J88" i="160" s="1"/>
  <c r="AL70" i="160"/>
  <c r="AL83" i="160" s="1"/>
  <c r="AK41" i="160"/>
  <c r="AK50" i="160" s="1"/>
  <c r="BJ43" i="3"/>
  <c r="BJ69" i="3" s="1"/>
  <c r="BK57" i="3"/>
  <c r="AN57" i="3"/>
  <c r="BD70" i="160"/>
  <c r="BD83" i="160" s="1"/>
  <c r="BJ45" i="3"/>
  <c r="BJ71" i="3" s="1"/>
  <c r="BJ84" i="3" s="1"/>
  <c r="BH41" i="3"/>
  <c r="BH67" i="3" s="1"/>
  <c r="BI71" i="3"/>
  <c r="BI84" i="3" s="1"/>
  <c r="AN55" i="3"/>
  <c r="AN68" i="3" s="1"/>
  <c r="AE60" i="3"/>
  <c r="AE63" i="3" s="1"/>
  <c r="AN58" i="3"/>
  <c r="BA89" i="160"/>
  <c r="BH71" i="3"/>
  <c r="BH84" i="3" s="1"/>
  <c r="BK58" i="3"/>
  <c r="AE87" i="3"/>
  <c r="AF70" i="160"/>
  <c r="AF83" i="160" s="1"/>
  <c r="AL60" i="3"/>
  <c r="AL72" i="3" s="1"/>
  <c r="AD72" i="110"/>
  <c r="I62" i="160"/>
  <c r="I63" i="160"/>
  <c r="N86" i="160"/>
  <c r="J86" i="160"/>
  <c r="S108" i="110"/>
  <c r="N72" i="160"/>
  <c r="N91" i="160" s="1"/>
  <c r="S109" i="110"/>
  <c r="AK71" i="3"/>
  <c r="AK84" i="3" s="1"/>
  <c r="BC83" i="160"/>
  <c r="J63" i="160"/>
  <c r="J62" i="160"/>
  <c r="N62" i="160"/>
  <c r="BA60" i="3"/>
  <c r="BA63" i="3" s="1"/>
  <c r="BA87" i="3"/>
  <c r="S112" i="110"/>
  <c r="BH89" i="3"/>
  <c r="BG49" i="3"/>
  <c r="U123" i="110"/>
  <c r="AK71" i="160"/>
  <c r="AK84" i="160" s="1"/>
  <c r="AC50" i="3"/>
  <c r="N50" i="160"/>
  <c r="BG49" i="160"/>
  <c r="AG60" i="160"/>
  <c r="AG62" i="160" s="1"/>
  <c r="BH60" i="160"/>
  <c r="BH63" i="160" s="1"/>
  <c r="H61" i="160"/>
  <c r="H62" i="160"/>
  <c r="AK60" i="160"/>
  <c r="AK63" i="160" s="1"/>
  <c r="BD60" i="3"/>
  <c r="BD63" i="3" s="1"/>
  <c r="BC60" i="160"/>
  <c r="AK41" i="3"/>
  <c r="AK67" i="3" s="1"/>
  <c r="S131" i="110"/>
  <c r="H49" i="3"/>
  <c r="BB70" i="160"/>
  <c r="S135" i="110"/>
  <c r="AK87" i="160"/>
  <c r="AC85" i="3"/>
  <c r="R81" i="110"/>
  <c r="R131" i="110" s="1"/>
  <c r="S134" i="110"/>
  <c r="AF89" i="160"/>
  <c r="AK69" i="160"/>
  <c r="AK83" i="160" s="1"/>
  <c r="N50" i="3"/>
  <c r="S132" i="110"/>
  <c r="G49" i="3"/>
  <c r="U124" i="110"/>
  <c r="BI70" i="160"/>
  <c r="BI83" i="160" s="1"/>
  <c r="AL89" i="3"/>
  <c r="AI49" i="160"/>
  <c r="H88" i="160"/>
  <c r="AK87" i="3"/>
  <c r="X123" i="110"/>
  <c r="J49" i="3"/>
  <c r="AL87" i="160"/>
  <c r="BG50" i="3"/>
  <c r="BH83" i="160"/>
  <c r="AD60" i="160"/>
  <c r="AD63" i="160" s="1"/>
  <c r="AG89" i="160"/>
  <c r="AG89" i="3"/>
  <c r="BF50" i="3"/>
  <c r="N49" i="160"/>
  <c r="BC87" i="160"/>
  <c r="AC75" i="110"/>
  <c r="AD69" i="160"/>
  <c r="AD83" i="160" s="1"/>
  <c r="AD89" i="3"/>
  <c r="BB89" i="160"/>
  <c r="H49" i="160"/>
  <c r="AZ49" i="3"/>
  <c r="P50" i="160"/>
  <c r="H50" i="160"/>
  <c r="AF60" i="160"/>
  <c r="AF63" i="160" s="1"/>
  <c r="BH89" i="160"/>
  <c r="AG70" i="160"/>
  <c r="AG83" i="160" s="1"/>
  <c r="BI41" i="3"/>
  <c r="BI67" i="3" s="1"/>
  <c r="AH50" i="3"/>
  <c r="AK69" i="3"/>
  <c r="AK83" i="3" s="1"/>
  <c r="BE85" i="3"/>
  <c r="W143" i="110"/>
  <c r="P49" i="160"/>
  <c r="AL84" i="3"/>
  <c r="BF49" i="3"/>
  <c r="BC87" i="3"/>
  <c r="BJ60" i="3"/>
  <c r="BJ62" i="3" s="1"/>
  <c r="S96" i="110"/>
  <c r="S99" i="110"/>
  <c r="S97" i="110"/>
  <c r="S98" i="110"/>
  <c r="S124" i="110" s="1"/>
  <c r="AG60" i="3"/>
  <c r="AG61" i="3" s="1"/>
  <c r="BK27" i="160"/>
  <c r="BK77" i="160" s="1"/>
  <c r="R87" i="110"/>
  <c r="R79" i="110"/>
  <c r="R75" i="110"/>
  <c r="R88" i="110"/>
  <c r="R86" i="110"/>
  <c r="Q41" i="160"/>
  <c r="P89" i="3"/>
  <c r="AD87" i="160"/>
  <c r="BB89" i="3"/>
  <c r="P124" i="110"/>
  <c r="AH49" i="3"/>
  <c r="BD89" i="160"/>
  <c r="AJ49" i="3"/>
  <c r="AN27" i="160"/>
  <c r="AN75" i="160" s="1"/>
  <c r="BC60" i="3"/>
  <c r="BC63" i="3" s="1"/>
  <c r="BD89" i="3"/>
  <c r="BF49" i="160"/>
  <c r="S30" i="42"/>
  <c r="S25" i="3"/>
  <c r="BH71" i="160"/>
  <c r="BH84" i="160" s="1"/>
  <c r="BH48" i="160"/>
  <c r="N126" i="110"/>
  <c r="N115" i="110"/>
  <c r="N142" i="110"/>
  <c r="N116" i="110"/>
  <c r="R25" i="160"/>
  <c r="R21" i="160"/>
  <c r="R34" i="160"/>
  <c r="R33" i="160"/>
  <c r="R32" i="160"/>
  <c r="F122" i="110"/>
  <c r="F103" i="110"/>
  <c r="F143" i="110"/>
  <c r="F95" i="110"/>
  <c r="F121" i="110" s="1"/>
  <c r="F142" i="110"/>
  <c r="F141" i="110"/>
  <c r="F115" i="110"/>
  <c r="F126" i="110"/>
  <c r="F116" i="110"/>
  <c r="Y111" i="110"/>
  <c r="Y109" i="110"/>
  <c r="Y112" i="110"/>
  <c r="Y110" i="110"/>
  <c r="Y108" i="110"/>
  <c r="H115" i="110"/>
  <c r="H142" i="110"/>
  <c r="H116" i="110"/>
  <c r="H126" i="110"/>
  <c r="J83" i="3"/>
  <c r="AE71" i="3"/>
  <c r="AE84" i="3" s="1"/>
  <c r="AE48" i="3"/>
  <c r="AC80" i="110"/>
  <c r="BJ69" i="160"/>
  <c r="Q135" i="110"/>
  <c r="Q131" i="110"/>
  <c r="Q134" i="110"/>
  <c r="Q133" i="110"/>
  <c r="Q132" i="110"/>
  <c r="BB60" i="160"/>
  <c r="BB63" i="160" s="1"/>
  <c r="BL18" i="3"/>
  <c r="O49" i="3"/>
  <c r="BD69" i="3"/>
  <c r="BD83" i="3" s="1"/>
  <c r="BD87" i="3"/>
  <c r="BD41" i="3"/>
  <c r="BD67" i="3" s="1"/>
  <c r="AN25" i="3"/>
  <c r="AN21" i="3"/>
  <c r="AN32" i="3"/>
  <c r="AN33" i="3"/>
  <c r="AN34" i="3"/>
  <c r="AC50" i="160"/>
  <c r="G83" i="3"/>
  <c r="BE88" i="3"/>
  <c r="AO18" i="160"/>
  <c r="T102" i="110"/>
  <c r="Q78" i="3"/>
  <c r="Q76" i="3"/>
  <c r="Q77" i="3"/>
  <c r="Q79" i="3"/>
  <c r="Q75" i="3"/>
  <c r="BB84" i="3"/>
  <c r="N83" i="3"/>
  <c r="AF70" i="3"/>
  <c r="AF83" i="3" s="1"/>
  <c r="AG69" i="3"/>
  <c r="AG87" i="3"/>
  <c r="AG41" i="3"/>
  <c r="AG67" i="3" s="1"/>
  <c r="X122" i="110"/>
  <c r="X143" i="110"/>
  <c r="X95" i="110"/>
  <c r="X121" i="110" s="1"/>
  <c r="O86" i="3"/>
  <c r="O61" i="3"/>
  <c r="O62" i="3"/>
  <c r="O43" i="42"/>
  <c r="O72" i="3"/>
  <c r="O85" i="3" s="1"/>
  <c r="O52" i="42" s="1"/>
  <c r="H83" i="3"/>
  <c r="AH91" i="3"/>
  <c r="AH85" i="3"/>
  <c r="BE49" i="3"/>
  <c r="AD71" i="3"/>
  <c r="AD84" i="3" s="1"/>
  <c r="AD48" i="3"/>
  <c r="U122" i="110"/>
  <c r="U143" i="110"/>
  <c r="U95" i="110"/>
  <c r="U121" i="110" s="1"/>
  <c r="I83" i="3"/>
  <c r="J147" i="110"/>
  <c r="J128" i="110"/>
  <c r="BD71" i="3"/>
  <c r="BD84" i="3" s="1"/>
  <c r="BD48" i="3"/>
  <c r="AB109" i="110"/>
  <c r="AB110" i="110"/>
  <c r="AB108" i="110"/>
  <c r="AB111" i="110"/>
  <c r="AB112" i="110"/>
  <c r="AG71" i="160"/>
  <c r="AG84" i="160" s="1"/>
  <c r="AG48" i="160"/>
  <c r="X114" i="110"/>
  <c r="X117" i="110" s="1"/>
  <c r="I142" i="110"/>
  <c r="I116" i="110"/>
  <c r="I115" i="110"/>
  <c r="I126" i="110"/>
  <c r="AZ50" i="3"/>
  <c r="O42" i="110"/>
  <c r="O69" i="110" s="1"/>
  <c r="O80" i="110" s="1"/>
  <c r="O43" i="110"/>
  <c r="O70" i="110" s="1"/>
  <c r="AO13" i="160"/>
  <c r="BF83" i="160"/>
  <c r="T95" i="110"/>
  <c r="T121" i="110" s="1"/>
  <c r="S18" i="3"/>
  <c r="U30" i="32"/>
  <c r="T32" i="32"/>
  <c r="BN30" i="32" s="1"/>
  <c r="T21" i="42"/>
  <c r="T31" i="32"/>
  <c r="AQ30" i="32" s="1"/>
  <c r="AF87" i="160"/>
  <c r="AO15" i="3"/>
  <c r="AO26" i="3" s="1"/>
  <c r="BG83" i="160"/>
  <c r="BA60" i="160"/>
  <c r="AE89" i="160"/>
  <c r="G42" i="42"/>
  <c r="T42" i="32"/>
  <c r="BN40" i="32" s="1"/>
  <c r="U40" i="32"/>
  <c r="T41" i="32"/>
  <c r="AQ40" i="32" s="1"/>
  <c r="O83" i="160"/>
  <c r="BI89" i="160"/>
  <c r="BA48" i="3"/>
  <c r="BA71" i="3"/>
  <c r="BA84" i="3" s="1"/>
  <c r="AC49" i="3"/>
  <c r="AC49" i="160"/>
  <c r="Q43" i="3"/>
  <c r="Q45" i="3"/>
  <c r="Q44" i="3"/>
  <c r="AZ91" i="3"/>
  <c r="AZ85" i="3"/>
  <c r="AI50" i="3"/>
  <c r="F125" i="110"/>
  <c r="F140" i="110" s="1"/>
  <c r="F102" i="110"/>
  <c r="F104" i="110" s="1"/>
  <c r="I99" i="110"/>
  <c r="I96" i="110"/>
  <c r="I98" i="110"/>
  <c r="I124" i="110" s="1"/>
  <c r="I97" i="110"/>
  <c r="I123" i="110" s="1"/>
  <c r="J104" i="110"/>
  <c r="S50" i="159"/>
  <c r="O39" i="110"/>
  <c r="O67" i="110" s="1"/>
  <c r="O40" i="110"/>
  <c r="O68" i="110" s="1"/>
  <c r="AO15" i="160"/>
  <c r="H85" i="160"/>
  <c r="P83" i="160"/>
  <c r="AN27" i="3"/>
  <c r="S15" i="3"/>
  <c r="R32" i="42"/>
  <c r="R27" i="3"/>
  <c r="AG71" i="3"/>
  <c r="AG84" i="3" s="1"/>
  <c r="BB71" i="160"/>
  <c r="BB84" i="160" s="1"/>
  <c r="BA87" i="160"/>
  <c r="BI87" i="3"/>
  <c r="T42" i="159"/>
  <c r="BN40" i="159" s="1"/>
  <c r="T41" i="159"/>
  <c r="AQ40" i="159" s="1"/>
  <c r="N61" i="3"/>
  <c r="N86" i="3"/>
  <c r="N62" i="3"/>
  <c r="N43" i="42"/>
  <c r="N72" i="3"/>
  <c r="N88" i="3" s="1"/>
  <c r="K125" i="110"/>
  <c r="K140" i="110" s="1"/>
  <c r="K102" i="110"/>
  <c r="H42" i="42"/>
  <c r="H43" i="42"/>
  <c r="H61" i="3"/>
  <c r="H86" i="3"/>
  <c r="H62" i="3"/>
  <c r="H72" i="3"/>
  <c r="H91" i="3" s="1"/>
  <c r="BB69" i="160"/>
  <c r="BB87" i="160"/>
  <c r="BB41" i="160"/>
  <c r="BB67" i="160" s="1"/>
  <c r="N122" i="110"/>
  <c r="N143" i="110"/>
  <c r="N103" i="110"/>
  <c r="N95" i="110"/>
  <c r="N121" i="110" s="1"/>
  <c r="N141" i="110" s="1"/>
  <c r="M116" i="110"/>
  <c r="M142" i="110"/>
  <c r="M126" i="110"/>
  <c r="M115" i="110"/>
  <c r="O63" i="3"/>
  <c r="BK25" i="160"/>
  <c r="BK21" i="160"/>
  <c r="BK34" i="160"/>
  <c r="BK33" i="160"/>
  <c r="BK32" i="160"/>
  <c r="BC71" i="160"/>
  <c r="BC84" i="160" s="1"/>
  <c r="BC48" i="160"/>
  <c r="R27" i="160"/>
  <c r="L104" i="110"/>
  <c r="O72" i="160"/>
  <c r="O88" i="160" s="1"/>
  <c r="O86" i="160"/>
  <c r="O61" i="160"/>
  <c r="O62" i="160"/>
  <c r="M103" i="110"/>
  <c r="M143" i="110"/>
  <c r="M122" i="110"/>
  <c r="M95" i="110"/>
  <c r="M121" i="110" s="1"/>
  <c r="M141" i="110" s="1"/>
  <c r="AN25" i="160"/>
  <c r="AN21" i="160"/>
  <c r="AN34" i="160"/>
  <c r="AN33" i="160"/>
  <c r="AN32" i="160"/>
  <c r="AI49" i="3"/>
  <c r="Y47" i="32"/>
  <c r="BR47" i="32"/>
  <c r="AU47" i="32"/>
  <c r="AE40" i="110"/>
  <c r="AE68" i="110" s="1"/>
  <c r="AE42" i="110"/>
  <c r="AE69" i="110" s="1"/>
  <c r="AE46" i="110"/>
  <c r="AE39" i="110"/>
  <c r="AE67" i="110" s="1"/>
  <c r="AE45" i="110"/>
  <c r="AE60" i="110"/>
  <c r="AE59" i="110"/>
  <c r="AE43" i="110"/>
  <c r="AE70" i="110" s="1"/>
  <c r="BC89" i="3"/>
  <c r="F117" i="110"/>
  <c r="BB87" i="3"/>
  <c r="BB69" i="3"/>
  <c r="BB41" i="3"/>
  <c r="BB67" i="3" s="1"/>
  <c r="U114" i="110"/>
  <c r="AA96" i="110"/>
  <c r="AA99" i="110"/>
  <c r="AA97" i="110"/>
  <c r="AA98" i="110"/>
  <c r="AA124" i="110" s="1"/>
  <c r="H50" i="3"/>
  <c r="S16" i="3"/>
  <c r="N117" i="110"/>
  <c r="AG87" i="160"/>
  <c r="BI41" i="160"/>
  <c r="BI67" i="160" s="1"/>
  <c r="G43" i="42"/>
  <c r="G61" i="3"/>
  <c r="G86" i="3"/>
  <c r="G62" i="3"/>
  <c r="G72" i="3"/>
  <c r="G91" i="3" s="1"/>
  <c r="V125" i="110"/>
  <c r="V102" i="110"/>
  <c r="K122" i="110"/>
  <c r="K143" i="110"/>
  <c r="K103" i="110"/>
  <c r="K95" i="110"/>
  <c r="K121" i="110" s="1"/>
  <c r="L147" i="110"/>
  <c r="L128" i="110"/>
  <c r="AI83" i="160"/>
  <c r="BH60" i="3"/>
  <c r="BH63" i="3" s="1"/>
  <c r="I61" i="3"/>
  <c r="I62" i="3"/>
  <c r="I86" i="3"/>
  <c r="I43" i="42"/>
  <c r="I72" i="3"/>
  <c r="I91" i="3" s="1"/>
  <c r="AL89" i="160"/>
  <c r="M125" i="110"/>
  <c r="M140" i="110" s="1"/>
  <c r="M102" i="110"/>
  <c r="M104" i="110" s="1"/>
  <c r="J139" i="110"/>
  <c r="J144" i="110"/>
  <c r="R31" i="42"/>
  <c r="R26" i="3"/>
  <c r="Z81" i="110"/>
  <c r="BL14" i="3"/>
  <c r="T35" i="159"/>
  <c r="S36" i="159"/>
  <c r="AP35" i="159" s="1"/>
  <c r="AP17" i="160" s="1"/>
  <c r="S37" i="159"/>
  <c r="BM35" i="159" s="1"/>
  <c r="S17" i="160"/>
  <c r="O42" i="42"/>
  <c r="N42" i="42"/>
  <c r="P102" i="110"/>
  <c r="AJ50" i="3"/>
  <c r="S14" i="3"/>
  <c r="S26" i="42" s="1"/>
  <c r="S14" i="160"/>
  <c r="AF87" i="3"/>
  <c r="Q56" i="160"/>
  <c r="Q69" i="160" s="1"/>
  <c r="Q57" i="160"/>
  <c r="Q70" i="160" s="1"/>
  <c r="Q58" i="160"/>
  <c r="Q55" i="160"/>
  <c r="Q54" i="160"/>
  <c r="O83" i="3"/>
  <c r="N125" i="110"/>
  <c r="N140" i="110" s="1"/>
  <c r="N102" i="110"/>
  <c r="N104" i="110" s="1"/>
  <c r="AO18" i="3"/>
  <c r="K142" i="110"/>
  <c r="AF60" i="3"/>
  <c r="AF63" i="3" s="1"/>
  <c r="L139" i="110"/>
  <c r="L144" i="110"/>
  <c r="BC89" i="160"/>
  <c r="AM87" i="3"/>
  <c r="AM69" i="3"/>
  <c r="AM41" i="3"/>
  <c r="AM67" i="3" s="1"/>
  <c r="AI50" i="160"/>
  <c r="AF71" i="160"/>
  <c r="AF84" i="160" s="1"/>
  <c r="AF48" i="160"/>
  <c r="AB79" i="110"/>
  <c r="BG50" i="160"/>
  <c r="AK89" i="160"/>
  <c r="J62" i="3"/>
  <c r="J43" i="42"/>
  <c r="J61" i="3"/>
  <c r="J86" i="3"/>
  <c r="J72" i="3"/>
  <c r="J88" i="3" s="1"/>
  <c r="Z79" i="110"/>
  <c r="Z88" i="110"/>
  <c r="Z87" i="110"/>
  <c r="Z86" i="110"/>
  <c r="BL13" i="3"/>
  <c r="H125" i="110"/>
  <c r="H140" i="110" s="1"/>
  <c r="H102" i="110"/>
  <c r="R32" i="3"/>
  <c r="R37" i="42" s="1"/>
  <c r="R25" i="42"/>
  <c r="R38" i="42" s="1"/>
  <c r="R30" i="42"/>
  <c r="R26" i="42"/>
  <c r="R25" i="3"/>
  <c r="R34" i="3"/>
  <c r="R21" i="3"/>
  <c r="R33" i="3"/>
  <c r="P95" i="110"/>
  <c r="P121" i="110" s="1"/>
  <c r="BA71" i="160"/>
  <c r="BA84" i="160" s="1"/>
  <c r="I63" i="3"/>
  <c r="AD89" i="160"/>
  <c r="BA70" i="160"/>
  <c r="BA83" i="160" s="1"/>
  <c r="G103" i="110"/>
  <c r="G122" i="110"/>
  <c r="G143" i="110"/>
  <c r="G95" i="110"/>
  <c r="G121" i="110" s="1"/>
  <c r="S18" i="160"/>
  <c r="J50" i="3"/>
  <c r="BH41" i="160"/>
  <c r="BI87" i="160"/>
  <c r="H143" i="110"/>
  <c r="H122" i="110"/>
  <c r="H103" i="110"/>
  <c r="H95" i="110"/>
  <c r="H121" i="110" s="1"/>
  <c r="H141" i="110" s="1"/>
  <c r="AF89" i="3"/>
  <c r="AO14" i="3"/>
  <c r="K141" i="110"/>
  <c r="AC96" i="110"/>
  <c r="AC99" i="110"/>
  <c r="AC98" i="110"/>
  <c r="AC97" i="110"/>
  <c r="L103" i="110"/>
  <c r="T35" i="32"/>
  <c r="T15" i="3" s="1"/>
  <c r="S37" i="32"/>
  <c r="BM35" i="32" s="1"/>
  <c r="BM17" i="3" s="1"/>
  <c r="S36" i="32"/>
  <c r="AP35" i="32" s="1"/>
  <c r="AP17" i="3" s="1"/>
  <c r="S17" i="3"/>
  <c r="N63" i="3"/>
  <c r="Y79" i="110"/>
  <c r="Y88" i="110"/>
  <c r="Y87" i="110"/>
  <c r="Y86" i="110"/>
  <c r="Y75" i="110"/>
  <c r="AD71" i="160"/>
  <c r="AD84" i="160" s="1"/>
  <c r="AD48" i="160"/>
  <c r="N145" i="110"/>
  <c r="G63" i="3"/>
  <c r="AM71" i="3"/>
  <c r="AM48" i="3"/>
  <c r="H145" i="110"/>
  <c r="V122" i="110"/>
  <c r="V143" i="110"/>
  <c r="V95" i="110"/>
  <c r="V121" i="110" s="1"/>
  <c r="L141" i="110"/>
  <c r="W114" i="110"/>
  <c r="AK89" i="3"/>
  <c r="U125" i="110"/>
  <c r="U102" i="110"/>
  <c r="AC88" i="3"/>
  <c r="AD71" i="110"/>
  <c r="BI71" i="160"/>
  <c r="BI84" i="160" s="1"/>
  <c r="BI48" i="160"/>
  <c r="AA131" i="110"/>
  <c r="AA132" i="110"/>
  <c r="AA135" i="110"/>
  <c r="AA133" i="110"/>
  <c r="AA134" i="110"/>
  <c r="J42" i="42"/>
  <c r="BL16" i="3"/>
  <c r="Q97" i="110"/>
  <c r="Q99" i="110"/>
  <c r="Q98" i="110"/>
  <c r="Q96" i="110"/>
  <c r="N49" i="3"/>
  <c r="BH87" i="3"/>
  <c r="BK32" i="3"/>
  <c r="BK33" i="3"/>
  <c r="BK25" i="3"/>
  <c r="BK34" i="3"/>
  <c r="BK21" i="3"/>
  <c r="AO14" i="160"/>
  <c r="G50" i="3"/>
  <c r="O63" i="160"/>
  <c r="AJ83" i="160"/>
  <c r="AF71" i="3"/>
  <c r="AF84" i="3" s="1"/>
  <c r="AF48" i="3"/>
  <c r="G125" i="110"/>
  <c r="G140" i="110" s="1"/>
  <c r="G102" i="110"/>
  <c r="G104" i="110" s="1"/>
  <c r="S16" i="160"/>
  <c r="BH87" i="160"/>
  <c r="AC86" i="160" l="1"/>
  <c r="AZ72" i="160"/>
  <c r="AE50" i="3"/>
  <c r="AZ86" i="160"/>
  <c r="AC62" i="160"/>
  <c r="AJ63" i="160"/>
  <c r="AZ62" i="160"/>
  <c r="AZ63" i="160"/>
  <c r="AB88" i="110"/>
  <c r="AC61" i="160"/>
  <c r="AB86" i="110"/>
  <c r="AC72" i="160"/>
  <c r="AC85" i="160" s="1"/>
  <c r="AB81" i="110"/>
  <c r="AB133" i="110" s="1"/>
  <c r="AJ49" i="160"/>
  <c r="AJ50" i="160"/>
  <c r="AB75" i="110"/>
  <c r="W133" i="110"/>
  <c r="P97" i="3" s="1"/>
  <c r="AE49" i="3"/>
  <c r="AJ62" i="160"/>
  <c r="AJ61" i="160"/>
  <c r="AJ72" i="160"/>
  <c r="AJ91" i="160" s="1"/>
  <c r="AE61" i="160"/>
  <c r="AE86" i="160"/>
  <c r="W140" i="110"/>
  <c r="BA49" i="160"/>
  <c r="AC131" i="110"/>
  <c r="AC135" i="110"/>
  <c r="AC133" i="110"/>
  <c r="AC134" i="110"/>
  <c r="W132" i="110"/>
  <c r="P96" i="160" s="1"/>
  <c r="AD50" i="3"/>
  <c r="BA50" i="160"/>
  <c r="BB83" i="3"/>
  <c r="AD49" i="160"/>
  <c r="AD50" i="160"/>
  <c r="AD49" i="3"/>
  <c r="W134" i="110"/>
  <c r="P98" i="160" s="1"/>
  <c r="W131" i="110"/>
  <c r="BA49" i="3"/>
  <c r="AE62" i="160"/>
  <c r="BB63" i="3"/>
  <c r="Z75" i="110"/>
  <c r="Z112" i="110"/>
  <c r="BB61" i="3"/>
  <c r="AE72" i="160"/>
  <c r="AE91" i="160" s="1"/>
  <c r="Z111" i="110"/>
  <c r="BB62" i="3"/>
  <c r="Z108" i="110"/>
  <c r="BB86" i="3"/>
  <c r="Z110" i="110"/>
  <c r="BA50" i="3"/>
  <c r="AC88" i="160"/>
  <c r="AE49" i="160"/>
  <c r="AD88" i="3"/>
  <c r="G85" i="3"/>
  <c r="G52" i="42" s="1"/>
  <c r="AC91" i="160"/>
  <c r="AE50" i="160"/>
  <c r="AZ88" i="160"/>
  <c r="H85" i="3"/>
  <c r="H52" i="42" s="1"/>
  <c r="BB83" i="160"/>
  <c r="AD91" i="3"/>
  <c r="H88" i="3"/>
  <c r="AD83" i="3"/>
  <c r="G88" i="3"/>
  <c r="AE83" i="3"/>
  <c r="G88" i="160"/>
  <c r="G91" i="160"/>
  <c r="AF50" i="3"/>
  <c r="AF49" i="3"/>
  <c r="AF50" i="160"/>
  <c r="AF49" i="160"/>
  <c r="BC49" i="3"/>
  <c r="BC50" i="3"/>
  <c r="BC49" i="160"/>
  <c r="I85" i="3"/>
  <c r="I52" i="42" s="1"/>
  <c r="BC50" i="160"/>
  <c r="I85" i="160"/>
  <c r="P145" i="110"/>
  <c r="I88" i="3"/>
  <c r="I91" i="160"/>
  <c r="BF86" i="160"/>
  <c r="BF85" i="160"/>
  <c r="BF88" i="160"/>
  <c r="BF63" i="160"/>
  <c r="BF61" i="160"/>
  <c r="BF62" i="160"/>
  <c r="AM84" i="3"/>
  <c r="AJ88" i="3"/>
  <c r="AJ85" i="3"/>
  <c r="AM89" i="3"/>
  <c r="BJ89" i="160"/>
  <c r="BJ84" i="160"/>
  <c r="BJ48" i="160"/>
  <c r="BJ41" i="160"/>
  <c r="BJ67" i="160" s="1"/>
  <c r="BJ87" i="160"/>
  <c r="BL27" i="160"/>
  <c r="BL78" i="160" s="1"/>
  <c r="AZ49" i="160"/>
  <c r="AZ50" i="160"/>
  <c r="P49" i="3"/>
  <c r="AN56" i="160"/>
  <c r="AN55" i="160"/>
  <c r="AN68" i="160" s="1"/>
  <c r="BK54" i="160"/>
  <c r="AZ91" i="160"/>
  <c r="AZ85" i="160"/>
  <c r="AN54" i="160"/>
  <c r="AN58" i="160"/>
  <c r="BL33" i="160"/>
  <c r="BL34" i="160"/>
  <c r="BL21" i="160"/>
  <c r="BL25" i="160"/>
  <c r="BL43" i="160" s="1"/>
  <c r="BL32" i="160"/>
  <c r="BM14" i="160"/>
  <c r="BG63" i="160"/>
  <c r="BG72" i="160"/>
  <c r="BG85" i="160" s="1"/>
  <c r="BG86" i="160"/>
  <c r="BG62" i="160"/>
  <c r="P50" i="3"/>
  <c r="AO26" i="160"/>
  <c r="AO56" i="160" s="1"/>
  <c r="P99" i="3"/>
  <c r="BK57" i="160"/>
  <c r="BK56" i="160"/>
  <c r="BK58" i="160"/>
  <c r="T18" i="160"/>
  <c r="S26" i="160"/>
  <c r="S55" i="160" s="1"/>
  <c r="S68" i="160" s="1"/>
  <c r="T31" i="159"/>
  <c r="AQ30" i="159" s="1"/>
  <c r="U30" i="159"/>
  <c r="U31" i="159" s="1"/>
  <c r="AR30" i="159" s="1"/>
  <c r="BF88" i="3"/>
  <c r="BF85" i="3"/>
  <c r="BM17" i="160"/>
  <c r="Q89" i="160"/>
  <c r="AM89" i="160"/>
  <c r="P83" i="3"/>
  <c r="AO34" i="3"/>
  <c r="BD62" i="160"/>
  <c r="AM71" i="160"/>
  <c r="AM84" i="160" s="1"/>
  <c r="P72" i="3"/>
  <c r="P91" i="3" s="1"/>
  <c r="AH49" i="160"/>
  <c r="AI62" i="160"/>
  <c r="AI88" i="3"/>
  <c r="BE50" i="160"/>
  <c r="BE49" i="160"/>
  <c r="AD81" i="110"/>
  <c r="AD135" i="110" s="1"/>
  <c r="AI63" i="160"/>
  <c r="BK75" i="3"/>
  <c r="AM48" i="160"/>
  <c r="M85" i="160"/>
  <c r="U131" i="110"/>
  <c r="AG83" i="3"/>
  <c r="M91" i="160"/>
  <c r="BD49" i="160"/>
  <c r="BD50" i="160"/>
  <c r="BE62" i="160"/>
  <c r="P62" i="3"/>
  <c r="P43" i="42"/>
  <c r="AG50" i="160"/>
  <c r="P61" i="3"/>
  <c r="P86" i="3"/>
  <c r="T21" i="34" s="1"/>
  <c r="N98" i="3"/>
  <c r="U135" i="110"/>
  <c r="N99" i="160" s="1"/>
  <c r="AG49" i="160"/>
  <c r="U133" i="110"/>
  <c r="N97" i="160" s="1"/>
  <c r="AM87" i="160"/>
  <c r="U132" i="110"/>
  <c r="N96" i="160" s="1"/>
  <c r="BE72" i="160"/>
  <c r="BE91" i="160" s="1"/>
  <c r="BE86" i="160"/>
  <c r="AI61" i="160"/>
  <c r="AH50" i="160"/>
  <c r="AI72" i="160"/>
  <c r="AI85" i="160" s="1"/>
  <c r="Q60" i="3"/>
  <c r="Q86" i="3" s="1"/>
  <c r="Q68" i="3"/>
  <c r="AM70" i="160"/>
  <c r="AH91" i="160"/>
  <c r="BE63" i="160"/>
  <c r="AM60" i="160"/>
  <c r="AM63" i="160" s="1"/>
  <c r="AM41" i="160"/>
  <c r="AM67" i="160" s="1"/>
  <c r="BK79" i="3"/>
  <c r="AM69" i="160"/>
  <c r="BK77" i="3"/>
  <c r="BK78" i="3"/>
  <c r="J85" i="160"/>
  <c r="AH88" i="160"/>
  <c r="BD91" i="160"/>
  <c r="BD85" i="160"/>
  <c r="J91" i="160"/>
  <c r="BD86" i="160"/>
  <c r="J91" i="3"/>
  <c r="O98" i="160"/>
  <c r="R108" i="110"/>
  <c r="BD63" i="160"/>
  <c r="BD61" i="160"/>
  <c r="J85" i="3"/>
  <c r="J52" i="42" s="1"/>
  <c r="T13" i="160"/>
  <c r="T25" i="160" s="1"/>
  <c r="R109" i="110"/>
  <c r="Q114" i="110"/>
  <c r="Q116" i="110" s="1"/>
  <c r="BD88" i="160"/>
  <c r="AP15" i="160"/>
  <c r="AP26" i="160" s="1"/>
  <c r="AP58" i="160" s="1"/>
  <c r="T50" i="159"/>
  <c r="AT47" i="159"/>
  <c r="X47" i="159"/>
  <c r="BQ47" i="159"/>
  <c r="T50" i="32"/>
  <c r="AP15" i="3"/>
  <c r="AP26" i="3" s="1"/>
  <c r="AP56" i="3" s="1"/>
  <c r="AI91" i="3"/>
  <c r="X132" i="110"/>
  <c r="X131" i="110"/>
  <c r="R112" i="110"/>
  <c r="R111" i="110"/>
  <c r="AH86" i="160"/>
  <c r="L85" i="160"/>
  <c r="L91" i="160"/>
  <c r="X134" i="110"/>
  <c r="Q98" i="160" s="1"/>
  <c r="Q123" i="110"/>
  <c r="P114" i="110"/>
  <c r="P117" i="110" s="1"/>
  <c r="X135" i="110"/>
  <c r="X140" i="110" s="1"/>
  <c r="AL49" i="160"/>
  <c r="P143" i="110"/>
  <c r="P122" i="110"/>
  <c r="AH61" i="160"/>
  <c r="AG63" i="3"/>
  <c r="AM62" i="3"/>
  <c r="BJ89" i="3"/>
  <c r="Q124" i="110"/>
  <c r="O97" i="3"/>
  <c r="P140" i="110"/>
  <c r="AL49" i="3"/>
  <c r="P72" i="160"/>
  <c r="P88" i="160" s="1"/>
  <c r="AD86" i="110"/>
  <c r="AM86" i="3"/>
  <c r="AD88" i="110"/>
  <c r="AD87" i="110"/>
  <c r="AM61" i="3"/>
  <c r="BJ62" i="160"/>
  <c r="BJ61" i="160"/>
  <c r="BJ86" i="160"/>
  <c r="AH85" i="160"/>
  <c r="BJ72" i="160"/>
  <c r="AH62" i="160"/>
  <c r="AH63" i="160"/>
  <c r="BG88" i="3"/>
  <c r="BG85" i="3"/>
  <c r="AL50" i="160"/>
  <c r="P61" i="160"/>
  <c r="P86" i="160"/>
  <c r="P62" i="160"/>
  <c r="AM83" i="3"/>
  <c r="AD75" i="110"/>
  <c r="AL50" i="3"/>
  <c r="Y135" i="110"/>
  <c r="W103" i="110"/>
  <c r="Y131" i="110"/>
  <c r="W104" i="110"/>
  <c r="Y133" i="110"/>
  <c r="AK72" i="160"/>
  <c r="Y134" i="110"/>
  <c r="T133" i="110"/>
  <c r="T134" i="110"/>
  <c r="T132" i="110"/>
  <c r="T135" i="110"/>
  <c r="T131" i="110"/>
  <c r="O88" i="3"/>
  <c r="O91" i="3"/>
  <c r="AL86" i="160"/>
  <c r="AL62" i="160"/>
  <c r="AL61" i="160"/>
  <c r="AL72" i="160"/>
  <c r="AL88" i="160" s="1"/>
  <c r="T112" i="110"/>
  <c r="T125" i="110" s="1"/>
  <c r="T108" i="110"/>
  <c r="T109" i="110"/>
  <c r="T111" i="110"/>
  <c r="T124" i="110" s="1"/>
  <c r="T110" i="110"/>
  <c r="T123" i="110" s="1"/>
  <c r="BI72" i="3"/>
  <c r="BI91" i="3" s="1"/>
  <c r="BI86" i="160"/>
  <c r="BD86" i="3"/>
  <c r="AM63" i="3"/>
  <c r="BI72" i="160"/>
  <c r="BI85" i="160" s="1"/>
  <c r="BI62" i="3"/>
  <c r="AA123" i="110"/>
  <c r="BI61" i="3"/>
  <c r="BI86" i="3"/>
  <c r="AL83" i="3"/>
  <c r="V145" i="110"/>
  <c r="BI61" i="160"/>
  <c r="BI62" i="160"/>
  <c r="AL88" i="3"/>
  <c r="BA62" i="3"/>
  <c r="BH49" i="3"/>
  <c r="AA114" i="110"/>
  <c r="AA117" i="110" s="1"/>
  <c r="N88" i="160"/>
  <c r="N85" i="160"/>
  <c r="AE72" i="3"/>
  <c r="AE88" i="3" s="1"/>
  <c r="AE86" i="3"/>
  <c r="BH50" i="3"/>
  <c r="AE62" i="3"/>
  <c r="AE61" i="3"/>
  <c r="AD85" i="3"/>
  <c r="AD63" i="3"/>
  <c r="AL62" i="3"/>
  <c r="V117" i="110"/>
  <c r="V142" i="110"/>
  <c r="AL86" i="3"/>
  <c r="AL61" i="3"/>
  <c r="AK72" i="3"/>
  <c r="AK85" i="3" s="1"/>
  <c r="AD86" i="3"/>
  <c r="AK63" i="3"/>
  <c r="AK62" i="3"/>
  <c r="BJ48" i="3"/>
  <c r="BK60" i="3"/>
  <c r="BK62" i="3" s="1"/>
  <c r="AK61" i="3"/>
  <c r="AL63" i="3"/>
  <c r="AD62" i="3"/>
  <c r="V126" i="110"/>
  <c r="V144" i="110" s="1"/>
  <c r="AD61" i="3"/>
  <c r="V116" i="110"/>
  <c r="AK49" i="160"/>
  <c r="R56" i="160"/>
  <c r="R55" i="160"/>
  <c r="R68" i="160" s="1"/>
  <c r="S123" i="110"/>
  <c r="AO27" i="160"/>
  <c r="AO75" i="160" s="1"/>
  <c r="BL54" i="160"/>
  <c r="BL55" i="160"/>
  <c r="BL68" i="160" s="1"/>
  <c r="Q97" i="160"/>
  <c r="BL57" i="160"/>
  <c r="BD72" i="3"/>
  <c r="BD91" i="3" s="1"/>
  <c r="N98" i="160"/>
  <c r="Q50" i="42"/>
  <c r="BD62" i="3"/>
  <c r="BC86" i="160"/>
  <c r="BD61" i="3"/>
  <c r="AN78" i="160"/>
  <c r="BL56" i="160"/>
  <c r="BJ41" i="3"/>
  <c r="BJ67" i="3" s="1"/>
  <c r="AG72" i="160"/>
  <c r="AG91" i="160" s="1"/>
  <c r="BJ87" i="3"/>
  <c r="BK79" i="160"/>
  <c r="AK67" i="160"/>
  <c r="BA86" i="3"/>
  <c r="S114" i="110"/>
  <c r="S116" i="110" s="1"/>
  <c r="AN60" i="3"/>
  <c r="AN63" i="3" s="1"/>
  <c r="R54" i="160"/>
  <c r="BA61" i="3"/>
  <c r="R58" i="160"/>
  <c r="BA72" i="3"/>
  <c r="BA88" i="3" s="1"/>
  <c r="BL57" i="3"/>
  <c r="AK62" i="160"/>
  <c r="AF86" i="160"/>
  <c r="AK49" i="3"/>
  <c r="AK86" i="160"/>
  <c r="R134" i="110"/>
  <c r="AK61" i="160"/>
  <c r="AF72" i="160"/>
  <c r="AF88" i="160" s="1"/>
  <c r="BL56" i="3"/>
  <c r="BK76" i="160"/>
  <c r="BL58" i="3"/>
  <c r="BL55" i="3"/>
  <c r="BL68" i="3" s="1"/>
  <c r="AF62" i="160"/>
  <c r="AK50" i="3"/>
  <c r="AF61" i="160"/>
  <c r="AE72" i="110"/>
  <c r="AE81" i="110" s="1"/>
  <c r="AM85" i="3"/>
  <c r="BK78" i="160"/>
  <c r="BK75" i="160"/>
  <c r="Q145" i="110"/>
  <c r="AD86" i="160"/>
  <c r="BJ86" i="3"/>
  <c r="AG72" i="3"/>
  <c r="AG85" i="3" s="1"/>
  <c r="BH61" i="160"/>
  <c r="AG50" i="3"/>
  <c r="BH86" i="160"/>
  <c r="BH62" i="160"/>
  <c r="BH72" i="160"/>
  <c r="AG61" i="160"/>
  <c r="BC62" i="160"/>
  <c r="AG63" i="160"/>
  <c r="AG86" i="160"/>
  <c r="BC61" i="160"/>
  <c r="BC63" i="160"/>
  <c r="BC72" i="160"/>
  <c r="BC85" i="160" s="1"/>
  <c r="S145" i="110"/>
  <c r="AD62" i="160"/>
  <c r="AD61" i="160"/>
  <c r="AD72" i="160"/>
  <c r="AD91" i="160" s="1"/>
  <c r="R133" i="110"/>
  <c r="R135" i="110"/>
  <c r="R132" i="110"/>
  <c r="BI50" i="3"/>
  <c r="BC72" i="3"/>
  <c r="BC85" i="3" s="1"/>
  <c r="AL85" i="3"/>
  <c r="AG49" i="3"/>
  <c r="BC61" i="3"/>
  <c r="P103" i="110"/>
  <c r="BC62" i="3"/>
  <c r="AE71" i="110"/>
  <c r="BI49" i="3"/>
  <c r="BC86" i="3"/>
  <c r="X104" i="110"/>
  <c r="BB49" i="160"/>
  <c r="AO21" i="3"/>
  <c r="AG86" i="3"/>
  <c r="N85" i="3"/>
  <c r="N52" i="42" s="1"/>
  <c r="BJ72" i="3"/>
  <c r="BB50" i="3"/>
  <c r="Q67" i="160"/>
  <c r="Q49" i="160"/>
  <c r="AM91" i="3"/>
  <c r="Q89" i="3"/>
  <c r="AO33" i="3"/>
  <c r="AM88" i="3"/>
  <c r="O85" i="160"/>
  <c r="AN76" i="160"/>
  <c r="Y114" i="110"/>
  <c r="Y116" i="110" s="1"/>
  <c r="BJ61" i="3"/>
  <c r="R98" i="110"/>
  <c r="R96" i="110"/>
  <c r="R99" i="110"/>
  <c r="R97" i="110"/>
  <c r="R123" i="110" s="1"/>
  <c r="T104" i="110"/>
  <c r="BJ63" i="3"/>
  <c r="AN79" i="160"/>
  <c r="AL91" i="3"/>
  <c r="N91" i="3"/>
  <c r="AG62" i="3"/>
  <c r="AN77" i="160"/>
  <c r="BH50" i="160"/>
  <c r="S125" i="110"/>
  <c r="S140" i="110" s="1"/>
  <c r="S102" i="110"/>
  <c r="S27" i="160"/>
  <c r="S78" i="160" s="1"/>
  <c r="Q50" i="160"/>
  <c r="S122" i="110"/>
  <c r="S143" i="110"/>
  <c r="S95" i="110"/>
  <c r="S121" i="110" s="1"/>
  <c r="BA72" i="160"/>
  <c r="BA91" i="160" s="1"/>
  <c r="BA86" i="160"/>
  <c r="BA61" i="160"/>
  <c r="BA62" i="160"/>
  <c r="U103" i="110"/>
  <c r="Q71" i="3"/>
  <c r="Q48" i="3"/>
  <c r="Q48" i="42"/>
  <c r="T13" i="3"/>
  <c r="U32" i="32"/>
  <c r="BO30" i="32" s="1"/>
  <c r="V30" i="32"/>
  <c r="U21" i="42"/>
  <c r="U31" i="32"/>
  <c r="AR30" i="32" s="1"/>
  <c r="T103" i="110"/>
  <c r="O108" i="110"/>
  <c r="O109" i="110"/>
  <c r="O112" i="110"/>
  <c r="O110" i="110"/>
  <c r="O111" i="110"/>
  <c r="BJ83" i="3"/>
  <c r="T14" i="160"/>
  <c r="S32" i="160"/>
  <c r="F139" i="110"/>
  <c r="F144" i="110"/>
  <c r="S33" i="3"/>
  <c r="AD80" i="110"/>
  <c r="R75" i="160"/>
  <c r="R76" i="160"/>
  <c r="R79" i="160"/>
  <c r="R77" i="160"/>
  <c r="R78" i="160"/>
  <c r="N139" i="110"/>
  <c r="N144" i="110"/>
  <c r="O81" i="110"/>
  <c r="I125" i="110"/>
  <c r="I140" i="110" s="1"/>
  <c r="I102" i="110"/>
  <c r="AP14" i="3"/>
  <c r="O96" i="160"/>
  <c r="O96" i="3"/>
  <c r="V139" i="110"/>
  <c r="AM50" i="3"/>
  <c r="AO27" i="3"/>
  <c r="AO32" i="3"/>
  <c r="BI49" i="160"/>
  <c r="K147" i="110"/>
  <c r="K128" i="110"/>
  <c r="BB49" i="3"/>
  <c r="AN45" i="160"/>
  <c r="AN44" i="160"/>
  <c r="AN70" i="160" s="1"/>
  <c r="AN43" i="160"/>
  <c r="R75" i="3"/>
  <c r="R79" i="3"/>
  <c r="R78" i="3"/>
  <c r="R76" i="3"/>
  <c r="R77" i="3"/>
  <c r="O87" i="110"/>
  <c r="O79" i="110"/>
  <c r="O86" i="110"/>
  <c r="O88" i="110"/>
  <c r="O75" i="110"/>
  <c r="Q69" i="3"/>
  <c r="Q97" i="3" s="1"/>
  <c r="T74" i="34" s="1"/>
  <c r="Q87" i="3"/>
  <c r="Q44" i="42"/>
  <c r="Q46" i="42"/>
  <c r="Q41" i="3"/>
  <c r="Q67" i="3" s="1"/>
  <c r="V40" i="32"/>
  <c r="U42" i="32"/>
  <c r="BO40" i="32" s="1"/>
  <c r="U41" i="32"/>
  <c r="AR40" i="32" s="1"/>
  <c r="T14" i="3"/>
  <c r="T15" i="160"/>
  <c r="BM14" i="3"/>
  <c r="BD49" i="3"/>
  <c r="S25" i="42"/>
  <c r="S38" i="42" s="1"/>
  <c r="Z132" i="110"/>
  <c r="Z134" i="110"/>
  <c r="Z133" i="110"/>
  <c r="Z135" i="110"/>
  <c r="Z131" i="110"/>
  <c r="AN44" i="3"/>
  <c r="AN70" i="3" s="1"/>
  <c r="AN45" i="3"/>
  <c r="AN43" i="3"/>
  <c r="BB91" i="3"/>
  <c r="BB88" i="3"/>
  <c r="G147" i="110"/>
  <c r="G128" i="110"/>
  <c r="G141" i="110"/>
  <c r="AM49" i="3"/>
  <c r="AA125" i="110"/>
  <c r="AA102" i="110"/>
  <c r="AD99" i="110"/>
  <c r="AD97" i="110"/>
  <c r="AD96" i="110"/>
  <c r="AD98" i="110"/>
  <c r="M147" i="110"/>
  <c r="M128" i="110"/>
  <c r="K104" i="110"/>
  <c r="BA63" i="160"/>
  <c r="AP18" i="160"/>
  <c r="BM15" i="160"/>
  <c r="AB114" i="110"/>
  <c r="AB117" i="110" s="1"/>
  <c r="T16" i="160"/>
  <c r="BM13" i="3"/>
  <c r="BJ83" i="160"/>
  <c r="S33" i="160"/>
  <c r="AC102" i="110"/>
  <c r="AB99" i="110"/>
  <c r="AB97" i="110"/>
  <c r="AB123" i="110" s="1"/>
  <c r="AB96" i="110"/>
  <c r="AB98" i="110"/>
  <c r="AB124" i="110" s="1"/>
  <c r="H144" i="110"/>
  <c r="H139" i="110"/>
  <c r="U126" i="110"/>
  <c r="U116" i="110"/>
  <c r="U115" i="110"/>
  <c r="U142" i="110"/>
  <c r="Q70" i="3"/>
  <c r="Q47" i="42"/>
  <c r="AA145" i="110"/>
  <c r="U35" i="32"/>
  <c r="U16" i="3" s="1"/>
  <c r="T37" i="32"/>
  <c r="BN35" i="32" s="1"/>
  <c r="BN17" i="3" s="1"/>
  <c r="T36" i="32"/>
  <c r="AQ35" i="32" s="1"/>
  <c r="AQ17" i="3" s="1"/>
  <c r="T17" i="3"/>
  <c r="T26" i="3" s="1"/>
  <c r="AP18" i="3"/>
  <c r="W126" i="110"/>
  <c r="W142" i="110"/>
  <c r="W115" i="110"/>
  <c r="W116" i="110"/>
  <c r="AO44" i="3"/>
  <c r="AO45" i="3"/>
  <c r="AO43" i="3"/>
  <c r="BH67" i="160"/>
  <c r="BH49" i="160"/>
  <c r="H104" i="110"/>
  <c r="Z96" i="110"/>
  <c r="Z99" i="110"/>
  <c r="Z97" i="110"/>
  <c r="Z98" i="110"/>
  <c r="P104" i="110"/>
  <c r="AA122" i="110"/>
  <c r="AA143" i="110"/>
  <c r="AA95" i="110"/>
  <c r="AA121" i="110" s="1"/>
  <c r="M144" i="110"/>
  <c r="M139" i="110"/>
  <c r="U42" i="159"/>
  <c r="BO40" i="159" s="1"/>
  <c r="U41" i="159"/>
  <c r="AR40" i="159" s="1"/>
  <c r="V40" i="159"/>
  <c r="AP13" i="160"/>
  <c r="S31" i="42"/>
  <c r="S26" i="3"/>
  <c r="AO57" i="3"/>
  <c r="AO54" i="3"/>
  <c r="AO55" i="3"/>
  <c r="AO68" i="3" s="1"/>
  <c r="AO56" i="3"/>
  <c r="AO58" i="3"/>
  <c r="BB50" i="160"/>
  <c r="BM16" i="160"/>
  <c r="T16" i="3"/>
  <c r="BM16" i="3"/>
  <c r="W117" i="110"/>
  <c r="S34" i="160"/>
  <c r="O91" i="160"/>
  <c r="O99" i="160"/>
  <c r="O99" i="3"/>
  <c r="V140" i="110"/>
  <c r="AO25" i="160"/>
  <c r="AO21" i="160"/>
  <c r="AO34" i="160"/>
  <c r="AO33" i="160"/>
  <c r="AO32" i="160"/>
  <c r="S44" i="3"/>
  <c r="S45" i="3"/>
  <c r="S43" i="3"/>
  <c r="U104" i="110"/>
  <c r="S32" i="42"/>
  <c r="S27" i="3"/>
  <c r="AP13" i="3"/>
  <c r="AP16" i="3"/>
  <c r="Q143" i="110"/>
  <c r="Q122" i="110"/>
  <c r="Q95" i="110"/>
  <c r="Q121" i="110" s="1"/>
  <c r="BI50" i="160"/>
  <c r="G144" i="110"/>
  <c r="G139" i="110"/>
  <c r="Q60" i="160"/>
  <c r="U35" i="159"/>
  <c r="T17" i="160"/>
  <c r="T37" i="159"/>
  <c r="BN35" i="159" s="1"/>
  <c r="BN17" i="160" s="1"/>
  <c r="T36" i="159"/>
  <c r="AQ35" i="159" s="1"/>
  <c r="BH86" i="3"/>
  <c r="BH61" i="3"/>
  <c r="BH62" i="3"/>
  <c r="BH72" i="3"/>
  <c r="BH85" i="3" s="1"/>
  <c r="K139" i="110"/>
  <c r="K144" i="110"/>
  <c r="Z47" i="32"/>
  <c r="BS47" i="32"/>
  <c r="AV47" i="32"/>
  <c r="AF60" i="110"/>
  <c r="AF59" i="110"/>
  <c r="AF40" i="110"/>
  <c r="AF68" i="110" s="1"/>
  <c r="AF45" i="110"/>
  <c r="AF43" i="110"/>
  <c r="AF70" i="110" s="1"/>
  <c r="AF46" i="110"/>
  <c r="AF39" i="110"/>
  <c r="AF67" i="110" s="1"/>
  <c r="AF42" i="110"/>
  <c r="AF69" i="110" s="1"/>
  <c r="BK45" i="160"/>
  <c r="BK43" i="160"/>
  <c r="BK44" i="160"/>
  <c r="AP14" i="160"/>
  <c r="AN78" i="3"/>
  <c r="AN76" i="3"/>
  <c r="AN79" i="3"/>
  <c r="AN77" i="3"/>
  <c r="AN75" i="3"/>
  <c r="BM13" i="160"/>
  <c r="T18" i="3"/>
  <c r="BM15" i="3"/>
  <c r="BM26" i="3" s="1"/>
  <c r="BB72" i="160"/>
  <c r="BB91" i="160" s="1"/>
  <c r="BB86" i="160"/>
  <c r="BB62" i="160"/>
  <c r="BB61" i="160"/>
  <c r="S21" i="160"/>
  <c r="S21" i="3"/>
  <c r="S32" i="3"/>
  <c r="S37" i="42" s="1"/>
  <c r="Q125" i="110"/>
  <c r="Q140" i="110" s="1"/>
  <c r="Q102" i="110"/>
  <c r="Q71" i="160"/>
  <c r="AC95" i="110"/>
  <c r="AC121" i="110" s="1"/>
  <c r="R57" i="3"/>
  <c r="R55" i="3"/>
  <c r="R58" i="3"/>
  <c r="R54" i="3"/>
  <c r="R56" i="3"/>
  <c r="I103" i="110"/>
  <c r="I122" i="110"/>
  <c r="I143" i="110"/>
  <c r="I95" i="110"/>
  <c r="I121" i="110" s="1"/>
  <c r="V103" i="110"/>
  <c r="BK43" i="3"/>
  <c r="BK45" i="3"/>
  <c r="BK44" i="3"/>
  <c r="BK70" i="3" s="1"/>
  <c r="Y96" i="110"/>
  <c r="Y99" i="110"/>
  <c r="Y97" i="110"/>
  <c r="Y123" i="110" s="1"/>
  <c r="Y98" i="110"/>
  <c r="Y124" i="110" s="1"/>
  <c r="H147" i="110"/>
  <c r="H128" i="110"/>
  <c r="R43" i="3"/>
  <c r="R44" i="3"/>
  <c r="R45" i="3"/>
  <c r="BL21" i="3"/>
  <c r="BL32" i="3"/>
  <c r="BL25" i="3"/>
  <c r="BL33" i="3"/>
  <c r="BL34" i="3"/>
  <c r="U117" i="110"/>
  <c r="AF86" i="3"/>
  <c r="AF61" i="3"/>
  <c r="AF62" i="3"/>
  <c r="AF72" i="3"/>
  <c r="AF91" i="3" s="1"/>
  <c r="Q68" i="160"/>
  <c r="Q87" i="160"/>
  <c r="BL27" i="3"/>
  <c r="V104" i="110"/>
  <c r="AE79" i="110"/>
  <c r="AE86" i="110"/>
  <c r="AE87" i="110"/>
  <c r="AE88" i="110"/>
  <c r="N147" i="110"/>
  <c r="N128" i="110"/>
  <c r="AP16" i="160"/>
  <c r="BB85" i="3"/>
  <c r="BM18" i="160"/>
  <c r="X126" i="110"/>
  <c r="X144" i="110" s="1"/>
  <c r="X142" i="110"/>
  <c r="X115" i="110"/>
  <c r="X116" i="110"/>
  <c r="BD50" i="3"/>
  <c r="X103" i="110"/>
  <c r="BM18" i="3"/>
  <c r="AC111" i="110"/>
  <c r="AC124" i="110" s="1"/>
  <c r="AC109" i="110"/>
  <c r="AC122" i="110" s="1"/>
  <c r="AC112" i="110"/>
  <c r="AC125" i="110" s="1"/>
  <c r="AC110" i="110"/>
  <c r="AC123" i="110" s="1"/>
  <c r="AC108" i="110"/>
  <c r="S43" i="160"/>
  <c r="S44" i="160"/>
  <c r="S45" i="160"/>
  <c r="F147" i="110"/>
  <c r="F128" i="110"/>
  <c r="R43" i="160"/>
  <c r="R44" i="160"/>
  <c r="R70" i="160" s="1"/>
  <c r="R45" i="160"/>
  <c r="S34" i="3"/>
  <c r="AB131" i="110" l="1"/>
  <c r="AB135" i="110"/>
  <c r="AB132" i="110"/>
  <c r="AB134" i="110"/>
  <c r="P97" i="160"/>
  <c r="AE85" i="160"/>
  <c r="AJ88" i="160"/>
  <c r="AJ85" i="160"/>
  <c r="AC145" i="110"/>
  <c r="P96" i="3"/>
  <c r="Z123" i="110"/>
  <c r="W145" i="110"/>
  <c r="P98" i="3"/>
  <c r="W139" i="110"/>
  <c r="Z114" i="110"/>
  <c r="Z117" i="110" s="1"/>
  <c r="AE88" i="160"/>
  <c r="Z124" i="110"/>
  <c r="BA85" i="160"/>
  <c r="AD85" i="160"/>
  <c r="BA85" i="3"/>
  <c r="BA91" i="3"/>
  <c r="BB85" i="160"/>
  <c r="AE85" i="3"/>
  <c r="BB88" i="160"/>
  <c r="BA88" i="160"/>
  <c r="AD88" i="160"/>
  <c r="AE91" i="3"/>
  <c r="AF85" i="3"/>
  <c r="BC91" i="3"/>
  <c r="BC88" i="3"/>
  <c r="AF91" i="160"/>
  <c r="BC91" i="160"/>
  <c r="BC88" i="160"/>
  <c r="AF85" i="160"/>
  <c r="AF88" i="3"/>
  <c r="BL77" i="160"/>
  <c r="V30" i="159"/>
  <c r="V32" i="159" s="1"/>
  <c r="BP30" i="159" s="1"/>
  <c r="BL75" i="160"/>
  <c r="BL76" i="160"/>
  <c r="BL79" i="160"/>
  <c r="BJ50" i="160"/>
  <c r="BJ85" i="160"/>
  <c r="BJ49" i="160"/>
  <c r="S58" i="160"/>
  <c r="S71" i="160" s="1"/>
  <c r="S57" i="160"/>
  <c r="S70" i="160" s="1"/>
  <c r="AN60" i="160"/>
  <c r="AN72" i="160" s="1"/>
  <c r="AO55" i="160"/>
  <c r="AO68" i="160" s="1"/>
  <c r="BL44" i="160"/>
  <c r="BL87" i="160" s="1"/>
  <c r="BL45" i="160"/>
  <c r="AO58" i="160"/>
  <c r="AO57" i="160"/>
  <c r="AO54" i="160"/>
  <c r="AQ15" i="3"/>
  <c r="AQ26" i="3" s="1"/>
  <c r="AQ54" i="3" s="1"/>
  <c r="AQ18" i="3"/>
  <c r="AQ14" i="3"/>
  <c r="AQ13" i="3"/>
  <c r="AQ25" i="3" s="1"/>
  <c r="BG88" i="160"/>
  <c r="AQ16" i="3"/>
  <c r="BG91" i="160"/>
  <c r="AQ16" i="160"/>
  <c r="BK60" i="160"/>
  <c r="BK63" i="160" s="1"/>
  <c r="BK70" i="160"/>
  <c r="S54" i="160"/>
  <c r="S56" i="160"/>
  <c r="S69" i="160" s="1"/>
  <c r="AQ13" i="160"/>
  <c r="AQ25" i="160" s="1"/>
  <c r="AQ17" i="160"/>
  <c r="AQ18" i="160"/>
  <c r="U50" i="159"/>
  <c r="U32" i="159"/>
  <c r="BO30" i="159" s="1"/>
  <c r="BM26" i="160"/>
  <c r="BM56" i="160" s="1"/>
  <c r="P85" i="3"/>
  <c r="T24" i="34" s="1"/>
  <c r="P88" i="3"/>
  <c r="Q43" i="42"/>
  <c r="Q62" i="3"/>
  <c r="BE85" i="160"/>
  <c r="AM49" i="160"/>
  <c r="AD132" i="110"/>
  <c r="AM86" i="160"/>
  <c r="AD131" i="110"/>
  <c r="AD133" i="110"/>
  <c r="AD134" i="110"/>
  <c r="AM62" i="160"/>
  <c r="AM72" i="160"/>
  <c r="AM85" i="160" s="1"/>
  <c r="AM61" i="160"/>
  <c r="U139" i="110"/>
  <c r="U147" i="110"/>
  <c r="N96" i="3"/>
  <c r="U145" i="110"/>
  <c r="AM50" i="160"/>
  <c r="U140" i="110"/>
  <c r="N99" i="3"/>
  <c r="BD85" i="3"/>
  <c r="Q142" i="110"/>
  <c r="Q61" i="3"/>
  <c r="N97" i="3"/>
  <c r="Q63" i="3"/>
  <c r="Q72" i="3"/>
  <c r="Q88" i="3" s="1"/>
  <c r="Q117" i="110"/>
  <c r="BE88" i="160"/>
  <c r="BK89" i="3"/>
  <c r="Q126" i="110"/>
  <c r="Q147" i="110" s="1"/>
  <c r="AI91" i="160"/>
  <c r="AI88" i="160"/>
  <c r="AM83" i="160"/>
  <c r="Q96" i="3"/>
  <c r="T70" i="34" s="1"/>
  <c r="R124" i="110"/>
  <c r="Q115" i="110"/>
  <c r="BD88" i="3"/>
  <c r="R145" i="110"/>
  <c r="AG88" i="3"/>
  <c r="R114" i="110"/>
  <c r="R117" i="110" s="1"/>
  <c r="T33" i="160"/>
  <c r="AG85" i="160"/>
  <c r="AQ15" i="160"/>
  <c r="BN18" i="3"/>
  <c r="AG91" i="3"/>
  <c r="Q96" i="160"/>
  <c r="BN14" i="160"/>
  <c r="X139" i="110"/>
  <c r="AG88" i="160"/>
  <c r="BN13" i="3"/>
  <c r="BN25" i="3" s="1"/>
  <c r="U14" i="3"/>
  <c r="U16" i="160"/>
  <c r="BR47" i="159"/>
  <c r="AU47" i="159"/>
  <c r="Y47" i="159"/>
  <c r="BN16" i="160"/>
  <c r="Q98" i="3"/>
  <c r="T78" i="34" s="1"/>
  <c r="U13" i="160"/>
  <c r="U25" i="160" s="1"/>
  <c r="U14" i="160"/>
  <c r="U18" i="160"/>
  <c r="P115" i="110"/>
  <c r="P142" i="110"/>
  <c r="P126" i="110"/>
  <c r="P144" i="110" s="1"/>
  <c r="P116" i="110"/>
  <c r="P139" i="110"/>
  <c r="BJ91" i="160"/>
  <c r="AO78" i="160"/>
  <c r="X145" i="110"/>
  <c r="BJ88" i="160"/>
  <c r="P85" i="160"/>
  <c r="P91" i="160"/>
  <c r="AA116" i="110"/>
  <c r="BI85" i="3"/>
  <c r="BI88" i="3"/>
  <c r="S117" i="110"/>
  <c r="Y145" i="110"/>
  <c r="AK85" i="160"/>
  <c r="AL85" i="160"/>
  <c r="T140" i="110"/>
  <c r="T145" i="110"/>
  <c r="AE75" i="110"/>
  <c r="BJ88" i="3"/>
  <c r="BI88" i="160"/>
  <c r="AK88" i="3"/>
  <c r="BI91" i="160"/>
  <c r="AL91" i="160"/>
  <c r="AA142" i="110"/>
  <c r="AK91" i="3"/>
  <c r="S142" i="110"/>
  <c r="AA126" i="110"/>
  <c r="AA147" i="110" s="1"/>
  <c r="T122" i="110"/>
  <c r="T143" i="110"/>
  <c r="T114" i="110"/>
  <c r="T142" i="110" s="1"/>
  <c r="AA115" i="110"/>
  <c r="S115" i="110"/>
  <c r="AB145" i="110"/>
  <c r="V147" i="110"/>
  <c r="O101" i="160"/>
  <c r="BL60" i="160"/>
  <c r="BL63" i="160" s="1"/>
  <c r="Y115" i="110"/>
  <c r="Y117" i="110"/>
  <c r="BK72" i="3"/>
  <c r="BK61" i="3"/>
  <c r="BK63" i="3"/>
  <c r="AN72" i="3"/>
  <c r="AO76" i="160"/>
  <c r="O101" i="3"/>
  <c r="O100" i="160"/>
  <c r="AO79" i="160"/>
  <c r="O100" i="3"/>
  <c r="AO77" i="160"/>
  <c r="V141" i="110"/>
  <c r="V128" i="110"/>
  <c r="R60" i="160"/>
  <c r="R62" i="160" s="1"/>
  <c r="S126" i="110"/>
  <c r="S147" i="110" s="1"/>
  <c r="AP54" i="3"/>
  <c r="AP58" i="3"/>
  <c r="AN61" i="3"/>
  <c r="AN62" i="3"/>
  <c r="BK89" i="160"/>
  <c r="BJ49" i="3"/>
  <c r="BJ50" i="3"/>
  <c r="AP56" i="160"/>
  <c r="AP55" i="3"/>
  <c r="AP68" i="3" s="1"/>
  <c r="AK91" i="160"/>
  <c r="AP57" i="3"/>
  <c r="AK88" i="160"/>
  <c r="BJ85" i="3"/>
  <c r="BJ91" i="3"/>
  <c r="AP57" i="160"/>
  <c r="AP54" i="160"/>
  <c r="BL60" i="3"/>
  <c r="BL63" i="3" s="1"/>
  <c r="AP55" i="160"/>
  <c r="AP68" i="160" s="1"/>
  <c r="AE80" i="110"/>
  <c r="AE112" i="110" s="1"/>
  <c r="AN89" i="160"/>
  <c r="Q49" i="3"/>
  <c r="X141" i="110"/>
  <c r="BM27" i="160"/>
  <c r="BM76" i="160" s="1"/>
  <c r="Q104" i="110"/>
  <c r="U141" i="110"/>
  <c r="Y126" i="110"/>
  <c r="Y142" i="110"/>
  <c r="N101" i="160"/>
  <c r="BK86" i="3"/>
  <c r="Q103" i="110"/>
  <c r="T26" i="160"/>
  <c r="T57" i="160" s="1"/>
  <c r="Q50" i="3"/>
  <c r="T21" i="160"/>
  <c r="S76" i="160"/>
  <c r="T31" i="42"/>
  <c r="S104" i="110"/>
  <c r="S75" i="160"/>
  <c r="AF71" i="110"/>
  <c r="AF80" i="110" s="1"/>
  <c r="U144" i="110"/>
  <c r="R102" i="110"/>
  <c r="R125" i="110"/>
  <c r="R140" i="110" s="1"/>
  <c r="S77" i="160"/>
  <c r="U128" i="110"/>
  <c r="R122" i="110"/>
  <c r="R95" i="110"/>
  <c r="R121" i="110" s="1"/>
  <c r="R143" i="110"/>
  <c r="S139" i="110"/>
  <c r="S79" i="160"/>
  <c r="N101" i="3"/>
  <c r="R89" i="160"/>
  <c r="T27" i="160"/>
  <c r="T77" i="160" s="1"/>
  <c r="O114" i="110"/>
  <c r="O115" i="110" s="1"/>
  <c r="S103" i="110"/>
  <c r="T55" i="3"/>
  <c r="T57" i="3"/>
  <c r="T54" i="3"/>
  <c r="T56" i="3"/>
  <c r="T58" i="3"/>
  <c r="AC139" i="110"/>
  <c r="Q84" i="160"/>
  <c r="Q99" i="160"/>
  <c r="AO45" i="160"/>
  <c r="AO43" i="160"/>
  <c r="AO44" i="160"/>
  <c r="AA139" i="110"/>
  <c r="I104" i="110"/>
  <c r="AO87" i="3"/>
  <c r="AO69" i="3"/>
  <c r="AO41" i="3"/>
  <c r="AO67" i="3" s="1"/>
  <c r="AD102" i="110"/>
  <c r="AN71" i="160"/>
  <c r="AN84" i="160" s="1"/>
  <c r="AN48" i="160"/>
  <c r="U13" i="3"/>
  <c r="T30" i="42"/>
  <c r="T25" i="42"/>
  <c r="T38" i="42" s="1"/>
  <c r="T26" i="42"/>
  <c r="T32" i="3"/>
  <c r="T37" i="42" s="1"/>
  <c r="T33" i="3"/>
  <c r="T25" i="3"/>
  <c r="T34" i="3"/>
  <c r="T21" i="3"/>
  <c r="Q84" i="3"/>
  <c r="Q99" i="3"/>
  <c r="T82" i="34" s="1"/>
  <c r="Q72" i="160"/>
  <c r="Q85" i="160" s="1"/>
  <c r="Q86" i="160"/>
  <c r="Q61" i="160"/>
  <c r="Q62" i="160"/>
  <c r="P100" i="160"/>
  <c r="P100" i="3"/>
  <c r="P101" i="160"/>
  <c r="W147" i="110"/>
  <c r="P101" i="3"/>
  <c r="W144" i="110"/>
  <c r="W128" i="110"/>
  <c r="Q63" i="160"/>
  <c r="AO60" i="3"/>
  <c r="AO63" i="3" s="1"/>
  <c r="AN87" i="3"/>
  <c r="AN69" i="3"/>
  <c r="AN41" i="3"/>
  <c r="AN67" i="3" s="1"/>
  <c r="R71" i="160"/>
  <c r="R84" i="160" s="1"/>
  <c r="R48" i="160"/>
  <c r="I144" i="110"/>
  <c r="I139" i="110"/>
  <c r="BN13" i="160"/>
  <c r="AN89" i="3"/>
  <c r="AF79" i="110"/>
  <c r="AF88" i="110"/>
  <c r="AF87" i="110"/>
  <c r="AF86" i="110"/>
  <c r="AO48" i="3"/>
  <c r="AO71" i="3"/>
  <c r="AN71" i="3"/>
  <c r="AN84" i="3" s="1"/>
  <c r="AN48" i="3"/>
  <c r="O135" i="110"/>
  <c r="O132" i="110"/>
  <c r="O133" i="110"/>
  <c r="O131" i="110"/>
  <c r="O134" i="110"/>
  <c r="AE135" i="110"/>
  <c r="AE134" i="110"/>
  <c r="AE132" i="110"/>
  <c r="AE133" i="110"/>
  <c r="AE131" i="110"/>
  <c r="U15" i="3"/>
  <c r="AF72" i="110"/>
  <c r="AF81" i="110" s="1"/>
  <c r="AP25" i="3"/>
  <c r="AP21" i="3"/>
  <c r="AP32" i="3"/>
  <c r="AP34" i="3"/>
  <c r="AP33" i="3"/>
  <c r="AO70" i="3"/>
  <c r="AA104" i="110"/>
  <c r="Z145" i="110"/>
  <c r="T32" i="42"/>
  <c r="T27" i="3"/>
  <c r="R89" i="3"/>
  <c r="U18" i="3"/>
  <c r="AE96" i="110"/>
  <c r="AE99" i="110"/>
  <c r="AE98" i="110"/>
  <c r="AE97" i="110"/>
  <c r="S41" i="160"/>
  <c r="S67" i="160" s="1"/>
  <c r="T43" i="160"/>
  <c r="T44" i="160"/>
  <c r="T45" i="160"/>
  <c r="R69" i="160"/>
  <c r="R87" i="160"/>
  <c r="R41" i="160"/>
  <c r="R67" i="160" s="1"/>
  <c r="R71" i="3"/>
  <c r="R84" i="3" s="1"/>
  <c r="R48" i="3"/>
  <c r="R48" i="42"/>
  <c r="R98" i="160"/>
  <c r="BM25" i="160"/>
  <c r="BM21" i="160"/>
  <c r="BM34" i="160"/>
  <c r="BM33" i="160"/>
  <c r="BM32" i="160"/>
  <c r="AP27" i="160"/>
  <c r="BT47" i="32"/>
  <c r="AW47" i="32"/>
  <c r="AG43" i="110"/>
  <c r="AG70" i="110" s="1"/>
  <c r="AG42" i="110"/>
  <c r="AG69" i="110" s="1"/>
  <c r="AG60" i="110"/>
  <c r="AG39" i="110"/>
  <c r="AG67" i="110" s="1"/>
  <c r="AG45" i="110"/>
  <c r="AG59" i="110"/>
  <c r="AG40" i="110"/>
  <c r="AG68" i="110" s="1"/>
  <c r="AG46" i="110"/>
  <c r="S78" i="3"/>
  <c r="S79" i="3"/>
  <c r="S77" i="3"/>
  <c r="S75" i="3"/>
  <c r="S76" i="3"/>
  <c r="S55" i="3"/>
  <c r="S57" i="3"/>
  <c r="S70" i="3" s="1"/>
  <c r="S56" i="3"/>
  <c r="S69" i="3" s="1"/>
  <c r="S54" i="3"/>
  <c r="S58" i="3"/>
  <c r="S71" i="3" s="1"/>
  <c r="Z125" i="110"/>
  <c r="Z102" i="110"/>
  <c r="BN15" i="3"/>
  <c r="BN26" i="3" s="1"/>
  <c r="AB122" i="110"/>
  <c r="AB143" i="110"/>
  <c r="AB95" i="110"/>
  <c r="AB121" i="110" s="1"/>
  <c r="AA140" i="110"/>
  <c r="BM27" i="3"/>
  <c r="AO78" i="3"/>
  <c r="AO75" i="3"/>
  <c r="AO76" i="3"/>
  <c r="AO79" i="3"/>
  <c r="AO77" i="3"/>
  <c r="BL45" i="3"/>
  <c r="BL43" i="3"/>
  <c r="BL44" i="3"/>
  <c r="BL70" i="3" s="1"/>
  <c r="BL75" i="3"/>
  <c r="BL79" i="3"/>
  <c r="BL78" i="3"/>
  <c r="BL76" i="3"/>
  <c r="BL77" i="3"/>
  <c r="R60" i="3"/>
  <c r="R63" i="3" s="1"/>
  <c r="R50" i="42"/>
  <c r="U37" i="32"/>
  <c r="BO35" i="32" s="1"/>
  <c r="BO17" i="3" s="1"/>
  <c r="V35" i="32"/>
  <c r="V15" i="3" s="1"/>
  <c r="U36" i="32"/>
  <c r="AR35" i="32" s="1"/>
  <c r="AR17" i="3" s="1"/>
  <c r="U17" i="3"/>
  <c r="I147" i="110"/>
  <c r="I128" i="110"/>
  <c r="AC143" i="110"/>
  <c r="AC114" i="110"/>
  <c r="AC117" i="110" s="1"/>
  <c r="V42" i="32"/>
  <c r="BP40" i="32" s="1"/>
  <c r="W40" i="32"/>
  <c r="V41" i="32"/>
  <c r="AS40" i="32" s="1"/>
  <c r="R87" i="3"/>
  <c r="R69" i="3"/>
  <c r="R97" i="3" s="1"/>
  <c r="R46" i="42"/>
  <c r="R44" i="42"/>
  <c r="R41" i="3"/>
  <c r="R67" i="3" s="1"/>
  <c r="BK48" i="3"/>
  <c r="BK71" i="3"/>
  <c r="BK84" i="3" s="1"/>
  <c r="T34" i="160"/>
  <c r="BN18" i="160"/>
  <c r="BK69" i="160"/>
  <c r="BK87" i="160"/>
  <c r="BK41" i="160"/>
  <c r="BK67" i="160" s="1"/>
  <c r="X128" i="110"/>
  <c r="AP25" i="160"/>
  <c r="AP21" i="160"/>
  <c r="AP34" i="160"/>
  <c r="AP33" i="160"/>
  <c r="AP32" i="160"/>
  <c r="AA103" i="110"/>
  <c r="W141" i="110"/>
  <c r="BN16" i="3"/>
  <c r="AB125" i="110"/>
  <c r="AB102" i="110"/>
  <c r="Q42" i="42"/>
  <c r="AD109" i="110"/>
  <c r="AD122" i="110" s="1"/>
  <c r="AD110" i="110"/>
  <c r="AD123" i="110" s="1"/>
  <c r="AD108" i="110"/>
  <c r="AD111" i="110"/>
  <c r="AD124" i="110" s="1"/>
  <c r="AD112" i="110"/>
  <c r="S48" i="3"/>
  <c r="BH91" i="160"/>
  <c r="BH88" i="160"/>
  <c r="BH85" i="160"/>
  <c r="AC140" i="110"/>
  <c r="S48" i="160"/>
  <c r="R70" i="3"/>
  <c r="R98" i="3" s="1"/>
  <c r="R47" i="42"/>
  <c r="BM57" i="3"/>
  <c r="BM56" i="3"/>
  <c r="BM58" i="3"/>
  <c r="BM54" i="3"/>
  <c r="BM55" i="3"/>
  <c r="BM68" i="3" s="1"/>
  <c r="Z122" i="110"/>
  <c r="Z143" i="110"/>
  <c r="Z95" i="110"/>
  <c r="Z121" i="110" s="1"/>
  <c r="BM21" i="3"/>
  <c r="BM25" i="3"/>
  <c r="BM32" i="3"/>
  <c r="BM33" i="3"/>
  <c r="BM34" i="3"/>
  <c r="BL69" i="160"/>
  <c r="Y125" i="110"/>
  <c r="Y102" i="110"/>
  <c r="AQ14" i="160"/>
  <c r="Q83" i="160"/>
  <c r="Y122" i="110"/>
  <c r="Y143" i="110"/>
  <c r="Y95" i="110"/>
  <c r="Y121" i="110" s="1"/>
  <c r="BK87" i="3"/>
  <c r="BK69" i="3"/>
  <c r="BK41" i="3"/>
  <c r="BK67" i="3" s="1"/>
  <c r="T32" i="160"/>
  <c r="R45" i="42"/>
  <c r="R68" i="3"/>
  <c r="AC103" i="110"/>
  <c r="BN15" i="160"/>
  <c r="BN26" i="160" s="1"/>
  <c r="BK71" i="160"/>
  <c r="BK84" i="160" s="1"/>
  <c r="BK48" i="160"/>
  <c r="BH88" i="3"/>
  <c r="BH91" i="3"/>
  <c r="V35" i="159"/>
  <c r="U37" i="159"/>
  <c r="BO35" i="159" s="1"/>
  <c r="U36" i="159"/>
  <c r="AR35" i="159" s="1"/>
  <c r="AR17" i="160" s="1"/>
  <c r="U17" i="160"/>
  <c r="Q139" i="110"/>
  <c r="S41" i="3"/>
  <c r="S67" i="3" s="1"/>
  <c r="X147" i="110"/>
  <c r="V41" i="159"/>
  <c r="AS40" i="159" s="1"/>
  <c r="V42" i="159"/>
  <c r="BP40" i="159" s="1"/>
  <c r="W40" i="159"/>
  <c r="BN14" i="3"/>
  <c r="N100" i="160"/>
  <c r="N100" i="3"/>
  <c r="U15" i="160"/>
  <c r="AC104" i="110"/>
  <c r="AB126" i="110"/>
  <c r="AB116" i="110"/>
  <c r="AB142" i="110"/>
  <c r="AB115" i="110"/>
  <c r="AD95" i="110"/>
  <c r="AD121" i="110" s="1"/>
  <c r="AN86" i="3"/>
  <c r="O96" i="110"/>
  <c r="O97" i="110"/>
  <c r="O123" i="110" s="1"/>
  <c r="O98" i="110"/>
  <c r="O124" i="110" s="1"/>
  <c r="O99" i="110"/>
  <c r="AN69" i="160"/>
  <c r="AN87" i="160"/>
  <c r="AN41" i="160"/>
  <c r="AN67" i="160" s="1"/>
  <c r="AP27" i="3"/>
  <c r="Q83" i="3"/>
  <c r="U50" i="32"/>
  <c r="W30" i="32"/>
  <c r="V32" i="32"/>
  <c r="BP30" i="32" s="1"/>
  <c r="V31" i="32"/>
  <c r="AS30" i="32" s="1"/>
  <c r="V21" i="42"/>
  <c r="I141" i="110"/>
  <c r="Z126" i="110" l="1"/>
  <c r="Z144" i="110" s="1"/>
  <c r="Z115" i="110"/>
  <c r="Z142" i="110"/>
  <c r="Z116" i="110"/>
  <c r="S98" i="160"/>
  <c r="P128" i="110"/>
  <c r="P147" i="110"/>
  <c r="P141" i="110"/>
  <c r="V31" i="159"/>
  <c r="AS30" i="159" s="1"/>
  <c r="AN62" i="160"/>
  <c r="W30" i="159"/>
  <c r="W32" i="159" s="1"/>
  <c r="BQ30" i="159" s="1"/>
  <c r="BO17" i="160"/>
  <c r="V16" i="160"/>
  <c r="AN61" i="160"/>
  <c r="BL89" i="160"/>
  <c r="BL70" i="160"/>
  <c r="BL83" i="160" s="1"/>
  <c r="AN86" i="160"/>
  <c r="AN63" i="160"/>
  <c r="S87" i="160"/>
  <c r="BL41" i="160"/>
  <c r="BL67" i="160" s="1"/>
  <c r="AQ34" i="3"/>
  <c r="AQ32" i="3"/>
  <c r="AQ33" i="3"/>
  <c r="BL48" i="160"/>
  <c r="BL71" i="160"/>
  <c r="BL84" i="160" s="1"/>
  <c r="BK86" i="160"/>
  <c r="BK72" i="160"/>
  <c r="BK88" i="160" s="1"/>
  <c r="V14" i="3"/>
  <c r="AO60" i="160"/>
  <c r="AO63" i="160" s="1"/>
  <c r="AQ27" i="3"/>
  <c r="AQ78" i="3" s="1"/>
  <c r="AO70" i="160"/>
  <c r="AQ21" i="3"/>
  <c r="BO13" i="3"/>
  <c r="BO25" i="3" s="1"/>
  <c r="BK62" i="160"/>
  <c r="S60" i="160"/>
  <c r="S63" i="160" s="1"/>
  <c r="BK61" i="160"/>
  <c r="AR16" i="3"/>
  <c r="AQ26" i="160"/>
  <c r="AQ58" i="160" s="1"/>
  <c r="BM55" i="160"/>
  <c r="BM68" i="160" s="1"/>
  <c r="BM54" i="160"/>
  <c r="BM58" i="160"/>
  <c r="BM57" i="160"/>
  <c r="AQ27" i="160"/>
  <c r="AQ77" i="160" s="1"/>
  <c r="AA144" i="110"/>
  <c r="P52" i="42"/>
  <c r="Q144" i="110"/>
  <c r="S84" i="3"/>
  <c r="Q141" i="110"/>
  <c r="AD145" i="110"/>
  <c r="AM91" i="160"/>
  <c r="AM88" i="160"/>
  <c r="Q128" i="110"/>
  <c r="Q100" i="3"/>
  <c r="T86" i="34" s="1"/>
  <c r="Q91" i="3"/>
  <c r="Q101" i="3"/>
  <c r="T90" i="34" s="1"/>
  <c r="Q85" i="3"/>
  <c r="Q52" i="42" s="1"/>
  <c r="BN33" i="3"/>
  <c r="U34" i="160"/>
  <c r="U32" i="42"/>
  <c r="R126" i="110"/>
  <c r="R141" i="110" s="1"/>
  <c r="R115" i="110"/>
  <c r="R116" i="110"/>
  <c r="BN27" i="160"/>
  <c r="BN77" i="160" s="1"/>
  <c r="R142" i="110"/>
  <c r="U27" i="160"/>
  <c r="U78" i="160" s="1"/>
  <c r="U33" i="160"/>
  <c r="U32" i="160"/>
  <c r="AR15" i="3"/>
  <c r="AR26" i="3" s="1"/>
  <c r="AR55" i="3" s="1"/>
  <c r="AR68" i="3" s="1"/>
  <c r="AR14" i="3"/>
  <c r="AR13" i="3"/>
  <c r="AR25" i="3" s="1"/>
  <c r="AR18" i="3"/>
  <c r="AR13" i="160"/>
  <c r="AR25" i="160" s="1"/>
  <c r="V15" i="160"/>
  <c r="AR14" i="160"/>
  <c r="Z47" i="159"/>
  <c r="BS47" i="159"/>
  <c r="AV47" i="159"/>
  <c r="AA141" i="110"/>
  <c r="AA128" i="110"/>
  <c r="T54" i="160"/>
  <c r="T115" i="110"/>
  <c r="T116" i="110"/>
  <c r="S144" i="110"/>
  <c r="R86" i="160"/>
  <c r="BL72" i="160"/>
  <c r="T139" i="110"/>
  <c r="T117" i="110"/>
  <c r="T126" i="110"/>
  <c r="T147" i="110" s="1"/>
  <c r="T56" i="160"/>
  <c r="T69" i="160" s="1"/>
  <c r="T55" i="160"/>
  <c r="T68" i="160" s="1"/>
  <c r="BL86" i="160"/>
  <c r="BL62" i="160"/>
  <c r="T58" i="160"/>
  <c r="T71" i="160" s="1"/>
  <c r="BL72" i="3"/>
  <c r="BL61" i="160"/>
  <c r="BL61" i="3"/>
  <c r="S97" i="160"/>
  <c r="AO89" i="160"/>
  <c r="S141" i="110"/>
  <c r="S128" i="110"/>
  <c r="R72" i="160"/>
  <c r="R100" i="160" s="1"/>
  <c r="R61" i="160"/>
  <c r="R63" i="160"/>
  <c r="AP60" i="3"/>
  <c r="AP63" i="3" s="1"/>
  <c r="O126" i="110"/>
  <c r="BL62" i="3"/>
  <c r="Q91" i="160"/>
  <c r="Q88" i="160"/>
  <c r="Q101" i="160"/>
  <c r="Q100" i="160"/>
  <c r="O117" i="110"/>
  <c r="AF111" i="110"/>
  <c r="AF108" i="110"/>
  <c r="BK50" i="160"/>
  <c r="AB104" i="110"/>
  <c r="AQ56" i="3"/>
  <c r="AP60" i="160"/>
  <c r="AP72" i="160" s="1"/>
  <c r="AE110" i="110"/>
  <c r="AE123" i="110" s="1"/>
  <c r="U27" i="3"/>
  <c r="U78" i="3" s="1"/>
  <c r="S98" i="3"/>
  <c r="AE108" i="110"/>
  <c r="T76" i="160"/>
  <c r="S50" i="160"/>
  <c r="S48" i="42"/>
  <c r="AO83" i="3"/>
  <c r="BM79" i="160"/>
  <c r="BM77" i="160"/>
  <c r="U26" i="160"/>
  <c r="U57" i="160" s="1"/>
  <c r="AB103" i="110"/>
  <c r="AG71" i="110"/>
  <c r="AG80" i="110" s="1"/>
  <c r="BM75" i="160"/>
  <c r="BM78" i="160"/>
  <c r="AE109" i="110"/>
  <c r="AE111" i="110"/>
  <c r="AE124" i="110" s="1"/>
  <c r="O116" i="110"/>
  <c r="S84" i="160"/>
  <c r="T75" i="160"/>
  <c r="AQ58" i="3"/>
  <c r="AF110" i="110"/>
  <c r="R104" i="110"/>
  <c r="T79" i="160"/>
  <c r="AQ55" i="3"/>
  <c r="AQ68" i="3" s="1"/>
  <c r="AF109" i="110"/>
  <c r="AQ57" i="3"/>
  <c r="S46" i="42"/>
  <c r="S89" i="160"/>
  <c r="Z103" i="110"/>
  <c r="T78" i="160"/>
  <c r="AF112" i="110"/>
  <c r="AF75" i="110"/>
  <c r="S89" i="3"/>
  <c r="AO49" i="3"/>
  <c r="BK91" i="3"/>
  <c r="AQ33" i="160"/>
  <c r="S97" i="3"/>
  <c r="R139" i="110"/>
  <c r="BK49" i="160"/>
  <c r="AO50" i="3"/>
  <c r="R103" i="110"/>
  <c r="S44" i="42"/>
  <c r="AB141" i="110"/>
  <c r="AD103" i="110"/>
  <c r="BN27" i="3"/>
  <c r="BN77" i="3" s="1"/>
  <c r="S87" i="3"/>
  <c r="AG72" i="110"/>
  <c r="AD139" i="110"/>
  <c r="R96" i="160"/>
  <c r="R96" i="3"/>
  <c r="Y144" i="110"/>
  <c r="Y139" i="110"/>
  <c r="R42" i="42"/>
  <c r="AE95" i="110"/>
  <c r="AE121" i="110" s="1"/>
  <c r="AN91" i="3"/>
  <c r="AN85" i="3"/>
  <c r="T45" i="42"/>
  <c r="T68" i="3"/>
  <c r="S96" i="160"/>
  <c r="Z139" i="110"/>
  <c r="AG79" i="110"/>
  <c r="AG88" i="110"/>
  <c r="AG87" i="110"/>
  <c r="AG86" i="110"/>
  <c r="V13" i="160"/>
  <c r="AN49" i="3"/>
  <c r="U34" i="3"/>
  <c r="U25" i="42"/>
  <c r="U38" i="42" s="1"/>
  <c r="U32" i="3"/>
  <c r="U37" i="42" s="1"/>
  <c r="U30" i="42"/>
  <c r="U26" i="42"/>
  <c r="U21" i="3"/>
  <c r="U33" i="3"/>
  <c r="U25" i="3"/>
  <c r="AN91" i="160"/>
  <c r="X40" i="159"/>
  <c r="W42" i="159"/>
  <c r="BQ40" i="159" s="1"/>
  <c r="W41" i="159"/>
  <c r="AT40" i="159" s="1"/>
  <c r="BK49" i="3"/>
  <c r="S50" i="3"/>
  <c r="AP43" i="160"/>
  <c r="AP45" i="160"/>
  <c r="AP44" i="160"/>
  <c r="AP70" i="160" s="1"/>
  <c r="BK83" i="160"/>
  <c r="AQ32" i="160"/>
  <c r="BN21" i="3"/>
  <c r="AO89" i="3"/>
  <c r="U21" i="160"/>
  <c r="S60" i="3"/>
  <c r="S63" i="3" s="1"/>
  <c r="S50" i="42"/>
  <c r="T48" i="160"/>
  <c r="S47" i="42"/>
  <c r="O145" i="110"/>
  <c r="V18" i="160"/>
  <c r="AN88" i="3"/>
  <c r="AN83" i="3"/>
  <c r="AR15" i="160"/>
  <c r="AR26" i="160" s="1"/>
  <c r="R83" i="3"/>
  <c r="AQ34" i="160"/>
  <c r="BN32" i="3"/>
  <c r="BO16" i="160"/>
  <c r="V50" i="32"/>
  <c r="AN49" i="160"/>
  <c r="S49" i="3"/>
  <c r="BK83" i="3"/>
  <c r="BK88" i="3"/>
  <c r="AF135" i="110"/>
  <c r="AF133" i="110"/>
  <c r="AF131" i="110"/>
  <c r="AF134" i="110"/>
  <c r="AF132" i="110"/>
  <c r="Y104" i="110"/>
  <c r="BM45" i="3"/>
  <c r="BM44" i="3"/>
  <c r="BM70" i="3" s="1"/>
  <c r="BM43" i="3"/>
  <c r="R49" i="3"/>
  <c r="AQ21" i="160"/>
  <c r="BN45" i="3"/>
  <c r="BN43" i="3"/>
  <c r="BN44" i="3"/>
  <c r="BL86" i="3"/>
  <c r="AB147" i="110"/>
  <c r="AB128" i="110"/>
  <c r="T70" i="160"/>
  <c r="R50" i="160"/>
  <c r="T43" i="3"/>
  <c r="T44" i="3"/>
  <c r="T45" i="3"/>
  <c r="AN50" i="160"/>
  <c r="AR16" i="160"/>
  <c r="AP76" i="160"/>
  <c r="AP78" i="160"/>
  <c r="AP79" i="160"/>
  <c r="AP75" i="160"/>
  <c r="AP77" i="160"/>
  <c r="AP78" i="3"/>
  <c r="AP79" i="3"/>
  <c r="AP77" i="3"/>
  <c r="AP75" i="3"/>
  <c r="AP76" i="3"/>
  <c r="V18" i="3"/>
  <c r="X30" i="32"/>
  <c r="W32" i="32"/>
  <c r="BQ30" i="32" s="1"/>
  <c r="W21" i="42"/>
  <c r="W31" i="32"/>
  <c r="AT30" i="32" s="1"/>
  <c r="AD143" i="110"/>
  <c r="R99" i="160"/>
  <c r="R99" i="3"/>
  <c r="Y140" i="110"/>
  <c r="BM60" i="3"/>
  <c r="BM63" i="3" s="1"/>
  <c r="BO15" i="3"/>
  <c r="BO26" i="3" s="1"/>
  <c r="R62" i="3"/>
  <c r="R61" i="3"/>
  <c r="R86" i="3"/>
  <c r="R43" i="42"/>
  <c r="R72" i="3"/>
  <c r="R100" i="3" s="1"/>
  <c r="U43" i="160"/>
  <c r="U44" i="160"/>
  <c r="U45" i="160"/>
  <c r="AQ44" i="3"/>
  <c r="AQ45" i="3"/>
  <c r="AQ43" i="3"/>
  <c r="T41" i="160"/>
  <c r="T67" i="160" s="1"/>
  <c r="AP44" i="3"/>
  <c r="AP70" i="3" s="1"/>
  <c r="AP45" i="3"/>
  <c r="AP43" i="3"/>
  <c r="AE145" i="110"/>
  <c r="AN50" i="3"/>
  <c r="AF99" i="110"/>
  <c r="AF97" i="110"/>
  <c r="AF96" i="110"/>
  <c r="AF98" i="110"/>
  <c r="U26" i="3"/>
  <c r="U31" i="42"/>
  <c r="BO18" i="160"/>
  <c r="W35" i="159"/>
  <c r="V37" i="159"/>
  <c r="BP35" i="159" s="1"/>
  <c r="BP17" i="160" s="1"/>
  <c r="V36" i="159"/>
  <c r="AS35" i="159" s="1"/>
  <c r="AS17" i="160" s="1"/>
  <c r="V17" i="160"/>
  <c r="BL71" i="3"/>
  <c r="BL84" i="3" s="1"/>
  <c r="BL48" i="3"/>
  <c r="R83" i="160"/>
  <c r="V13" i="3"/>
  <c r="AN88" i="160"/>
  <c r="AN83" i="160"/>
  <c r="AQ45" i="160"/>
  <c r="AQ43" i="160"/>
  <c r="AQ44" i="160"/>
  <c r="BM79" i="3"/>
  <c r="BM75" i="3"/>
  <c r="BM76" i="3"/>
  <c r="BM77" i="3"/>
  <c r="BM78" i="3"/>
  <c r="BN57" i="3"/>
  <c r="BN54" i="3"/>
  <c r="BN55" i="3"/>
  <c r="BN68" i="3" s="1"/>
  <c r="BN56" i="3"/>
  <c r="BN58" i="3"/>
  <c r="S45" i="42"/>
  <c r="S68" i="3"/>
  <c r="BM45" i="160"/>
  <c r="BM43" i="160"/>
  <c r="BM44" i="160"/>
  <c r="BK85" i="3"/>
  <c r="BO14" i="160"/>
  <c r="AD104" i="110"/>
  <c r="AO69" i="160"/>
  <c r="AO87" i="160"/>
  <c r="AO41" i="160"/>
  <c r="AO67" i="160" s="1"/>
  <c r="BL87" i="3"/>
  <c r="BL69" i="3"/>
  <c r="BL41" i="3"/>
  <c r="BL67" i="3" s="1"/>
  <c r="S99" i="160"/>
  <c r="S99" i="3"/>
  <c r="Z140" i="110"/>
  <c r="X40" i="32"/>
  <c r="W42" i="32"/>
  <c r="BQ40" i="32" s="1"/>
  <c r="W41" i="32"/>
  <c r="AT40" i="32" s="1"/>
  <c r="AO84" i="3"/>
  <c r="Y147" i="110"/>
  <c r="Y128" i="110"/>
  <c r="BO18" i="3"/>
  <c r="O102" i="110"/>
  <c r="O125" i="110"/>
  <c r="O140" i="110" s="1"/>
  <c r="S42" i="42"/>
  <c r="BN55" i="160"/>
  <c r="BN68" i="160" s="1"/>
  <c r="BN54" i="160"/>
  <c r="BN56" i="160"/>
  <c r="BN57" i="160"/>
  <c r="BN58" i="160"/>
  <c r="Y103" i="110"/>
  <c r="AD114" i="110"/>
  <c r="AD117" i="110" s="1"/>
  <c r="AC126" i="110"/>
  <c r="AC141" i="110" s="1"/>
  <c r="AC116" i="110"/>
  <c r="AC115" i="110"/>
  <c r="AC142" i="110"/>
  <c r="BN34" i="3"/>
  <c r="BL89" i="3"/>
  <c r="AB139" i="110"/>
  <c r="AB144" i="110"/>
  <c r="R50" i="3"/>
  <c r="V50" i="159"/>
  <c r="BN25" i="160"/>
  <c r="BN21" i="160"/>
  <c r="BN32" i="160"/>
  <c r="BN34" i="160"/>
  <c r="BN33" i="160"/>
  <c r="AO86" i="3"/>
  <c r="AO62" i="3"/>
  <c r="AO61" i="3"/>
  <c r="AO72" i="3"/>
  <c r="AO91" i="3" s="1"/>
  <c r="BO13" i="160"/>
  <c r="AD125" i="110"/>
  <c r="AO71" i="160"/>
  <c r="AO84" i="160" s="1"/>
  <c r="AO48" i="160"/>
  <c r="T60" i="3"/>
  <c r="T63" i="3" s="1"/>
  <c r="Y141" i="110"/>
  <c r="AB140" i="110"/>
  <c r="W35" i="32"/>
  <c r="W18" i="3" s="1"/>
  <c r="V37" i="32"/>
  <c r="BP35" i="32" s="1"/>
  <c r="BP17" i="3" s="1"/>
  <c r="V36" i="32"/>
  <c r="AS35" i="32" s="1"/>
  <c r="AS17" i="3" s="1"/>
  <c r="V17" i="3"/>
  <c r="V26" i="3" s="1"/>
  <c r="O143" i="110"/>
  <c r="O122" i="110"/>
  <c r="O95" i="110"/>
  <c r="O121" i="110" s="1"/>
  <c r="O142" i="110"/>
  <c r="Z147" i="110"/>
  <c r="Z128" i="110"/>
  <c r="BO16" i="3"/>
  <c r="V16" i="3"/>
  <c r="AN85" i="160"/>
  <c r="BO14" i="3"/>
  <c r="BK50" i="3"/>
  <c r="Z141" i="110"/>
  <c r="Z104" i="110"/>
  <c r="S83" i="160"/>
  <c r="R49" i="160"/>
  <c r="S49" i="160"/>
  <c r="AE125" i="110"/>
  <c r="AE102" i="110"/>
  <c r="T77" i="3"/>
  <c r="T76" i="3"/>
  <c r="T75" i="3"/>
  <c r="T78" i="3"/>
  <c r="T79" i="3"/>
  <c r="V14" i="160"/>
  <c r="BO15" i="160"/>
  <c r="AR18" i="160"/>
  <c r="R97" i="160"/>
  <c r="W13" i="160" l="1"/>
  <c r="W25" i="160" s="1"/>
  <c r="W31" i="159"/>
  <c r="AT30" i="159" s="1"/>
  <c r="X30" i="159"/>
  <c r="Y30" i="159" s="1"/>
  <c r="BO26" i="160"/>
  <c r="BO56" i="160" s="1"/>
  <c r="AO72" i="160"/>
  <c r="AO85" i="160" s="1"/>
  <c r="BL50" i="160"/>
  <c r="BL49" i="160"/>
  <c r="BL88" i="160"/>
  <c r="BK91" i="160"/>
  <c r="BK85" i="160"/>
  <c r="AO62" i="160"/>
  <c r="AO61" i="160"/>
  <c r="AO86" i="160"/>
  <c r="AQ77" i="3"/>
  <c r="AQ75" i="3"/>
  <c r="AQ76" i="3"/>
  <c r="AQ79" i="3"/>
  <c r="W50" i="159"/>
  <c r="W18" i="160"/>
  <c r="AQ57" i="160"/>
  <c r="AQ70" i="160" s="1"/>
  <c r="AQ55" i="160"/>
  <c r="AQ68" i="160" s="1"/>
  <c r="AQ76" i="160"/>
  <c r="S86" i="160"/>
  <c r="S62" i="160"/>
  <c r="S61" i="160"/>
  <c r="S72" i="160"/>
  <c r="S88" i="160" s="1"/>
  <c r="W15" i="160"/>
  <c r="AQ54" i="160"/>
  <c r="AQ56" i="160"/>
  <c r="AQ69" i="160" s="1"/>
  <c r="BM60" i="160"/>
  <c r="BM63" i="160" s="1"/>
  <c r="W16" i="160"/>
  <c r="W14" i="160"/>
  <c r="BP18" i="160"/>
  <c r="AQ78" i="160"/>
  <c r="AQ75" i="160"/>
  <c r="BM70" i="160"/>
  <c r="AQ79" i="160"/>
  <c r="BN75" i="160"/>
  <c r="R128" i="110"/>
  <c r="R144" i="110"/>
  <c r="R147" i="110"/>
  <c r="BN78" i="160"/>
  <c r="BN76" i="160"/>
  <c r="BN79" i="160"/>
  <c r="U79" i="160"/>
  <c r="U75" i="160"/>
  <c r="AR27" i="3"/>
  <c r="AR77" i="3" s="1"/>
  <c r="U76" i="160"/>
  <c r="U77" i="160"/>
  <c r="V26" i="160"/>
  <c r="V56" i="160" s="1"/>
  <c r="U54" i="160"/>
  <c r="AR34" i="160"/>
  <c r="AR21" i="3"/>
  <c r="AR32" i="3"/>
  <c r="AR33" i="3"/>
  <c r="AR34" i="3"/>
  <c r="AS18" i="3"/>
  <c r="AS16" i="3"/>
  <c r="AR33" i="160"/>
  <c r="BP15" i="160"/>
  <c r="BP26" i="160" s="1"/>
  <c r="BP57" i="160" s="1"/>
  <c r="BP16" i="3"/>
  <c r="AR32" i="160"/>
  <c r="BP14" i="160"/>
  <c r="AS16" i="160"/>
  <c r="BP14" i="3"/>
  <c r="AW47" i="159"/>
  <c r="BT47" i="159"/>
  <c r="BP16" i="160"/>
  <c r="AS15" i="160"/>
  <c r="AS26" i="160" s="1"/>
  <c r="W14" i="3"/>
  <c r="BP13" i="160"/>
  <c r="BP25" i="160" s="1"/>
  <c r="AS13" i="160"/>
  <c r="AS25" i="160" s="1"/>
  <c r="U56" i="160"/>
  <c r="U69" i="160" s="1"/>
  <c r="AP61" i="3"/>
  <c r="AP62" i="3"/>
  <c r="BL91" i="160"/>
  <c r="BL85" i="160"/>
  <c r="AP62" i="160"/>
  <c r="AF124" i="110"/>
  <c r="AP72" i="3"/>
  <c r="R91" i="160"/>
  <c r="AR54" i="3"/>
  <c r="R85" i="160"/>
  <c r="T141" i="110"/>
  <c r="U58" i="160"/>
  <c r="U71" i="160" s="1"/>
  <c r="AP63" i="160"/>
  <c r="U55" i="160"/>
  <c r="U68" i="160" s="1"/>
  <c r="T60" i="160"/>
  <c r="T63" i="160" s="1"/>
  <c r="AQ70" i="3"/>
  <c r="T128" i="110"/>
  <c r="U79" i="3"/>
  <c r="R88" i="160"/>
  <c r="R101" i="160"/>
  <c r="T96" i="160"/>
  <c r="T144" i="110"/>
  <c r="T87" i="160"/>
  <c r="U76" i="3"/>
  <c r="U77" i="3"/>
  <c r="U75" i="3"/>
  <c r="BN75" i="3"/>
  <c r="AP61" i="160"/>
  <c r="AR58" i="3"/>
  <c r="AF123" i="110"/>
  <c r="AR56" i="3"/>
  <c r="BN79" i="3"/>
  <c r="AR57" i="3"/>
  <c r="V27" i="160"/>
  <c r="V78" i="160" s="1"/>
  <c r="AE104" i="110"/>
  <c r="BO27" i="3"/>
  <c r="BO76" i="3" s="1"/>
  <c r="BN78" i="3"/>
  <c r="BN76" i="3"/>
  <c r="AR21" i="160"/>
  <c r="AG75" i="110"/>
  <c r="BM89" i="160"/>
  <c r="AG81" i="110"/>
  <c r="AG131" i="110" s="1"/>
  <c r="AQ60" i="3"/>
  <c r="AQ63" i="3" s="1"/>
  <c r="AE114" i="110"/>
  <c r="AE126" i="110" s="1"/>
  <c r="AF114" i="110"/>
  <c r="AF117" i="110" s="1"/>
  <c r="T89" i="160"/>
  <c r="V32" i="42"/>
  <c r="T83" i="160"/>
  <c r="BN60" i="160"/>
  <c r="BN63" i="160" s="1"/>
  <c r="AE143" i="110"/>
  <c r="AE122" i="110"/>
  <c r="T89" i="3"/>
  <c r="AP86" i="160"/>
  <c r="AO85" i="3"/>
  <c r="T98" i="160"/>
  <c r="R88" i="3"/>
  <c r="BO21" i="3"/>
  <c r="T50" i="42"/>
  <c r="R101" i="3"/>
  <c r="T49" i="160"/>
  <c r="AE103" i="110"/>
  <c r="BO27" i="160"/>
  <c r="BO77" i="160" s="1"/>
  <c r="AF145" i="110"/>
  <c r="V31" i="42"/>
  <c r="O103" i="110"/>
  <c r="R85" i="3"/>
  <c r="R52" i="42" s="1"/>
  <c r="V57" i="3"/>
  <c r="V56" i="3"/>
  <c r="V54" i="3"/>
  <c r="V58" i="3"/>
  <c r="V55" i="3"/>
  <c r="AQ87" i="3"/>
  <c r="AQ69" i="3"/>
  <c r="AQ41" i="3"/>
  <c r="AQ67" i="3" s="1"/>
  <c r="AC128" i="110"/>
  <c r="AC144" i="110"/>
  <c r="AC147" i="110"/>
  <c r="S83" i="3"/>
  <c r="AS18" i="160"/>
  <c r="T97" i="160"/>
  <c r="W50" i="32"/>
  <c r="BP13" i="3"/>
  <c r="S62" i="3"/>
  <c r="S61" i="3"/>
  <c r="S86" i="3"/>
  <c r="S43" i="42"/>
  <c r="S72" i="3"/>
  <c r="S88" i="3" s="1"/>
  <c r="AD140" i="110"/>
  <c r="AP48" i="3"/>
  <c r="AP71" i="3"/>
  <c r="AP84" i="3" s="1"/>
  <c r="V27" i="3"/>
  <c r="BO25" i="160"/>
  <c r="BO34" i="160"/>
  <c r="BO33" i="160"/>
  <c r="BO32" i="160"/>
  <c r="BO21" i="160"/>
  <c r="AE140" i="110"/>
  <c r="O104" i="110"/>
  <c r="AO49" i="160"/>
  <c r="BM89" i="3"/>
  <c r="V26" i="42"/>
  <c r="V25" i="42"/>
  <c r="V38" i="42" s="1"/>
  <c r="V30" i="42"/>
  <c r="V32" i="3"/>
  <c r="V37" i="42" s="1"/>
  <c r="V21" i="3"/>
  <c r="V33" i="3"/>
  <c r="V25" i="3"/>
  <c r="V34" i="3"/>
  <c r="U48" i="160"/>
  <c r="W13" i="3"/>
  <c r="Y30" i="32"/>
  <c r="X32" i="32"/>
  <c r="BR30" i="32" s="1"/>
  <c r="X31" i="32"/>
  <c r="AU30" i="32" s="1"/>
  <c r="X21" i="42"/>
  <c r="Y40" i="159"/>
  <c r="X42" i="159"/>
  <c r="BR40" i="159" s="1"/>
  <c r="X41" i="159"/>
  <c r="AU40" i="159" s="1"/>
  <c r="T96" i="3"/>
  <c r="AO88" i="3"/>
  <c r="BM71" i="160"/>
  <c r="BM84" i="160" s="1"/>
  <c r="BM48" i="160"/>
  <c r="AF125" i="110"/>
  <c r="AF102" i="110"/>
  <c r="AD126" i="110"/>
  <c r="AD141" i="110" s="1"/>
  <c r="AD116" i="110"/>
  <c r="AD115" i="110"/>
  <c r="AD142" i="110"/>
  <c r="BO43" i="3"/>
  <c r="BO44" i="3"/>
  <c r="BO45" i="3"/>
  <c r="Y40" i="32"/>
  <c r="X42" i="32"/>
  <c r="BR40" i="32" s="1"/>
  <c r="X41" i="32"/>
  <c r="AU40" i="32" s="1"/>
  <c r="BL91" i="3"/>
  <c r="AO83" i="160"/>
  <c r="X35" i="159"/>
  <c r="W36" i="159"/>
  <c r="AT35" i="159" s="1"/>
  <c r="W37" i="159"/>
  <c r="BQ35" i="159" s="1"/>
  <c r="BQ17" i="160" s="1"/>
  <c r="W17" i="160"/>
  <c r="U57" i="3"/>
  <c r="U58" i="3"/>
  <c r="U54" i="3"/>
  <c r="U55" i="3"/>
  <c r="U56" i="3"/>
  <c r="U70" i="160"/>
  <c r="U98" i="160" s="1"/>
  <c r="BO56" i="3"/>
  <c r="BO57" i="3"/>
  <c r="BO58" i="3"/>
  <c r="BO54" i="3"/>
  <c r="BO55" i="3"/>
  <c r="BO68" i="3" s="1"/>
  <c r="W15" i="3"/>
  <c r="AG111" i="110"/>
  <c r="AG109" i="110"/>
  <c r="AG112" i="110"/>
  <c r="AG108" i="110"/>
  <c r="AG110" i="110"/>
  <c r="AR27" i="160"/>
  <c r="AR58" i="160"/>
  <c r="AR55" i="160"/>
  <c r="AR68" i="160" s="1"/>
  <c r="AR54" i="160"/>
  <c r="AR56" i="160"/>
  <c r="AR57" i="160"/>
  <c r="AP71" i="160"/>
  <c r="AP84" i="160" s="1"/>
  <c r="AP48" i="160"/>
  <c r="U44" i="3"/>
  <c r="U43" i="3"/>
  <c r="U45" i="3"/>
  <c r="AG98" i="110"/>
  <c r="AG96" i="110"/>
  <c r="AG99" i="110"/>
  <c r="AG97" i="110"/>
  <c r="AQ71" i="160"/>
  <c r="AQ48" i="160"/>
  <c r="AP87" i="3"/>
  <c r="AP69" i="3"/>
  <c r="AP41" i="3"/>
  <c r="AP67" i="3" s="1"/>
  <c r="T84" i="160"/>
  <c r="T99" i="160"/>
  <c r="AP86" i="3"/>
  <c r="BN43" i="160"/>
  <c r="BN45" i="160"/>
  <c r="BN44" i="160"/>
  <c r="BN70" i="160" s="1"/>
  <c r="BL49" i="3"/>
  <c r="BO34" i="3"/>
  <c r="AS14" i="160"/>
  <c r="U41" i="160"/>
  <c r="U67" i="160" s="1"/>
  <c r="BM61" i="3"/>
  <c r="BM62" i="3"/>
  <c r="BM86" i="3"/>
  <c r="BM72" i="3"/>
  <c r="T71" i="3"/>
  <c r="T48" i="3"/>
  <c r="T48" i="42"/>
  <c r="BN70" i="3"/>
  <c r="BM87" i="3"/>
  <c r="BM69" i="3"/>
  <c r="BM41" i="3"/>
  <c r="BM67" i="3" s="1"/>
  <c r="AP69" i="160"/>
  <c r="AP87" i="160"/>
  <c r="AP41" i="160"/>
  <c r="AP67" i="160" s="1"/>
  <c r="AS15" i="3"/>
  <c r="AS26" i="3" s="1"/>
  <c r="R91" i="3"/>
  <c r="BL88" i="3"/>
  <c r="BL83" i="3"/>
  <c r="BO33" i="3"/>
  <c r="AF122" i="110"/>
  <c r="AF143" i="110"/>
  <c r="AF95" i="110"/>
  <c r="AF121" i="110" s="1"/>
  <c r="AP89" i="3"/>
  <c r="T70" i="3"/>
  <c r="T98" i="3" s="1"/>
  <c r="T47" i="42"/>
  <c r="BN69" i="3"/>
  <c r="BN87" i="3"/>
  <c r="BN41" i="3"/>
  <c r="BN67" i="3" s="1"/>
  <c r="BP15" i="3"/>
  <c r="BP26" i="3" s="1"/>
  <c r="AS14" i="3"/>
  <c r="V25" i="160"/>
  <c r="V21" i="160"/>
  <c r="V33" i="160"/>
  <c r="V32" i="160"/>
  <c r="V34" i="160"/>
  <c r="BL85" i="3"/>
  <c r="O144" i="110"/>
  <c r="O139" i="110"/>
  <c r="AR44" i="3"/>
  <c r="AR45" i="3"/>
  <c r="AR43" i="3"/>
  <c r="AQ71" i="3"/>
  <c r="AQ48" i="3"/>
  <c r="W37" i="32"/>
  <c r="BQ35" i="32" s="1"/>
  <c r="BQ17" i="3" s="1"/>
  <c r="X35" i="32"/>
  <c r="X13" i="3" s="1"/>
  <c r="W36" i="32"/>
  <c r="AT35" i="32" s="1"/>
  <c r="AT17" i="3" s="1"/>
  <c r="W17" i="3"/>
  <c r="T62" i="3"/>
  <c r="T86" i="3"/>
  <c r="T61" i="3"/>
  <c r="T43" i="42"/>
  <c r="T72" i="3"/>
  <c r="T100" i="3" s="1"/>
  <c r="O147" i="110"/>
  <c r="O128" i="110"/>
  <c r="O141" i="110"/>
  <c r="AO50" i="160"/>
  <c r="AR44" i="160"/>
  <c r="AR43" i="160"/>
  <c r="AR45" i="160"/>
  <c r="BM69" i="160"/>
  <c r="BM87" i="160"/>
  <c r="BM41" i="160"/>
  <c r="BM67" i="160" s="1"/>
  <c r="BN60" i="3"/>
  <c r="BN63" i="3" s="1"/>
  <c r="AQ41" i="160"/>
  <c r="AQ67" i="160" s="1"/>
  <c r="BL50" i="3"/>
  <c r="BO32" i="3"/>
  <c r="W16" i="3"/>
  <c r="AP89" i="160"/>
  <c r="T87" i="3"/>
  <c r="T69" i="3"/>
  <c r="T46" i="42"/>
  <c r="T44" i="42"/>
  <c r="T41" i="3"/>
  <c r="T67" i="3" s="1"/>
  <c r="BN71" i="3"/>
  <c r="BN48" i="3"/>
  <c r="BM48" i="3"/>
  <c r="BM71" i="3"/>
  <c r="BM84" i="3" s="1"/>
  <c r="BP18" i="3"/>
  <c r="T50" i="160"/>
  <c r="AS13" i="3"/>
  <c r="S96" i="3"/>
  <c r="W34" i="160" l="1"/>
  <c r="X31" i="159"/>
  <c r="AU30" i="159" s="1"/>
  <c r="X32" i="159"/>
  <c r="BR30" i="159" s="1"/>
  <c r="X16" i="160"/>
  <c r="BO54" i="160"/>
  <c r="AT17" i="160"/>
  <c r="BO55" i="160"/>
  <c r="BO68" i="160" s="1"/>
  <c r="BO58" i="160"/>
  <c r="BO57" i="160"/>
  <c r="AO91" i="160"/>
  <c r="AO88" i="160"/>
  <c r="AQ84" i="3"/>
  <c r="AQ89" i="3"/>
  <c r="W26" i="160"/>
  <c r="W55" i="160" s="1"/>
  <c r="W68" i="160" s="1"/>
  <c r="S85" i="160"/>
  <c r="S100" i="160"/>
  <c r="S91" i="160"/>
  <c r="S101" i="160"/>
  <c r="W27" i="160"/>
  <c r="W76" i="160" s="1"/>
  <c r="BM61" i="160"/>
  <c r="BM86" i="160"/>
  <c r="AQ60" i="160"/>
  <c r="AQ63" i="160" s="1"/>
  <c r="BM62" i="160"/>
  <c r="BM72" i="160"/>
  <c r="BM88" i="160" s="1"/>
  <c r="W32" i="160"/>
  <c r="W33" i="160"/>
  <c r="X13" i="160"/>
  <c r="X25" i="160" s="1"/>
  <c r="AQ87" i="160"/>
  <c r="AQ84" i="160"/>
  <c r="BQ18" i="160"/>
  <c r="BQ16" i="160"/>
  <c r="V54" i="160"/>
  <c r="BQ15" i="160"/>
  <c r="BQ26" i="160" s="1"/>
  <c r="BQ55" i="160" s="1"/>
  <c r="BQ68" i="160" s="1"/>
  <c r="AQ89" i="160"/>
  <c r="AT14" i="3"/>
  <c r="AT16" i="3"/>
  <c r="AT15" i="3"/>
  <c r="AT26" i="3" s="1"/>
  <c r="AT56" i="3" s="1"/>
  <c r="AT18" i="3"/>
  <c r="AT14" i="160"/>
  <c r="BQ14" i="160"/>
  <c r="AT15" i="160"/>
  <c r="AR76" i="3"/>
  <c r="BQ13" i="160"/>
  <c r="BQ25" i="160" s="1"/>
  <c r="AR75" i="3"/>
  <c r="AR79" i="3"/>
  <c r="AR78" i="3"/>
  <c r="V55" i="160"/>
  <c r="V68" i="160" s="1"/>
  <c r="V58" i="160"/>
  <c r="V57" i="160"/>
  <c r="BN89" i="160"/>
  <c r="BP32" i="160"/>
  <c r="W32" i="42"/>
  <c r="U89" i="160"/>
  <c r="BP27" i="160"/>
  <c r="BP79" i="160" s="1"/>
  <c r="U96" i="160"/>
  <c r="BP21" i="160"/>
  <c r="AS27" i="3"/>
  <c r="AS75" i="3" s="1"/>
  <c r="AS33" i="160"/>
  <c r="X18" i="160"/>
  <c r="AT13" i="3"/>
  <c r="AT25" i="3" s="1"/>
  <c r="X14" i="160"/>
  <c r="BP33" i="160"/>
  <c r="BP34" i="160"/>
  <c r="X50" i="159"/>
  <c r="X15" i="160"/>
  <c r="AT13" i="160"/>
  <c r="AT16" i="160"/>
  <c r="BP27" i="3"/>
  <c r="BP76" i="3" s="1"/>
  <c r="BP56" i="160"/>
  <c r="V76" i="160"/>
  <c r="BP54" i="160"/>
  <c r="V75" i="160"/>
  <c r="V77" i="160"/>
  <c r="BP55" i="160"/>
  <c r="BP68" i="160" s="1"/>
  <c r="BP58" i="160"/>
  <c r="U60" i="160"/>
  <c r="U63" i="160" s="1"/>
  <c r="U87" i="160"/>
  <c r="T61" i="160"/>
  <c r="U89" i="3"/>
  <c r="T72" i="160"/>
  <c r="T100" i="160" s="1"/>
  <c r="T86" i="160"/>
  <c r="T62" i="160"/>
  <c r="BN84" i="3"/>
  <c r="AF115" i="110"/>
  <c r="AF142" i="110"/>
  <c r="AF116" i="110"/>
  <c r="AF126" i="110"/>
  <c r="AF144" i="110" s="1"/>
  <c r="BN89" i="3"/>
  <c r="AR60" i="3"/>
  <c r="AR63" i="3" s="1"/>
  <c r="BO75" i="160"/>
  <c r="BN62" i="160"/>
  <c r="AR70" i="3"/>
  <c r="BN61" i="160"/>
  <c r="BN72" i="160"/>
  <c r="AD128" i="110"/>
  <c r="AG123" i="110"/>
  <c r="BO77" i="3"/>
  <c r="V79" i="160"/>
  <c r="AE116" i="110"/>
  <c r="BO75" i="3"/>
  <c r="AG132" i="110"/>
  <c r="AE141" i="110"/>
  <c r="AE115" i="110"/>
  <c r="AE117" i="110"/>
  <c r="BO79" i="3"/>
  <c r="AG133" i="110"/>
  <c r="AE142" i="110"/>
  <c r="BO78" i="3"/>
  <c r="AG134" i="110"/>
  <c r="AG135" i="110"/>
  <c r="AQ72" i="3"/>
  <c r="AQ91" i="3" s="1"/>
  <c r="AQ62" i="3"/>
  <c r="AQ61" i="3"/>
  <c r="AQ86" i="3"/>
  <c r="AQ50" i="3"/>
  <c r="BO79" i="160"/>
  <c r="AE144" i="110"/>
  <c r="AE139" i="110"/>
  <c r="AE128" i="110"/>
  <c r="AE147" i="110"/>
  <c r="BN83" i="3"/>
  <c r="AP85" i="3"/>
  <c r="AP50" i="160"/>
  <c r="BO78" i="160"/>
  <c r="BO76" i="160"/>
  <c r="BN49" i="3"/>
  <c r="BN50" i="3"/>
  <c r="AP91" i="3"/>
  <c r="BM91" i="3"/>
  <c r="T83" i="3"/>
  <c r="AP49" i="160"/>
  <c r="AP50" i="3"/>
  <c r="X30" i="42"/>
  <c r="X25" i="3"/>
  <c r="T91" i="3"/>
  <c r="T42" i="42"/>
  <c r="AR71" i="3"/>
  <c r="AR48" i="3"/>
  <c r="U97" i="160"/>
  <c r="X50" i="32"/>
  <c r="Y42" i="32"/>
  <c r="BS40" i="32" s="1"/>
  <c r="Z40" i="32"/>
  <c r="Y41" i="32"/>
  <c r="AV40" i="32" s="1"/>
  <c r="Z40" i="159"/>
  <c r="Y42" i="159"/>
  <c r="BS40" i="159" s="1"/>
  <c r="Y41" i="159"/>
  <c r="AV40" i="159" s="1"/>
  <c r="V45" i="42"/>
  <c r="V68" i="3"/>
  <c r="BM49" i="160"/>
  <c r="T85" i="3"/>
  <c r="T52" i="42" s="1"/>
  <c r="V43" i="160"/>
  <c r="V44" i="160"/>
  <c r="V45" i="160"/>
  <c r="BM83" i="3"/>
  <c r="BM88" i="3"/>
  <c r="AP83" i="3"/>
  <c r="AP88" i="3"/>
  <c r="AG125" i="110"/>
  <c r="AG102" i="110"/>
  <c r="AS34" i="160"/>
  <c r="BP43" i="160"/>
  <c r="BP45" i="160"/>
  <c r="BP44" i="160"/>
  <c r="BP70" i="160" s="1"/>
  <c r="X15" i="3"/>
  <c r="W25" i="42"/>
  <c r="W38" i="42" s="1"/>
  <c r="W30" i="42"/>
  <c r="W32" i="3"/>
  <c r="W37" i="42" s="1"/>
  <c r="W26" i="42"/>
  <c r="W21" i="3"/>
  <c r="W33" i="3"/>
  <c r="W25" i="3"/>
  <c r="W34" i="3"/>
  <c r="S101" i="3"/>
  <c r="S100" i="3"/>
  <c r="S91" i="3"/>
  <c r="BQ18" i="3"/>
  <c r="U45" i="42"/>
  <c r="U68" i="3"/>
  <c r="BM50" i="160"/>
  <c r="BP34" i="3"/>
  <c r="BP25" i="3"/>
  <c r="BP21" i="3"/>
  <c r="BP33" i="3"/>
  <c r="BP32" i="3"/>
  <c r="U83" i="160"/>
  <c r="W26" i="3"/>
  <c r="W31" i="42"/>
  <c r="AS32" i="160"/>
  <c r="AP49" i="3"/>
  <c r="AG122" i="110"/>
  <c r="AG143" i="110"/>
  <c r="AG95" i="110"/>
  <c r="AG121" i="110" s="1"/>
  <c r="BO60" i="3"/>
  <c r="BO63" i="3" s="1"/>
  <c r="T101" i="3"/>
  <c r="U50" i="160"/>
  <c r="V79" i="3"/>
  <c r="V78" i="3"/>
  <c r="V77" i="3"/>
  <c r="V76" i="3"/>
  <c r="V75" i="3"/>
  <c r="BQ16" i="3"/>
  <c r="V60" i="3"/>
  <c r="V63" i="3" s="1"/>
  <c r="Y35" i="32"/>
  <c r="Y15" i="3" s="1"/>
  <c r="X37" i="32"/>
  <c r="BR35" i="32" s="1"/>
  <c r="BR17" i="3" s="1"/>
  <c r="X36" i="32"/>
  <c r="AU35" i="32" s="1"/>
  <c r="AU17" i="3" s="1"/>
  <c r="X17" i="3"/>
  <c r="AS27" i="160"/>
  <c r="X14" i="3"/>
  <c r="BM85" i="3"/>
  <c r="AS25" i="3"/>
  <c r="AS33" i="3"/>
  <c r="AS34" i="3"/>
  <c r="AS32" i="3"/>
  <c r="AS21" i="3"/>
  <c r="T97" i="3"/>
  <c r="BP54" i="3"/>
  <c r="BP55" i="3"/>
  <c r="BP68" i="3" s="1"/>
  <c r="BP56" i="3"/>
  <c r="BP57" i="3"/>
  <c r="BP58" i="3"/>
  <c r="AG124" i="110"/>
  <c r="AR60" i="160"/>
  <c r="AR63" i="160" s="1"/>
  <c r="AS21" i="160"/>
  <c r="X18" i="3"/>
  <c r="U84" i="160"/>
  <c r="U99" i="160"/>
  <c r="BQ14" i="3"/>
  <c r="V43" i="3"/>
  <c r="V44" i="3"/>
  <c r="V45" i="3"/>
  <c r="BM49" i="3"/>
  <c r="BO43" i="160"/>
  <c r="BO45" i="160"/>
  <c r="BO44" i="160"/>
  <c r="BQ15" i="3"/>
  <c r="BQ26" i="3" s="1"/>
  <c r="AP88" i="160"/>
  <c r="AP83" i="160"/>
  <c r="AQ50" i="160"/>
  <c r="U71" i="3"/>
  <c r="U48" i="3"/>
  <c r="U48" i="42"/>
  <c r="AG114" i="110"/>
  <c r="T88" i="3"/>
  <c r="X16" i="3"/>
  <c r="AS56" i="160"/>
  <c r="AS57" i="160"/>
  <c r="AS58" i="160"/>
  <c r="AS55" i="160"/>
  <c r="AS68" i="160" s="1"/>
  <c r="AS54" i="160"/>
  <c r="W27" i="3"/>
  <c r="BQ13" i="3"/>
  <c r="U60" i="3"/>
  <c r="U63" i="3" s="1"/>
  <c r="U50" i="42"/>
  <c r="Z30" i="32"/>
  <c r="Y31" i="32"/>
  <c r="AV30" i="32" s="1"/>
  <c r="Y32" i="32"/>
  <c r="BS30" i="32" s="1"/>
  <c r="Y21" i="42"/>
  <c r="BM83" i="160"/>
  <c r="AR71" i="160"/>
  <c r="AR48" i="160"/>
  <c r="BM50" i="3"/>
  <c r="AQ49" i="160"/>
  <c r="AQ83" i="160"/>
  <c r="AF103" i="110"/>
  <c r="AS54" i="3"/>
  <c r="AS56" i="3"/>
  <c r="AS58" i="3"/>
  <c r="AS57" i="3"/>
  <c r="AS55" i="3"/>
  <c r="AS68" i="3" s="1"/>
  <c r="T50" i="3"/>
  <c r="U49" i="160"/>
  <c r="BN71" i="160"/>
  <c r="BN84" i="160" s="1"/>
  <c r="BN48" i="160"/>
  <c r="U87" i="3"/>
  <c r="U69" i="3"/>
  <c r="U97" i="3" s="1"/>
  <c r="U46" i="42"/>
  <c r="U44" i="42"/>
  <c r="U41" i="3"/>
  <c r="U67" i="3" s="1"/>
  <c r="AS45" i="160"/>
  <c r="AS43" i="160"/>
  <c r="AS44" i="160"/>
  <c r="BO48" i="3"/>
  <c r="BO71" i="3"/>
  <c r="AF104" i="110"/>
  <c r="W21" i="160"/>
  <c r="S85" i="3"/>
  <c r="S52" i="42" s="1"/>
  <c r="AQ49" i="3"/>
  <c r="AD144" i="110"/>
  <c r="BO69" i="3"/>
  <c r="BO87" i="3"/>
  <c r="BO41" i="3"/>
  <c r="BO67" i="3" s="1"/>
  <c r="T49" i="3"/>
  <c r="AR69" i="160"/>
  <c r="AR87" i="160"/>
  <c r="AR41" i="160"/>
  <c r="AR67" i="160" s="1"/>
  <c r="AR70" i="160"/>
  <c r="BN86" i="3"/>
  <c r="BN61" i="3"/>
  <c r="BN62" i="3"/>
  <c r="BN72" i="3"/>
  <c r="BN88" i="3" s="1"/>
  <c r="Z30" i="159"/>
  <c r="Y31" i="159"/>
  <c r="AV30" i="159" s="1"/>
  <c r="Y32" i="159"/>
  <c r="BS30" i="159" s="1"/>
  <c r="AR87" i="3"/>
  <c r="AR69" i="3"/>
  <c r="AR41" i="3"/>
  <c r="AR67" i="3" s="1"/>
  <c r="AF139" i="110"/>
  <c r="BN86" i="160"/>
  <c r="AP91" i="160"/>
  <c r="AP85" i="160"/>
  <c r="T84" i="3"/>
  <c r="T99" i="3"/>
  <c r="BN69" i="160"/>
  <c r="BN87" i="160"/>
  <c r="BN41" i="160"/>
  <c r="BN67" i="160" s="1"/>
  <c r="U70" i="3"/>
  <c r="U98" i="3" s="1"/>
  <c r="U47" i="42"/>
  <c r="AR76" i="160"/>
  <c r="AR78" i="160"/>
  <c r="AR79" i="160"/>
  <c r="AR75" i="160"/>
  <c r="AR77" i="160"/>
  <c r="Y35" i="159"/>
  <c r="Y15" i="160" s="1"/>
  <c r="X37" i="159"/>
  <c r="BR35" i="159" s="1"/>
  <c r="X36" i="159"/>
  <c r="AU35" i="159" s="1"/>
  <c r="AU17" i="160" s="1"/>
  <c r="X17" i="160"/>
  <c r="AT18" i="160"/>
  <c r="BO70" i="3"/>
  <c r="AF140" i="110"/>
  <c r="AD147" i="110"/>
  <c r="W44" i="160"/>
  <c r="W45" i="160"/>
  <c r="W43" i="160"/>
  <c r="AQ83" i="3"/>
  <c r="BR17" i="160" l="1"/>
  <c r="BO70" i="160"/>
  <c r="AT26" i="160"/>
  <c r="AT55" i="160" s="1"/>
  <c r="AT68" i="160" s="1"/>
  <c r="BO60" i="160"/>
  <c r="BO72" i="160" s="1"/>
  <c r="W54" i="160"/>
  <c r="W58" i="160"/>
  <c r="W71" i="160" s="1"/>
  <c r="W57" i="160"/>
  <c r="W70" i="160" s="1"/>
  <c r="W56" i="160"/>
  <c r="BM91" i="160"/>
  <c r="BM85" i="160"/>
  <c r="BQ27" i="160"/>
  <c r="BQ78" i="160" s="1"/>
  <c r="W75" i="160"/>
  <c r="AQ61" i="160"/>
  <c r="AQ86" i="160"/>
  <c r="W78" i="160"/>
  <c r="W77" i="160"/>
  <c r="W79" i="160"/>
  <c r="AQ72" i="160"/>
  <c r="AQ88" i="160" s="1"/>
  <c r="AQ62" i="160"/>
  <c r="Y13" i="3"/>
  <c r="Y25" i="3" s="1"/>
  <c r="X32" i="160"/>
  <c r="BQ21" i="160"/>
  <c r="AT33" i="160"/>
  <c r="BQ33" i="160"/>
  <c r="BQ34" i="160"/>
  <c r="BQ32" i="160"/>
  <c r="AU14" i="3"/>
  <c r="AR84" i="3"/>
  <c r="AT27" i="3"/>
  <c r="AT79" i="3" s="1"/>
  <c r="AU13" i="3"/>
  <c r="AU25" i="3" s="1"/>
  <c r="AU16" i="3"/>
  <c r="AR89" i="3"/>
  <c r="AU15" i="3"/>
  <c r="AU26" i="3" s="1"/>
  <c r="AU57" i="3" s="1"/>
  <c r="BR15" i="3"/>
  <c r="BR26" i="3" s="1"/>
  <c r="BR54" i="3" s="1"/>
  <c r="V96" i="160"/>
  <c r="V60" i="160"/>
  <c r="V63" i="160" s="1"/>
  <c r="V70" i="160"/>
  <c r="V98" i="160" s="1"/>
  <c r="BP76" i="160"/>
  <c r="BP75" i="160"/>
  <c r="BP78" i="160"/>
  <c r="BP75" i="3"/>
  <c r="AS78" i="3"/>
  <c r="AS77" i="3"/>
  <c r="AS79" i="3"/>
  <c r="AS76" i="3"/>
  <c r="BP77" i="160"/>
  <c r="AT32" i="160"/>
  <c r="X34" i="160"/>
  <c r="BP79" i="3"/>
  <c r="X27" i="160"/>
  <c r="X76" i="160" s="1"/>
  <c r="X33" i="160"/>
  <c r="AT21" i="3"/>
  <c r="BP78" i="3"/>
  <c r="AT32" i="3"/>
  <c r="BP77" i="3"/>
  <c r="AT34" i="3"/>
  <c r="AT33" i="3"/>
  <c r="AT25" i="160"/>
  <c r="AT43" i="160" s="1"/>
  <c r="Y50" i="159"/>
  <c r="AT34" i="160"/>
  <c r="X21" i="160"/>
  <c r="AT21" i="160"/>
  <c r="Y16" i="160"/>
  <c r="AU18" i="3"/>
  <c r="Y50" i="32"/>
  <c r="Y13" i="160"/>
  <c r="Y25" i="160" s="1"/>
  <c r="Y16" i="3"/>
  <c r="BR14" i="160"/>
  <c r="Y14" i="3"/>
  <c r="AU14" i="160"/>
  <c r="Y18" i="3"/>
  <c r="AU13" i="160"/>
  <c r="BP60" i="160"/>
  <c r="BP63" i="160" s="1"/>
  <c r="T91" i="160"/>
  <c r="V89" i="160"/>
  <c r="U86" i="160"/>
  <c r="U61" i="160"/>
  <c r="U62" i="160"/>
  <c r="U72" i="160"/>
  <c r="U100" i="160" s="1"/>
  <c r="T85" i="160"/>
  <c r="T88" i="160"/>
  <c r="T101" i="160"/>
  <c r="AR72" i="3"/>
  <c r="AR91" i="3" s="1"/>
  <c r="AQ88" i="3"/>
  <c r="AF141" i="110"/>
  <c r="AF128" i="110"/>
  <c r="AF147" i="110"/>
  <c r="BO89" i="3"/>
  <c r="AT57" i="3"/>
  <c r="AT55" i="3"/>
  <c r="AT68" i="3" s="1"/>
  <c r="AR61" i="3"/>
  <c r="AT54" i="3"/>
  <c r="AR62" i="3"/>
  <c r="AT58" i="3"/>
  <c r="AR86" i="3"/>
  <c r="AG145" i="110"/>
  <c r="AQ85" i="3"/>
  <c r="BQ54" i="160"/>
  <c r="BQ58" i="160"/>
  <c r="BO84" i="3"/>
  <c r="BQ57" i="160"/>
  <c r="BQ56" i="160"/>
  <c r="X25" i="42"/>
  <c r="X38" i="42" s="1"/>
  <c r="BO89" i="160"/>
  <c r="BQ27" i="3"/>
  <c r="BQ78" i="3" s="1"/>
  <c r="BO83" i="3"/>
  <c r="BN49" i="160"/>
  <c r="AR49" i="160"/>
  <c r="AT27" i="160"/>
  <c r="AT79" i="160" s="1"/>
  <c r="X33" i="3"/>
  <c r="AR50" i="160"/>
  <c r="X26" i="42"/>
  <c r="AR83" i="160"/>
  <c r="AS60" i="3"/>
  <c r="AS63" i="3" s="1"/>
  <c r="AR49" i="3"/>
  <c r="AR50" i="3"/>
  <c r="X21" i="3"/>
  <c r="AG104" i="110"/>
  <c r="BO69" i="160"/>
  <c r="BO87" i="160"/>
  <c r="BO41" i="160"/>
  <c r="BO67" i="160" s="1"/>
  <c r="BR13" i="160"/>
  <c r="AU15" i="160"/>
  <c r="AU26" i="160" s="1"/>
  <c r="V87" i="3"/>
  <c r="V69" i="3"/>
  <c r="V46" i="42"/>
  <c r="V44" i="42"/>
  <c r="V41" i="3"/>
  <c r="V67" i="3" s="1"/>
  <c r="AG139" i="110"/>
  <c r="W55" i="3"/>
  <c r="W56" i="3"/>
  <c r="W58" i="3"/>
  <c r="W54" i="3"/>
  <c r="W57" i="3"/>
  <c r="AG140" i="110"/>
  <c r="Z42" i="159"/>
  <c r="BT40" i="159" s="1"/>
  <c r="Z41" i="159"/>
  <c r="AW40" i="159" s="1"/>
  <c r="BN88" i="160"/>
  <c r="BN83" i="160"/>
  <c r="Z32" i="159"/>
  <c r="BT30" i="159" s="1"/>
  <c r="Z31" i="159"/>
  <c r="AW30" i="159" s="1"/>
  <c r="BO50" i="3"/>
  <c r="X44" i="160"/>
  <c r="X45" i="160"/>
  <c r="X43" i="160"/>
  <c r="AS43" i="3"/>
  <c r="AS45" i="3"/>
  <c r="AS44" i="3"/>
  <c r="AS70" i="3" s="1"/>
  <c r="U83" i="3"/>
  <c r="U96" i="3"/>
  <c r="W44" i="3"/>
  <c r="W43" i="3"/>
  <c r="W45" i="3"/>
  <c r="X26" i="3"/>
  <c r="X31" i="42"/>
  <c r="BP71" i="160"/>
  <c r="BP84" i="160" s="1"/>
  <c r="BP48" i="160"/>
  <c r="V69" i="160"/>
  <c r="V87" i="160"/>
  <c r="V41" i="160"/>
  <c r="V67" i="160" s="1"/>
  <c r="X26" i="160"/>
  <c r="BP69" i="160"/>
  <c r="BP87" i="160"/>
  <c r="BP41" i="160"/>
  <c r="BP67" i="160" s="1"/>
  <c r="Z42" i="32"/>
  <c r="BT40" i="32" s="1"/>
  <c r="Z41" i="32"/>
  <c r="AW40" i="32" s="1"/>
  <c r="X32" i="3"/>
  <c r="X37" i="42" s="1"/>
  <c r="AT44" i="3"/>
  <c r="AT45" i="3"/>
  <c r="AT43" i="3"/>
  <c r="Y18" i="160"/>
  <c r="BN85" i="3"/>
  <c r="AS69" i="160"/>
  <c r="AS87" i="160"/>
  <c r="AS41" i="160"/>
  <c r="AS67" i="160" s="1"/>
  <c r="AR84" i="160"/>
  <c r="BR18" i="3"/>
  <c r="W79" i="3"/>
  <c r="W78" i="3"/>
  <c r="W77" i="3"/>
  <c r="W76" i="3"/>
  <c r="W75" i="3"/>
  <c r="BN91" i="3"/>
  <c r="AR72" i="160"/>
  <c r="AR88" i="160" s="1"/>
  <c r="AR86" i="160"/>
  <c r="AR61" i="160"/>
  <c r="AR62" i="160"/>
  <c r="BQ45" i="160"/>
  <c r="BQ43" i="160"/>
  <c r="BQ44" i="160"/>
  <c r="BP60" i="3"/>
  <c r="Z35" i="32"/>
  <c r="Z14" i="3" s="1"/>
  <c r="Y37" i="32"/>
  <c r="BS35" i="32" s="1"/>
  <c r="BS17" i="3" s="1"/>
  <c r="Y36" i="32"/>
  <c r="AV35" i="32" s="1"/>
  <c r="AV17" i="3" s="1"/>
  <c r="Y17" i="3"/>
  <c r="Y26" i="3" s="1"/>
  <c r="U61" i="3"/>
  <c r="U86" i="3"/>
  <c r="U62" i="3"/>
  <c r="U43" i="42"/>
  <c r="U72" i="3"/>
  <c r="U100" i="3" s="1"/>
  <c r="V70" i="3"/>
  <c r="V98" i="3" s="1"/>
  <c r="V47" i="42"/>
  <c r="BO49" i="3"/>
  <c r="AG126" i="110"/>
  <c r="AG128" i="110" s="1"/>
  <c r="AG115" i="110"/>
  <c r="AG142" i="110"/>
  <c r="AG116" i="110"/>
  <c r="AS71" i="160"/>
  <c r="AS48" i="160"/>
  <c r="U49" i="3"/>
  <c r="BR18" i="160"/>
  <c r="BR16" i="3"/>
  <c r="AS60" i="160"/>
  <c r="BQ54" i="3"/>
  <c r="BQ55" i="3"/>
  <c r="BQ68" i="3" s="1"/>
  <c r="BQ56" i="3"/>
  <c r="BQ57" i="3"/>
  <c r="BQ58" i="3"/>
  <c r="V50" i="42"/>
  <c r="BO86" i="3"/>
  <c r="BO61" i="3"/>
  <c r="BO62" i="3"/>
  <c r="BO72" i="3"/>
  <c r="BO91" i="3" s="1"/>
  <c r="V96" i="3"/>
  <c r="X34" i="3"/>
  <c r="U42" i="42"/>
  <c r="AS70" i="160"/>
  <c r="AG117" i="110"/>
  <c r="BR15" i="160"/>
  <c r="Z32" i="32"/>
  <c r="BT30" i="32" s="1"/>
  <c r="Z31" i="32"/>
  <c r="AW30" i="32" s="1"/>
  <c r="Z21" i="42"/>
  <c r="BR14" i="3"/>
  <c r="AU16" i="160"/>
  <c r="X32" i="42"/>
  <c r="X27" i="3"/>
  <c r="V61" i="3"/>
  <c r="V86" i="3"/>
  <c r="V62" i="3"/>
  <c r="V43" i="42"/>
  <c r="V72" i="3"/>
  <c r="V100" i="3" s="1"/>
  <c r="V89" i="3"/>
  <c r="X44" i="3"/>
  <c r="X45" i="3"/>
  <c r="X43" i="3"/>
  <c r="U84" i="3"/>
  <c r="U99" i="3"/>
  <c r="V71" i="160"/>
  <c r="V48" i="160"/>
  <c r="AR89" i="160"/>
  <c r="BQ33" i="3"/>
  <c r="BQ34" i="3"/>
  <c r="BQ25" i="3"/>
  <c r="BQ21" i="3"/>
  <c r="BQ32" i="3"/>
  <c r="W41" i="160"/>
  <c r="W67" i="160" s="1"/>
  <c r="W48" i="160"/>
  <c r="Y37" i="159"/>
  <c r="BS35" i="159" s="1"/>
  <c r="BS17" i="160" s="1"/>
  <c r="Z35" i="159"/>
  <c r="Z50" i="159" s="1"/>
  <c r="Y36" i="159"/>
  <c r="AV35" i="159" s="1"/>
  <c r="AV17" i="160" s="1"/>
  <c r="Y17" i="160"/>
  <c r="Y26" i="160" s="1"/>
  <c r="BN91" i="160"/>
  <c r="BN85" i="160"/>
  <c r="AR83" i="3"/>
  <c r="Y14" i="160"/>
  <c r="BN50" i="160"/>
  <c r="BR16" i="160"/>
  <c r="BR13" i="3"/>
  <c r="U50" i="3"/>
  <c r="AU18" i="160"/>
  <c r="BO71" i="160"/>
  <c r="BO84" i="160" s="1"/>
  <c r="BO48" i="160"/>
  <c r="V48" i="3"/>
  <c r="V71" i="3"/>
  <c r="V48" i="42"/>
  <c r="AS76" i="160"/>
  <c r="AS77" i="160"/>
  <c r="AS79" i="160"/>
  <c r="AS78" i="160"/>
  <c r="AS75" i="160"/>
  <c r="AG103" i="110"/>
  <c r="BP43" i="3"/>
  <c r="BP44" i="3"/>
  <c r="BP70" i="3" s="1"/>
  <c r="BP45" i="3"/>
  <c r="W96" i="160"/>
  <c r="BR26" i="160" l="1"/>
  <c r="BR56" i="160" s="1"/>
  <c r="AT56" i="160"/>
  <c r="AT69" i="160" s="1"/>
  <c r="BO61" i="160"/>
  <c r="AT58" i="160"/>
  <c r="AT54" i="160"/>
  <c r="AT57" i="160"/>
  <c r="BO62" i="160"/>
  <c r="BO86" i="160"/>
  <c r="BO63" i="160"/>
  <c r="BQ76" i="160"/>
  <c r="BQ77" i="160"/>
  <c r="BQ75" i="160"/>
  <c r="BQ79" i="160"/>
  <c r="W60" i="160"/>
  <c r="W63" i="160" s="1"/>
  <c r="W87" i="160"/>
  <c r="W69" i="160"/>
  <c r="W97" i="160" s="1"/>
  <c r="Y30" i="42"/>
  <c r="Y26" i="42"/>
  <c r="W89" i="160"/>
  <c r="AQ85" i="160"/>
  <c r="W98" i="160"/>
  <c r="AQ91" i="160"/>
  <c r="AU34" i="3"/>
  <c r="AU33" i="3"/>
  <c r="AU32" i="3"/>
  <c r="AT77" i="3"/>
  <c r="AT76" i="3"/>
  <c r="AT75" i="3"/>
  <c r="AT78" i="3"/>
  <c r="AU27" i="3"/>
  <c r="AU77" i="3" s="1"/>
  <c r="Z13" i="3"/>
  <c r="Z32" i="3" s="1"/>
  <c r="Z37" i="42" s="1"/>
  <c r="AV16" i="3"/>
  <c r="V62" i="160"/>
  <c r="V86" i="160"/>
  <c r="V61" i="160"/>
  <c r="V72" i="160"/>
  <c r="V100" i="160" s="1"/>
  <c r="Z50" i="32"/>
  <c r="Z15" i="3"/>
  <c r="Z16" i="3"/>
  <c r="X75" i="160"/>
  <c r="X77" i="160"/>
  <c r="BP89" i="160"/>
  <c r="Y32" i="3"/>
  <c r="Y37" i="42" s="1"/>
  <c r="AS89" i="3"/>
  <c r="Y33" i="3"/>
  <c r="Y34" i="3"/>
  <c r="Y25" i="42"/>
  <c r="Y38" i="42" s="1"/>
  <c r="X79" i="160"/>
  <c r="X78" i="160"/>
  <c r="AT44" i="160"/>
  <c r="AT45" i="160"/>
  <c r="AT48" i="160" s="1"/>
  <c r="BP89" i="3"/>
  <c r="Y34" i="160"/>
  <c r="Y32" i="42"/>
  <c r="Y27" i="3"/>
  <c r="Y78" i="3" s="1"/>
  <c r="AU34" i="160"/>
  <c r="AV15" i="3"/>
  <c r="AV26" i="3" s="1"/>
  <c r="AV55" i="3" s="1"/>
  <c r="AV68" i="3" s="1"/>
  <c r="AU21" i="3"/>
  <c r="BS13" i="3"/>
  <c r="BS25" i="3" s="1"/>
  <c r="BP61" i="160"/>
  <c r="BP62" i="160"/>
  <c r="AV13" i="3"/>
  <c r="AV25" i="3" s="1"/>
  <c r="BP86" i="160"/>
  <c r="BP72" i="160"/>
  <c r="BP88" i="160" s="1"/>
  <c r="AV18" i="3"/>
  <c r="AU25" i="160"/>
  <c r="AU45" i="160" s="1"/>
  <c r="AV15" i="160"/>
  <c r="AV26" i="160" s="1"/>
  <c r="AV55" i="160" s="1"/>
  <c r="AV68" i="160" s="1"/>
  <c r="AU33" i="160"/>
  <c r="Z18" i="3"/>
  <c r="BS14" i="160"/>
  <c r="AU32" i="160"/>
  <c r="BS15" i="160"/>
  <c r="BS26" i="160" s="1"/>
  <c r="BS55" i="160" s="1"/>
  <c r="BS68" i="160" s="1"/>
  <c r="AV14" i="3"/>
  <c r="AU55" i="3"/>
  <c r="AU68" i="3" s="1"/>
  <c r="U101" i="160"/>
  <c r="U88" i="160"/>
  <c r="U85" i="160"/>
  <c r="U91" i="160"/>
  <c r="AR85" i="3"/>
  <c r="AR88" i="3"/>
  <c r="AU58" i="3"/>
  <c r="AU56" i="3"/>
  <c r="AT70" i="3"/>
  <c r="BQ60" i="160"/>
  <c r="BQ63" i="160" s="1"/>
  <c r="AU54" i="3"/>
  <c r="AT60" i="3"/>
  <c r="AT63" i="3" s="1"/>
  <c r="BQ79" i="3"/>
  <c r="BQ70" i="160"/>
  <c r="BQ75" i="3"/>
  <c r="V50" i="3"/>
  <c r="BQ77" i="3"/>
  <c r="BR57" i="3"/>
  <c r="BR56" i="3"/>
  <c r="BR55" i="3"/>
  <c r="BR68" i="3" s="1"/>
  <c r="Y31" i="42"/>
  <c r="BR58" i="3"/>
  <c r="BQ76" i="3"/>
  <c r="W50" i="160"/>
  <c r="BO88" i="3"/>
  <c r="AT75" i="160"/>
  <c r="AG147" i="110"/>
  <c r="AT78" i="160"/>
  <c r="AT77" i="160"/>
  <c r="AT76" i="160"/>
  <c r="BR27" i="160"/>
  <c r="BR76" i="160" s="1"/>
  <c r="BR27" i="3"/>
  <c r="BR77" i="3" s="1"/>
  <c r="AS72" i="3"/>
  <c r="AS61" i="3"/>
  <c r="AS62" i="3"/>
  <c r="AS50" i="160"/>
  <c r="V85" i="3"/>
  <c r="V52" i="42" s="1"/>
  <c r="BO50" i="160"/>
  <c r="AU21" i="160"/>
  <c r="V88" i="3"/>
  <c r="BO85" i="3"/>
  <c r="V83" i="3"/>
  <c r="U88" i="3"/>
  <c r="Y21" i="3"/>
  <c r="V97" i="3"/>
  <c r="V101" i="3"/>
  <c r="Y21" i="160"/>
  <c r="Y56" i="160"/>
  <c r="Y57" i="160"/>
  <c r="Y58" i="160"/>
  <c r="Y54" i="160"/>
  <c r="Y55" i="160"/>
  <c r="Y68" i="160" s="1"/>
  <c r="Z15" i="160"/>
  <c r="X41" i="3"/>
  <c r="X67" i="3" s="1"/>
  <c r="X79" i="3"/>
  <c r="X78" i="3"/>
  <c r="X77" i="3"/>
  <c r="X76" i="3"/>
  <c r="X75" i="3"/>
  <c r="BS13" i="160"/>
  <c r="Y44" i="160"/>
  <c r="Y45" i="160"/>
  <c r="Y43" i="160"/>
  <c r="X56" i="160"/>
  <c r="X69" i="160" s="1"/>
  <c r="X57" i="160"/>
  <c r="X70" i="160" s="1"/>
  <c r="X55" i="160"/>
  <c r="X68" i="160" s="1"/>
  <c r="X58" i="160"/>
  <c r="X71" i="160" s="1"/>
  <c r="X54" i="160"/>
  <c r="X55" i="3"/>
  <c r="X57" i="3"/>
  <c r="X47" i="42" s="1"/>
  <c r="X58" i="3"/>
  <c r="X48" i="42" s="1"/>
  <c r="X54" i="3"/>
  <c r="X56" i="3"/>
  <c r="X69" i="3" s="1"/>
  <c r="W45" i="42"/>
  <c r="W68" i="3"/>
  <c r="V91" i="3"/>
  <c r="V42" i="42"/>
  <c r="BR55" i="160"/>
  <c r="BR68" i="160" s="1"/>
  <c r="BR54" i="160"/>
  <c r="BO91" i="160"/>
  <c r="BP48" i="3"/>
  <c r="BP71" i="3"/>
  <c r="BP84" i="3" s="1"/>
  <c r="W84" i="160"/>
  <c r="W99" i="160"/>
  <c r="AU44" i="3"/>
  <c r="AU70" i="3" s="1"/>
  <c r="AU45" i="3"/>
  <c r="AU43" i="3"/>
  <c r="BS16" i="160"/>
  <c r="BQ71" i="160"/>
  <c r="BQ48" i="160"/>
  <c r="AU27" i="160"/>
  <c r="V49" i="160"/>
  <c r="W69" i="3"/>
  <c r="W97" i="3" s="1"/>
  <c r="W87" i="3"/>
  <c r="W44" i="42"/>
  <c r="W46" i="42"/>
  <c r="W41" i="3"/>
  <c r="W67" i="3" s="1"/>
  <c r="AS87" i="3"/>
  <c r="AS69" i="3"/>
  <c r="AS41" i="3"/>
  <c r="AS67" i="3" s="1"/>
  <c r="AG144" i="110"/>
  <c r="AR91" i="160"/>
  <c r="Y44" i="3"/>
  <c r="Y43" i="3"/>
  <c r="Y45" i="3"/>
  <c r="Z37" i="159"/>
  <c r="BT35" i="159" s="1"/>
  <c r="BT17" i="160" s="1"/>
  <c r="Z36" i="159"/>
  <c r="AW35" i="159" s="1"/>
  <c r="AW17" i="160" s="1"/>
  <c r="Z17" i="160"/>
  <c r="BP86" i="3"/>
  <c r="BP61" i="3"/>
  <c r="BP62" i="3"/>
  <c r="BP72" i="3"/>
  <c r="AS89" i="160"/>
  <c r="Y54" i="3"/>
  <c r="Y56" i="3"/>
  <c r="Y57" i="3"/>
  <c r="Y58" i="3"/>
  <c r="Y55" i="3"/>
  <c r="BQ60" i="3"/>
  <c r="BQ63" i="3" s="1"/>
  <c r="AS84" i="160"/>
  <c r="U85" i="3"/>
  <c r="U52" i="42" s="1"/>
  <c r="AR85" i="160"/>
  <c r="BS15" i="3"/>
  <c r="BS26" i="3" s="1"/>
  <c r="W70" i="3"/>
  <c r="W98" i="3" s="1"/>
  <c r="W47" i="42"/>
  <c r="Z18" i="160"/>
  <c r="AV16" i="160"/>
  <c r="BO49" i="160"/>
  <c r="BQ45" i="3"/>
  <c r="BQ43" i="3"/>
  <c r="BQ44" i="3"/>
  <c r="BQ70" i="3" s="1"/>
  <c r="AS71" i="3"/>
  <c r="AS84" i="3" s="1"/>
  <c r="AS48" i="3"/>
  <c r="AG141" i="110"/>
  <c r="BS18" i="3"/>
  <c r="AT69" i="3"/>
  <c r="AT87" i="3"/>
  <c r="AT41" i="3"/>
  <c r="AT67" i="3" s="1"/>
  <c r="V97" i="160"/>
  <c r="V83" i="160"/>
  <c r="U101" i="3"/>
  <c r="Z16" i="160"/>
  <c r="BP63" i="3"/>
  <c r="AV13" i="160"/>
  <c r="BO88" i="160"/>
  <c r="BO83" i="160"/>
  <c r="BO85" i="160"/>
  <c r="AS72" i="160"/>
  <c r="AS88" i="160" s="1"/>
  <c r="AS61" i="160"/>
  <c r="AS62" i="160"/>
  <c r="AS86" i="160"/>
  <c r="W48" i="3"/>
  <c r="W71" i="3"/>
  <c r="W48" i="42"/>
  <c r="Y27" i="160"/>
  <c r="BR32" i="3"/>
  <c r="BR33" i="3"/>
  <c r="BR34" i="3"/>
  <c r="BR25" i="3"/>
  <c r="BR21" i="3"/>
  <c r="W49" i="160"/>
  <c r="AS86" i="3"/>
  <c r="AS83" i="160"/>
  <c r="U91" i="3"/>
  <c r="Y32" i="160"/>
  <c r="BS16" i="3"/>
  <c r="AS49" i="160"/>
  <c r="AT71" i="3"/>
  <c r="AT84" i="3" s="1"/>
  <c r="AT48" i="3"/>
  <c r="BP49" i="160"/>
  <c r="BP50" i="160"/>
  <c r="Z13" i="160"/>
  <c r="W60" i="3"/>
  <c r="W63" i="3" s="1"/>
  <c r="W50" i="42"/>
  <c r="V49" i="3"/>
  <c r="AV18" i="160"/>
  <c r="V84" i="160"/>
  <c r="V99" i="160"/>
  <c r="X48" i="160"/>
  <c r="X48" i="3"/>
  <c r="BQ69" i="160"/>
  <c r="BQ87" i="160"/>
  <c r="BQ41" i="160"/>
  <c r="BQ67" i="160" s="1"/>
  <c r="BR25" i="160"/>
  <c r="BR21" i="160"/>
  <c r="BR34" i="160"/>
  <c r="BR33" i="160"/>
  <c r="BR32" i="160"/>
  <c r="BP69" i="3"/>
  <c r="BP87" i="3"/>
  <c r="BP41" i="3"/>
  <c r="BP67" i="3" s="1"/>
  <c r="AS63" i="160"/>
  <c r="V84" i="3"/>
  <c r="V99" i="3"/>
  <c r="V50" i="160"/>
  <c r="BS18" i="160"/>
  <c r="Y33" i="160"/>
  <c r="Z37" i="32"/>
  <c r="BT35" i="32" s="1"/>
  <c r="BT17" i="3" s="1"/>
  <c r="Z36" i="32"/>
  <c r="AW35" i="32" s="1"/>
  <c r="AW17" i="3" s="1"/>
  <c r="Z17" i="3"/>
  <c r="W89" i="3"/>
  <c r="BS14" i="3"/>
  <c r="BP83" i="160"/>
  <c r="X41" i="160"/>
  <c r="X67" i="160" s="1"/>
  <c r="Z14" i="160"/>
  <c r="AU56" i="160"/>
  <c r="AU57" i="160"/>
  <c r="AU58" i="160"/>
  <c r="AU55" i="160"/>
  <c r="AU68" i="160" s="1"/>
  <c r="AU54" i="160"/>
  <c r="AV14" i="160"/>
  <c r="BR58" i="160" l="1"/>
  <c r="BR57" i="160"/>
  <c r="AT70" i="160"/>
  <c r="AT83" i="160" s="1"/>
  <c r="AT60" i="160"/>
  <c r="AT63" i="160" s="1"/>
  <c r="BQ84" i="160"/>
  <c r="BQ89" i="160"/>
  <c r="W83" i="160"/>
  <c r="W72" i="160"/>
  <c r="W91" i="160" s="1"/>
  <c r="W62" i="160"/>
  <c r="W61" i="160"/>
  <c r="W86" i="160"/>
  <c r="V101" i="160"/>
  <c r="V91" i="160"/>
  <c r="AT89" i="3"/>
  <c r="AU76" i="3"/>
  <c r="Z25" i="3"/>
  <c r="Z43" i="3" s="1"/>
  <c r="AU75" i="3"/>
  <c r="Z33" i="3"/>
  <c r="AU78" i="3"/>
  <c r="Z34" i="3"/>
  <c r="AU79" i="3"/>
  <c r="Z30" i="42"/>
  <c r="Z26" i="42"/>
  <c r="V88" i="160"/>
  <c r="V85" i="160"/>
  <c r="Z25" i="42"/>
  <c r="Z38" i="42" s="1"/>
  <c r="Z26" i="3"/>
  <c r="Z58" i="3" s="1"/>
  <c r="Z27" i="3"/>
  <c r="Z78" i="3" s="1"/>
  <c r="AW15" i="160"/>
  <c r="AW26" i="160" s="1"/>
  <c r="AW16" i="160"/>
  <c r="X97" i="160"/>
  <c r="X89" i="160"/>
  <c r="X98" i="160"/>
  <c r="AT41" i="160"/>
  <c r="AT67" i="160" s="1"/>
  <c r="AU44" i="160"/>
  <c r="AU70" i="160" s="1"/>
  <c r="AT87" i="160"/>
  <c r="AU43" i="160"/>
  <c r="AU69" i="160" s="1"/>
  <c r="BS34" i="3"/>
  <c r="Y79" i="3"/>
  <c r="Y76" i="3"/>
  <c r="Y75" i="3"/>
  <c r="Y77" i="3"/>
  <c r="AT71" i="160"/>
  <c r="AT84" i="160" s="1"/>
  <c r="BQ61" i="160"/>
  <c r="BQ86" i="160"/>
  <c r="BQ72" i="160"/>
  <c r="BQ91" i="160" s="1"/>
  <c r="BQ62" i="160"/>
  <c r="BP91" i="160"/>
  <c r="AV21" i="3"/>
  <c r="BP85" i="160"/>
  <c r="AV32" i="3"/>
  <c r="Z32" i="42"/>
  <c r="AW16" i="3"/>
  <c r="AV33" i="3"/>
  <c r="AW18" i="160"/>
  <c r="AV27" i="3"/>
  <c r="AV77" i="3" s="1"/>
  <c r="AV34" i="3"/>
  <c r="AW14" i="160"/>
  <c r="AT72" i="3"/>
  <c r="AT91" i="3" s="1"/>
  <c r="AT86" i="3"/>
  <c r="AT62" i="3"/>
  <c r="AU60" i="3"/>
  <c r="AU63" i="3" s="1"/>
  <c r="AT61" i="3"/>
  <c r="AV56" i="3"/>
  <c r="AV57" i="3"/>
  <c r="AV54" i="3"/>
  <c r="AV58" i="3"/>
  <c r="BS58" i="160"/>
  <c r="X50" i="3"/>
  <c r="BR79" i="3"/>
  <c r="BR76" i="3"/>
  <c r="BR75" i="3"/>
  <c r="BR78" i="3"/>
  <c r="BQ89" i="3"/>
  <c r="BR60" i="3"/>
  <c r="BR63" i="3" s="1"/>
  <c r="AT89" i="160"/>
  <c r="AV58" i="160"/>
  <c r="AV56" i="160"/>
  <c r="W50" i="3"/>
  <c r="AV57" i="160"/>
  <c r="X70" i="3"/>
  <c r="X98" i="3" s="1"/>
  <c r="BR75" i="160"/>
  <c r="X71" i="3"/>
  <c r="X99" i="3" s="1"/>
  <c r="AS50" i="3"/>
  <c r="BR79" i="160"/>
  <c r="BR78" i="160"/>
  <c r="BR77" i="160"/>
  <c r="AV54" i="160"/>
  <c r="BP91" i="3"/>
  <c r="BS57" i="160"/>
  <c r="BS56" i="160"/>
  <c r="BS54" i="160"/>
  <c r="X60" i="160"/>
  <c r="X72" i="160" s="1"/>
  <c r="X87" i="160"/>
  <c r="BS21" i="3"/>
  <c r="Z31" i="42"/>
  <c r="Z27" i="160"/>
  <c r="Z76" i="160" s="1"/>
  <c r="BQ49" i="160"/>
  <c r="AS91" i="160"/>
  <c r="BS27" i="160"/>
  <c r="BS76" i="160" s="1"/>
  <c r="Y70" i="160"/>
  <c r="X46" i="42"/>
  <c r="BP85" i="3"/>
  <c r="X49" i="3"/>
  <c r="BS32" i="3"/>
  <c r="AT50" i="3"/>
  <c r="X89" i="3"/>
  <c r="X49" i="160"/>
  <c r="AS85" i="160"/>
  <c r="W83" i="3"/>
  <c r="W96" i="3"/>
  <c r="Z21" i="3"/>
  <c r="Y48" i="3"/>
  <c r="Y71" i="3"/>
  <c r="Y48" i="42"/>
  <c r="AU76" i="160"/>
  <c r="AU79" i="160"/>
  <c r="AU78" i="160"/>
  <c r="AU75" i="160"/>
  <c r="AU77" i="160"/>
  <c r="BT15" i="160"/>
  <c r="BT26" i="160" s="1"/>
  <c r="X60" i="3"/>
  <c r="X63" i="3" s="1"/>
  <c r="X50" i="42"/>
  <c r="BS25" i="160"/>
  <c r="BS21" i="160"/>
  <c r="BS34" i="160"/>
  <c r="BS33" i="160"/>
  <c r="BS32" i="160"/>
  <c r="X97" i="3"/>
  <c r="AS83" i="3"/>
  <c r="AS88" i="3"/>
  <c r="BS27" i="3"/>
  <c r="AW15" i="3"/>
  <c r="AW26" i="3" s="1"/>
  <c r="AU60" i="160"/>
  <c r="AU63" i="160" s="1"/>
  <c r="AW14" i="3"/>
  <c r="BQ83" i="160"/>
  <c r="BS44" i="3"/>
  <c r="BS45" i="3"/>
  <c r="BS43" i="3"/>
  <c r="AT49" i="3"/>
  <c r="Y87" i="3"/>
  <c r="Y69" i="3"/>
  <c r="Y44" i="42"/>
  <c r="Y46" i="42"/>
  <c r="Y41" i="3"/>
  <c r="Y67" i="3" s="1"/>
  <c r="W42" i="42"/>
  <c r="BQ50" i="160"/>
  <c r="BT14" i="160"/>
  <c r="BT15" i="3"/>
  <c r="BT26" i="3" s="1"/>
  <c r="Z26" i="160"/>
  <c r="AV27" i="160"/>
  <c r="AW13" i="3"/>
  <c r="BS33" i="3"/>
  <c r="W61" i="3"/>
  <c r="W86" i="3"/>
  <c r="W62" i="3"/>
  <c r="W43" i="42"/>
  <c r="W72" i="3"/>
  <c r="W100" i="3" s="1"/>
  <c r="Y75" i="160"/>
  <c r="Y79" i="160"/>
  <c r="Y76" i="160"/>
  <c r="Y96" i="160" s="1"/>
  <c r="Y77" i="160"/>
  <c r="Y78" i="160"/>
  <c r="BQ87" i="3"/>
  <c r="BQ69" i="3"/>
  <c r="BQ41" i="3"/>
  <c r="BQ67" i="3" s="1"/>
  <c r="Y70" i="3"/>
  <c r="Y98" i="3" s="1"/>
  <c r="Y47" i="42"/>
  <c r="BT18" i="160"/>
  <c r="BT18" i="3"/>
  <c r="AU71" i="3"/>
  <c r="AU48" i="3"/>
  <c r="AW18" i="3"/>
  <c r="BR45" i="160"/>
  <c r="BR44" i="160"/>
  <c r="BR43" i="160"/>
  <c r="Z25" i="160"/>
  <c r="Z21" i="160"/>
  <c r="Z34" i="160"/>
  <c r="Z33" i="160"/>
  <c r="Z32" i="160"/>
  <c r="AT83" i="3"/>
  <c r="BQ48" i="3"/>
  <c r="BQ71" i="3"/>
  <c r="BQ84" i="3" s="1"/>
  <c r="Y60" i="3"/>
  <c r="Y50" i="42"/>
  <c r="BT13" i="160"/>
  <c r="X45" i="42"/>
  <c r="X68" i="3"/>
  <c r="BT16" i="3"/>
  <c r="X42" i="42"/>
  <c r="BT16" i="160"/>
  <c r="BT14" i="3"/>
  <c r="Y45" i="42"/>
  <c r="Y68" i="3"/>
  <c r="W84" i="3"/>
  <c r="W99" i="3"/>
  <c r="BP83" i="3"/>
  <c r="BP88" i="3"/>
  <c r="X50" i="160"/>
  <c r="BS57" i="3"/>
  <c r="BS58" i="3"/>
  <c r="BS54" i="3"/>
  <c r="BS55" i="3"/>
  <c r="BS68" i="3" s="1"/>
  <c r="BS56" i="3"/>
  <c r="AS91" i="3"/>
  <c r="AW13" i="160"/>
  <c r="Y69" i="160"/>
  <c r="Y87" i="160"/>
  <c r="Y41" i="160"/>
  <c r="Y67" i="160" s="1"/>
  <c r="BT13" i="3"/>
  <c r="X44" i="42"/>
  <c r="Y60" i="160"/>
  <c r="Y63" i="160" s="1"/>
  <c r="AS85" i="3"/>
  <c r="BP49" i="3"/>
  <c r="X84" i="160"/>
  <c r="X99" i="160"/>
  <c r="AU71" i="160"/>
  <c r="AU48" i="160"/>
  <c r="BR43" i="3"/>
  <c r="BR44" i="3"/>
  <c r="BR70" i="3" s="1"/>
  <c r="BR45" i="3"/>
  <c r="AV25" i="160"/>
  <c r="AV21" i="160"/>
  <c r="AV32" i="160"/>
  <c r="AV33" i="160"/>
  <c r="AV34" i="160"/>
  <c r="AV44" i="3"/>
  <c r="AV45" i="3"/>
  <c r="AV43" i="3"/>
  <c r="BQ86" i="3"/>
  <c r="BQ61" i="3"/>
  <c r="BQ62" i="3"/>
  <c r="BQ72" i="3"/>
  <c r="AS49" i="3"/>
  <c r="W49" i="3"/>
  <c r="AU87" i="3"/>
  <c r="AU69" i="3"/>
  <c r="AU41" i="3"/>
  <c r="AU67" i="3" s="1"/>
  <c r="BP50" i="3"/>
  <c r="X83" i="160"/>
  <c r="X96" i="160"/>
  <c r="Y71" i="160"/>
  <c r="Y48" i="160"/>
  <c r="X87" i="3"/>
  <c r="BR60" i="160" l="1"/>
  <c r="BR63" i="160" s="1"/>
  <c r="BR70" i="160"/>
  <c r="AT86" i="160"/>
  <c r="AT72" i="160"/>
  <c r="AT88" i="160" s="1"/>
  <c r="AT62" i="160"/>
  <c r="AT61" i="160"/>
  <c r="Z57" i="3"/>
  <c r="W100" i="160"/>
  <c r="W88" i="160"/>
  <c r="W85" i="160"/>
  <c r="W101" i="160"/>
  <c r="Z55" i="3"/>
  <c r="Z68" i="3" s="1"/>
  <c r="Z45" i="3"/>
  <c r="Z71" i="3" s="1"/>
  <c r="Z44" i="3"/>
  <c r="Z56" i="3"/>
  <c r="Z77" i="3"/>
  <c r="Z76" i="3"/>
  <c r="Z75" i="3"/>
  <c r="Z79" i="3"/>
  <c r="Z54" i="3"/>
  <c r="AU89" i="3"/>
  <c r="AU84" i="3"/>
  <c r="AV79" i="3"/>
  <c r="AU41" i="160"/>
  <c r="AU67" i="160" s="1"/>
  <c r="AT50" i="160"/>
  <c r="Y97" i="3"/>
  <c r="AT49" i="160"/>
  <c r="AU87" i="160"/>
  <c r="Y89" i="3"/>
  <c r="AV75" i="3"/>
  <c r="BQ85" i="160"/>
  <c r="BQ88" i="160"/>
  <c r="AV76" i="3"/>
  <c r="AV78" i="3"/>
  <c r="AT88" i="3"/>
  <c r="AW27" i="160"/>
  <c r="AW75" i="160" s="1"/>
  <c r="AT85" i="3"/>
  <c r="AV70" i="3"/>
  <c r="Z78" i="160"/>
  <c r="AU72" i="3"/>
  <c r="AU91" i="3" s="1"/>
  <c r="AU61" i="3"/>
  <c r="AU62" i="3"/>
  <c r="AU86" i="3"/>
  <c r="Z79" i="160"/>
  <c r="AV60" i="3"/>
  <c r="AV63" i="3" s="1"/>
  <c r="X61" i="160"/>
  <c r="BR72" i="3"/>
  <c r="BR61" i="3"/>
  <c r="BR62" i="3"/>
  <c r="BR89" i="160"/>
  <c r="BR89" i="3"/>
  <c r="BS60" i="160"/>
  <c r="BS61" i="160" s="1"/>
  <c r="X86" i="160"/>
  <c r="AV60" i="160"/>
  <c r="AV63" i="160" s="1"/>
  <c r="X62" i="160"/>
  <c r="X63" i="160"/>
  <c r="X84" i="3"/>
  <c r="Z77" i="160"/>
  <c r="Z75" i="160"/>
  <c r="BT27" i="3"/>
  <c r="BT78" i="3" s="1"/>
  <c r="X100" i="160"/>
  <c r="X85" i="160"/>
  <c r="BS75" i="160"/>
  <c r="BR86" i="3"/>
  <c r="Y98" i="160"/>
  <c r="BS77" i="160"/>
  <c r="BS60" i="3"/>
  <c r="BS62" i="3" s="1"/>
  <c r="BS78" i="160"/>
  <c r="W91" i="3"/>
  <c r="BS79" i="160"/>
  <c r="Y50" i="160"/>
  <c r="Y97" i="160"/>
  <c r="Y49" i="160"/>
  <c r="W85" i="3"/>
  <c r="W52" i="42" s="1"/>
  <c r="AU83" i="160"/>
  <c r="AV87" i="3"/>
  <c r="AV69" i="3"/>
  <c r="AV41" i="3"/>
  <c r="AV67" i="3" s="1"/>
  <c r="Y83" i="160"/>
  <c r="BT25" i="160"/>
  <c r="BT21" i="160"/>
  <c r="BT32" i="160"/>
  <c r="BT34" i="160"/>
  <c r="BT33" i="160"/>
  <c r="Z44" i="160"/>
  <c r="Z43" i="160"/>
  <c r="Z45" i="160"/>
  <c r="Y42" i="42"/>
  <c r="BS87" i="3"/>
  <c r="BS69" i="3"/>
  <c r="BS41" i="3"/>
  <c r="BS67" i="3" s="1"/>
  <c r="AU89" i="160"/>
  <c r="W101" i="3"/>
  <c r="X83" i="3"/>
  <c r="X96" i="3"/>
  <c r="Y89" i="160"/>
  <c r="AU50" i="3"/>
  <c r="AW56" i="160"/>
  <c r="AW57" i="160"/>
  <c r="AW58" i="160"/>
  <c r="AW54" i="160"/>
  <c r="AW55" i="160"/>
  <c r="AW68" i="160" s="1"/>
  <c r="BQ91" i="3"/>
  <c r="AW25" i="3"/>
  <c r="AW21" i="3"/>
  <c r="AW32" i="3"/>
  <c r="AW33" i="3"/>
  <c r="AW34" i="3"/>
  <c r="BS48" i="3"/>
  <c r="BS71" i="3"/>
  <c r="X61" i="3"/>
  <c r="X86" i="3"/>
  <c r="X62" i="3"/>
  <c r="X43" i="42"/>
  <c r="X72" i="3"/>
  <c r="X100" i="3" s="1"/>
  <c r="AW25" i="160"/>
  <c r="AW21" i="160"/>
  <c r="AW34" i="160"/>
  <c r="AW33" i="160"/>
  <c r="AW32" i="160"/>
  <c r="BQ83" i="3"/>
  <c r="BQ88" i="3"/>
  <c r="X91" i="160"/>
  <c r="BS70" i="3"/>
  <c r="Y84" i="3"/>
  <c r="Y99" i="3"/>
  <c r="AV71" i="3"/>
  <c r="AV48" i="3"/>
  <c r="BR71" i="3"/>
  <c r="BR84" i="3" s="1"/>
  <c r="BR48" i="3"/>
  <c r="AU84" i="160"/>
  <c r="Y61" i="3"/>
  <c r="Y86" i="3"/>
  <c r="Y62" i="3"/>
  <c r="Y43" i="42"/>
  <c r="Y72" i="3"/>
  <c r="Y100" i="3" s="1"/>
  <c r="BR87" i="3"/>
  <c r="BR69" i="3"/>
  <c r="BR41" i="3"/>
  <c r="BR67" i="3" s="1"/>
  <c r="BQ49" i="3"/>
  <c r="BR72" i="160"/>
  <c r="BR86" i="160"/>
  <c r="BR61" i="160"/>
  <c r="BR62" i="160"/>
  <c r="Y49" i="3"/>
  <c r="AU72" i="160"/>
  <c r="AU62" i="160"/>
  <c r="AU86" i="160"/>
  <c r="AU61" i="160"/>
  <c r="BT58" i="160"/>
  <c r="BT55" i="160"/>
  <c r="BT68" i="160" s="1"/>
  <c r="BT54" i="160"/>
  <c r="BT57" i="160"/>
  <c r="BT56" i="160"/>
  <c r="Y50" i="3"/>
  <c r="W88" i="3"/>
  <c r="BR71" i="160"/>
  <c r="BR84" i="160" s="1"/>
  <c r="BR48" i="160"/>
  <c r="BS45" i="160"/>
  <c r="BS43" i="160"/>
  <c r="BS44" i="160"/>
  <c r="BS70" i="160" s="1"/>
  <c r="BQ85" i="3"/>
  <c r="BT21" i="3"/>
  <c r="BT32" i="3"/>
  <c r="BT25" i="3"/>
  <c r="BT33" i="3"/>
  <c r="BT34" i="3"/>
  <c r="AU83" i="3"/>
  <c r="Y83" i="3"/>
  <c r="Y96" i="3"/>
  <c r="BQ50" i="3"/>
  <c r="BR69" i="160"/>
  <c r="BR87" i="160"/>
  <c r="BR41" i="160"/>
  <c r="BR67" i="160" s="1"/>
  <c r="BT27" i="160"/>
  <c r="AW54" i="3"/>
  <c r="AW56" i="3"/>
  <c r="AW58" i="3"/>
  <c r="AW55" i="3"/>
  <c r="AW68" i="3" s="1"/>
  <c r="AW57" i="3"/>
  <c r="Y63" i="3"/>
  <c r="AV43" i="160"/>
  <c r="AV45" i="160"/>
  <c r="AV44" i="160"/>
  <c r="AV70" i="160" s="1"/>
  <c r="Z57" i="160"/>
  <c r="Z58" i="160"/>
  <c r="Z55" i="160"/>
  <c r="Z68" i="160" s="1"/>
  <c r="Z56" i="160"/>
  <c r="Z54" i="160"/>
  <c r="BT54" i="3"/>
  <c r="BT55" i="3"/>
  <c r="BT68" i="3" s="1"/>
  <c r="BT56" i="3"/>
  <c r="BT57" i="3"/>
  <c r="BT58" i="3"/>
  <c r="Y84" i="160"/>
  <c r="Y99" i="160"/>
  <c r="Y72" i="160"/>
  <c r="Y86" i="160"/>
  <c r="Y62" i="160"/>
  <c r="Y61" i="160"/>
  <c r="X101" i="160"/>
  <c r="AU49" i="3"/>
  <c r="X88" i="160"/>
  <c r="AV75" i="160"/>
  <c r="AV78" i="160"/>
  <c r="AV79" i="160"/>
  <c r="AV77" i="160"/>
  <c r="AV76" i="160"/>
  <c r="AW27" i="3"/>
  <c r="BS78" i="3"/>
  <c r="BS79" i="3"/>
  <c r="BS75" i="3"/>
  <c r="BS77" i="3"/>
  <c r="BS76" i="3"/>
  <c r="AT91" i="160" l="1"/>
  <c r="AT85" i="160"/>
  <c r="Z45" i="42"/>
  <c r="Z70" i="3"/>
  <c r="Z98" i="3" s="1"/>
  <c r="Z48" i="42"/>
  <c r="Z48" i="3"/>
  <c r="Z47" i="42"/>
  <c r="Z41" i="3"/>
  <c r="Z67" i="3" s="1"/>
  <c r="Z42" i="42" s="1"/>
  <c r="Z44" i="42"/>
  <c r="Z60" i="3"/>
  <c r="Z63" i="3" s="1"/>
  <c r="Z69" i="3"/>
  <c r="Z97" i="3" s="1"/>
  <c r="Z87" i="3"/>
  <c r="Z46" i="42"/>
  <c r="Z50" i="42"/>
  <c r="Z89" i="3"/>
  <c r="AV84" i="3"/>
  <c r="AU50" i="160"/>
  <c r="AU49" i="160"/>
  <c r="AU88" i="160"/>
  <c r="AU85" i="3"/>
  <c r="AV89" i="3"/>
  <c r="AW76" i="160"/>
  <c r="AW77" i="160"/>
  <c r="AW78" i="160"/>
  <c r="AW79" i="160"/>
  <c r="AU88" i="3"/>
  <c r="BT76" i="3"/>
  <c r="BS72" i="160"/>
  <c r="AV72" i="3"/>
  <c r="AV85" i="3" s="1"/>
  <c r="AV62" i="3"/>
  <c r="AV61" i="3"/>
  <c r="AV86" i="3"/>
  <c r="BS63" i="160"/>
  <c r="BS62" i="160"/>
  <c r="BT77" i="3"/>
  <c r="AV62" i="160"/>
  <c r="AV61" i="160"/>
  <c r="AV72" i="160"/>
  <c r="Z89" i="160"/>
  <c r="BT79" i="3"/>
  <c r="Y88" i="3"/>
  <c r="BT75" i="3"/>
  <c r="BS63" i="3"/>
  <c r="BR91" i="3"/>
  <c r="BS61" i="3"/>
  <c r="BS86" i="3"/>
  <c r="BS89" i="3"/>
  <c r="BS72" i="3"/>
  <c r="BS88" i="3" s="1"/>
  <c r="Y101" i="3"/>
  <c r="BS89" i="160"/>
  <c r="X91" i="3"/>
  <c r="BR85" i="160"/>
  <c r="AV49" i="3"/>
  <c r="AV50" i="3"/>
  <c r="BS69" i="160"/>
  <c r="BS87" i="160"/>
  <c r="BS41" i="160"/>
  <c r="BS67" i="160" s="1"/>
  <c r="AW60" i="3"/>
  <c r="AW63" i="3" s="1"/>
  <c r="Z69" i="160"/>
  <c r="Z97" i="160" s="1"/>
  <c r="Z87" i="160"/>
  <c r="Z41" i="160"/>
  <c r="Z67" i="160" s="1"/>
  <c r="AV69" i="160"/>
  <c r="AV87" i="160"/>
  <c r="AV41" i="160"/>
  <c r="AV67" i="160" s="1"/>
  <c r="BT79" i="160"/>
  <c r="BT78" i="160"/>
  <c r="BT77" i="160"/>
  <c r="BT75" i="160"/>
  <c r="BT76" i="160"/>
  <c r="BS49" i="3"/>
  <c r="Z70" i="160"/>
  <c r="Z98" i="160" s="1"/>
  <c r="Y100" i="160"/>
  <c r="Y101" i="160"/>
  <c r="BS83" i="3"/>
  <c r="BS71" i="160"/>
  <c r="BS84" i="160" s="1"/>
  <c r="BS48" i="160"/>
  <c r="AU91" i="160"/>
  <c r="Z96" i="3"/>
  <c r="Z60" i="160"/>
  <c r="Z63" i="160" s="1"/>
  <c r="BR91" i="160"/>
  <c r="BT45" i="3"/>
  <c r="BT43" i="3"/>
  <c r="BT44" i="3"/>
  <c r="BT70" i="3" s="1"/>
  <c r="BR50" i="160"/>
  <c r="BR88" i="3"/>
  <c r="BR83" i="3"/>
  <c r="Y85" i="3"/>
  <c r="Y52" i="42" s="1"/>
  <c r="AW44" i="3"/>
  <c r="AW70" i="3" s="1"/>
  <c r="AW45" i="3"/>
  <c r="AW43" i="3"/>
  <c r="BT60" i="3"/>
  <c r="BT63" i="3" s="1"/>
  <c r="BT60" i="160"/>
  <c r="BS86" i="160"/>
  <c r="BR49" i="160"/>
  <c r="BR49" i="3"/>
  <c r="X85" i="3"/>
  <c r="X52" i="42" s="1"/>
  <c r="X101" i="3"/>
  <c r="AV83" i="3"/>
  <c r="AV86" i="160"/>
  <c r="Z96" i="160"/>
  <c r="Y91" i="160"/>
  <c r="AU85" i="160"/>
  <c r="BR50" i="3"/>
  <c r="BS84" i="3"/>
  <c r="Z71" i="160"/>
  <c r="Z48" i="160"/>
  <c r="AW75" i="3"/>
  <c r="AW79" i="3"/>
  <c r="AW78" i="3"/>
  <c r="AW77" i="3"/>
  <c r="AW76" i="3"/>
  <c r="Z84" i="3"/>
  <c r="Z99" i="3"/>
  <c r="BR83" i="160"/>
  <c r="BR88" i="160"/>
  <c r="AW43" i="160"/>
  <c r="AW44" i="160"/>
  <c r="AW70" i="160" s="1"/>
  <c r="AW45" i="160"/>
  <c r="BS50" i="3"/>
  <c r="X88" i="3"/>
  <c r="Y91" i="3"/>
  <c r="Y88" i="160"/>
  <c r="BT43" i="160"/>
  <c r="BT44" i="160"/>
  <c r="BT70" i="160" s="1"/>
  <c r="BT45" i="160"/>
  <c r="AV71" i="160"/>
  <c r="AV84" i="160" s="1"/>
  <c r="AV48" i="160"/>
  <c r="AV89" i="160"/>
  <c r="Y85" i="160"/>
  <c r="AW60" i="160"/>
  <c r="AW63" i="160" s="1"/>
  <c r="BR85" i="3"/>
  <c r="Z72" i="3" l="1"/>
  <c r="Z100" i="3" s="1"/>
  <c r="Z86" i="3"/>
  <c r="Z62" i="3"/>
  <c r="Z61" i="3"/>
  <c r="Z50" i="3"/>
  <c r="Z49" i="3"/>
  <c r="Z43" i="42"/>
  <c r="Z83" i="3"/>
  <c r="AW89" i="160"/>
  <c r="AV88" i="3"/>
  <c r="AV91" i="3"/>
  <c r="BT89" i="3"/>
  <c r="BS91" i="3"/>
  <c r="BS85" i="3"/>
  <c r="Z50" i="160"/>
  <c r="BS50" i="160"/>
  <c r="Z49" i="160"/>
  <c r="AV50" i="160"/>
  <c r="Z83" i="160"/>
  <c r="AV91" i="160"/>
  <c r="BT71" i="3"/>
  <c r="BT84" i="3" s="1"/>
  <c r="BT48" i="3"/>
  <c r="AV49" i="160"/>
  <c r="AW86" i="3"/>
  <c r="AW62" i="3"/>
  <c r="AW61" i="3"/>
  <c r="AW72" i="3"/>
  <c r="BT87" i="3"/>
  <c r="BT69" i="3"/>
  <c r="BT41" i="3"/>
  <c r="BT67" i="3" s="1"/>
  <c r="BS91" i="160"/>
  <c r="AW69" i="3"/>
  <c r="AW87" i="3"/>
  <c r="AW41" i="3"/>
  <c r="AW67" i="3" s="1"/>
  <c r="AW71" i="160"/>
  <c r="AW84" i="160" s="1"/>
  <c r="AW48" i="160"/>
  <c r="BT69" i="160"/>
  <c r="BT87" i="160"/>
  <c r="BT41" i="160"/>
  <c r="BT67" i="160" s="1"/>
  <c r="Z84" i="160"/>
  <c r="Z99" i="160"/>
  <c r="BS85" i="160"/>
  <c r="Z86" i="160"/>
  <c r="Z72" i="160"/>
  <c r="Z100" i="160" s="1"/>
  <c r="Z61" i="160"/>
  <c r="Z62" i="160"/>
  <c r="BT89" i="160"/>
  <c r="AV88" i="160"/>
  <c r="AV83" i="160"/>
  <c r="BS49" i="160"/>
  <c r="AW48" i="3"/>
  <c r="AW71" i="3"/>
  <c r="AW84" i="3" s="1"/>
  <c r="BT71" i="160"/>
  <c r="BT84" i="160" s="1"/>
  <c r="BT48" i="160"/>
  <c r="AW69" i="160"/>
  <c r="AW87" i="160"/>
  <c r="AW41" i="160"/>
  <c r="AW67" i="160" s="1"/>
  <c r="AV85" i="160"/>
  <c r="BT72" i="160"/>
  <c r="BT61" i="160"/>
  <c r="BT62" i="160"/>
  <c r="BT86" i="160"/>
  <c r="AW72" i="160"/>
  <c r="AW86" i="160"/>
  <c r="AW61" i="160"/>
  <c r="AW62" i="160"/>
  <c r="AW89" i="3"/>
  <c r="BT61" i="3"/>
  <c r="BT62" i="3"/>
  <c r="BT86" i="3"/>
  <c r="BT72" i="3"/>
  <c r="BT63" i="160"/>
  <c r="BS88" i="160"/>
  <c r="BS83" i="160"/>
  <c r="Z101" i="3" l="1"/>
  <c r="Z88" i="3"/>
  <c r="Z91" i="3"/>
  <c r="Z85" i="3"/>
  <c r="Z52" i="42" s="1"/>
  <c r="AW85" i="3"/>
  <c r="Z101" i="160"/>
  <c r="Z88" i="160"/>
  <c r="Z85" i="160"/>
  <c r="Z91" i="160"/>
  <c r="AW49" i="160"/>
  <c r="AW49" i="3"/>
  <c r="BT85" i="3"/>
  <c r="AW50" i="3"/>
  <c r="BT49" i="160"/>
  <c r="AW85" i="160"/>
  <c r="BT91" i="160"/>
  <c r="AW91" i="160"/>
  <c r="BT88" i="160"/>
  <c r="BT83" i="160"/>
  <c r="BT91" i="3"/>
  <c r="AW83" i="3"/>
  <c r="AW88" i="3"/>
  <c r="AW50" i="160"/>
  <c r="BT49" i="3"/>
  <c r="BT83" i="3"/>
  <c r="BT88" i="3"/>
  <c r="BT50" i="3"/>
  <c r="BT85" i="160"/>
  <c r="AW83" i="160"/>
  <c r="AW88" i="160"/>
  <c r="AW91" i="3"/>
  <c r="BT50" i="160"/>
</calcChain>
</file>

<file path=xl/sharedStrings.xml><?xml version="1.0" encoding="utf-8"?>
<sst xmlns="http://schemas.openxmlformats.org/spreadsheetml/2006/main" count="4726" uniqueCount="957">
  <si>
    <t>South Africa</t>
  </si>
  <si>
    <t>Results are displayed for:</t>
    <phoneticPr fontId="2" type="noConversion"/>
  </si>
  <si>
    <t>Time series of demographic estimates</t>
    <phoneticPr fontId="2" type="noConversion"/>
  </si>
  <si>
    <t>Perinatal transmission</t>
    <phoneticPr fontId="2" type="noConversion"/>
  </si>
  <si>
    <t>Changes made by:</t>
    <phoneticPr fontId="2" type="noConversion"/>
  </si>
  <si>
    <t>Rate</t>
    <phoneticPr fontId="2" type="noConversion"/>
  </si>
  <si>
    <t>Year</t>
    <phoneticPr fontId="2" type="noConversion"/>
  </si>
  <si>
    <t>Births, total region (proxy for number of pregnant women</t>
    <phoneticPr fontId="2" type="noConversion"/>
  </si>
  <si>
    <t>Model results over a 10-year trajectory</t>
    <phoneticPr fontId="2" type="noConversion"/>
  </si>
  <si>
    <t>Demographic estimates</t>
    <phoneticPr fontId="2" type="noConversion"/>
  </si>
  <si>
    <t>Model is currently using data for:</t>
    <phoneticPr fontId="2" type="noConversion"/>
  </si>
  <si>
    <t>Years</t>
    <phoneticPr fontId="2" type="noConversion"/>
  </si>
  <si>
    <t>Available data</t>
    <phoneticPr fontId="2" type="noConversion"/>
  </si>
  <si>
    <t>List data</t>
    <phoneticPr fontId="2" type="noConversion"/>
  </si>
  <si>
    <t>KH</t>
  </si>
  <si>
    <t>Total number of live births</t>
  </si>
  <si>
    <t xml:space="preserve">  </t>
  </si>
  <si>
    <t>Syphilis prevalence</t>
  </si>
  <si>
    <t>Possible outcome rates</t>
  </si>
  <si>
    <t>Normal birth</t>
  </si>
  <si>
    <t>Stillbirth</t>
  </si>
  <si>
    <t>Neonatal death</t>
  </si>
  <si>
    <t>Congenital syphilis</t>
  </si>
  <si>
    <t>Number of normal births</t>
  </si>
  <si>
    <t>Number of stillbirths</t>
  </si>
  <si>
    <t>Number of neonatal deaths</t>
  </si>
  <si>
    <t>Model generated estimates of mother demographics</t>
  </si>
  <si>
    <t>Model generated estimates of child status</t>
  </si>
  <si>
    <t>Number of infants with congenital syphilis</t>
  </si>
  <si>
    <t>Rates - not treated</t>
  </si>
  <si>
    <t>Syphilis positive</t>
  </si>
  <si>
    <t>Syphilis negative</t>
  </si>
  <si>
    <t>Premature/low birth weight</t>
  </si>
  <si>
    <t>Number of premature/low birth weight</t>
  </si>
  <si>
    <t>Diagnostic test correction factor</t>
  </si>
  <si>
    <t>Cases averted</t>
  </si>
  <si>
    <t>11. Total cases averted</t>
  </si>
  <si>
    <t>5. Infant status</t>
  </si>
  <si>
    <t>The user should specify both (a) a target rate for the parameter of interest and (b) a year by which this target should be realised</t>
  </si>
  <si>
    <t>There are three parameters which are modifiable by the user</t>
  </si>
  <si>
    <t>•</t>
  </si>
  <si>
    <t>Addition of a user manual</t>
  </si>
  <si>
    <t>Addition of baseline population case rates</t>
  </si>
  <si>
    <t>Parameter inputs - early vs late split</t>
  </si>
  <si>
    <t>Cases averted due to penicillin</t>
  </si>
  <si>
    <t>Quantity of penicillin used</t>
  </si>
  <si>
    <t>Addition of acute infection</t>
  </si>
  <si>
    <t>Initial tool setup</t>
  </si>
  <si>
    <t>Case rates for non-infected women (still need accurate data, using proxy)</t>
  </si>
  <si>
    <t>Citations</t>
  </si>
  <si>
    <t>Citation</t>
  </si>
  <si>
    <t>Qin J, Yang T, Xiao S, Tan H, Feng T, Fu H (2014) Reported Estimates of Adverse Pregnancy Outcomes among Women with and without Syphilis: A Systematic Review and Meta-Analysis. PLoS ONE 9(7): e102203. </t>
  </si>
  <si>
    <t>[1]</t>
  </si>
  <si>
    <t>[2]</t>
  </si>
  <si>
    <t>NA</t>
  </si>
  <si>
    <t>Taylor MM; Nurse-Findlay, S; Zhang, X; Hedman, L; Kamb, ML; Broutet, N; Kiarie, J (2016) Estimating benzathine penicillin need fo the treatment of pregnant women diagnosed with syphilis during antenatal care in high-morbidity countries. PLoS ONE 11(7): e0159483</t>
  </si>
  <si>
    <t>[3]</t>
  </si>
  <si>
    <t>World Health Organization. Global AIDS response progress reporting 2015.p 24–25. Available: http://www.unaids.org/sites/default/files/media_asset/JC2702_GARPR2015guidelines_en.pdf</t>
  </si>
  <si>
    <t>[4]</t>
  </si>
  <si>
    <t>[5]</t>
  </si>
  <si>
    <t>[6]</t>
  </si>
  <si>
    <t>[7]</t>
  </si>
  <si>
    <t>World Health Organization. Report on Global Sexually Transmitted Infection Surveillance, 2015: 52–9.</t>
  </si>
  <si>
    <t>[8]</t>
  </si>
  <si>
    <t>Gomez, GB; Kamb, ML; Newman, LM; Mark, J; Broutet, N; Hawkes, SJ; (2013) Untreated maternal syphilis and adverse outcomes of pregnancy: a systematic review and meta-analysis. Bull World Health Organ , 91 (3) pp. 217-226.</t>
  </si>
  <si>
    <t>Ham DC, Lin C, Newman L, Wijesooriya NS, Kamb M. Improving global estimates of syphilis in pregnancy by diagnostic test type: A systematic review and meta-analysis. Int J Obs Gyn. 2015;130:S10–S14.</t>
  </si>
  <si>
    <t>[9]</t>
  </si>
  <si>
    <t>Provides estimates of proportion with active syphilis. Uses correction factor of 52.2% for countries using non-treponemal testing only, 53.6% for countries using only treponemal testing, and 68.6% for countries not reporting test type</t>
  </si>
  <si>
    <t>Lawn, Joy E et al. Stillbirths: rates, risk factors, and acceleration towards 2030. The Lancet , Volume 387 , Issue 10018 , 587 - 603</t>
  </si>
  <si>
    <t>[10]</t>
  </si>
  <si>
    <t>Number of congenital syphilis cases for treated women</t>
  </si>
  <si>
    <t>Step 6. View benzathine penicillin requirements</t>
  </si>
  <si>
    <t>Target overall testing rate</t>
  </si>
  <si>
    <t>Target rate of tested women treated</t>
  </si>
  <si>
    <t>Adverse birth outcomes in background population</t>
  </si>
  <si>
    <t>Country selection can be made using the drop down menu</t>
  </si>
  <si>
    <t>The effect of parameter changes upon birth events can be observed</t>
  </si>
  <si>
    <t>The effect of parameter changes upon benzathine penicillin requirements and cases averted can be observed</t>
  </si>
  <si>
    <t>Figure 3 displays the quantity of benzathing penicillin that would be required/used if testing and treatment was scaled up in accordance with specifications in Step 3</t>
  </si>
  <si>
    <r>
      <t>•</t>
    </r>
    <r>
      <rPr>
        <sz val="14"/>
        <color rgb="FF252525"/>
        <rFont val="Calibri"/>
        <family val="2"/>
      </rPr>
      <t> </t>
    </r>
  </si>
  <si>
    <t>03.04.17</t>
  </si>
  <si>
    <t>01.03.17</t>
  </si>
  <si>
    <t>26.02.17</t>
  </si>
  <si>
    <t>05.02.17</t>
  </si>
  <si>
    <t>Update of graphical displays</t>
  </si>
  <si>
    <t>07.04.17</t>
  </si>
  <si>
    <t>Updating of results equations</t>
  </si>
  <si>
    <t>09.04.17</t>
  </si>
  <si>
    <t>Addition of citations page</t>
  </si>
  <si>
    <t>Aesthetics of 'main prediction tool' page</t>
  </si>
  <si>
    <t>This tool is designed to predict the case rates of congenital syphilis over a ten year time horizon. This tool uses user-inputted testing and treatment parameters to assess the effects of intervention scale-up upon birth outcomes</t>
  </si>
  <si>
    <t>12.04.17</t>
  </si>
  <si>
    <t>This page displays data for your country of interest which us used by the main prediction tool</t>
  </si>
  <si>
    <r>
      <t xml:space="preserve">Data on this page should </t>
    </r>
    <r>
      <rPr>
        <b/>
        <i/>
        <sz val="18"/>
        <color rgb="FFFF0000"/>
        <rFont val="Calibri"/>
        <family val="2"/>
      </rPr>
      <t>NOT BE MODIFIED</t>
    </r>
    <r>
      <rPr>
        <b/>
        <i/>
        <sz val="12"/>
        <color rgb="FF0000FF"/>
        <rFont val="Calibri"/>
        <family val="2"/>
      </rPr>
      <t xml:space="preserve"> by the user</t>
    </r>
  </si>
  <si>
    <t>although this is not advised (see Step 2b in the User Manual for more details)</t>
  </si>
  <si>
    <t xml:space="preserve">Some demographic parameters can be overidden by the user on the 'Data Assumptions - Demography' page, </t>
  </si>
  <si>
    <t>Citations for country-level data are reported and can be viewed on the 'Citations' tab</t>
  </si>
  <si>
    <t>Results for your selected testing and treatment coverages in Step 3 can be observed below</t>
  </si>
  <si>
    <t>[11]</t>
  </si>
  <si>
    <t>Global guidance on criteria and processes for validation: elimination of mother-to-child transmission of HIV and syphilis. World Health Organization. Available at: http://apps.who.int/iris/bitstream/10665/112858/1/9789241505888_eng.pdf</t>
  </si>
  <si>
    <t>Surveillance case of CS (WHO surveillance case definition)</t>
  </si>
  <si>
    <t>Congenital syphilis case</t>
  </si>
  <si>
    <t>Surveillance cases remaining with no outcome</t>
  </si>
  <si>
    <t>Percent of infants to treated women with an adverse birth outcome (not CS)</t>
  </si>
  <si>
    <t>Number of congenital syphilis cases for untreated women</t>
  </si>
  <si>
    <t>Percent of infants to untreated mothers withs an adverse birth outcome (not CS)</t>
  </si>
  <si>
    <t>Number of surveillance cases of CS (no adverse outcome, no CS)</t>
  </si>
  <si>
    <t>Percent of women with syphilis with an adverse birth outcome</t>
  </si>
  <si>
    <t>Women treated</t>
  </si>
  <si>
    <t>Women diagnosed but untreated</t>
  </si>
  <si>
    <t>Total check</t>
  </si>
  <si>
    <t>Rates - treated</t>
  </si>
  <si>
    <t>Rates - no syphilis</t>
  </si>
  <si>
    <t>Number of women tested</t>
  </si>
  <si>
    <t>Number of women treated</t>
  </si>
  <si>
    <t>10.05.17</t>
  </si>
  <si>
    <t>Update to only one stage of testing/treatment</t>
  </si>
  <si>
    <t>Neonatal deaths averted</t>
  </si>
  <si>
    <t>Stillbirths averted</t>
  </si>
  <si>
    <t>[12]</t>
  </si>
  <si>
    <t>Blencowe H, Cousens S, Kamb M, Berman S, Lawn JE (2011) Lives Saved Tool supplement detection and treatment of syphilis in pregnancy to reduce syphilis related stillbirths and neonatal mortality. BMC Public Health 11Suppl 3S9.</t>
  </si>
  <si>
    <t xml:space="preserve">The following box displays the number of adverse events averted due to benzathine penicillin use compared with no treatment. </t>
  </si>
  <si>
    <t>Results can be viewed for a particular year of interest by selecting the year from the drop-down menus on the right</t>
  </si>
  <si>
    <t>Box E displays the number of benzathine penicillin doses needed to treat all maternal syphilis cases at the specified tesing and treatment rates for each year of interest</t>
  </si>
  <si>
    <t>Zambia</t>
  </si>
  <si>
    <t>Zimbabwe</t>
  </si>
  <si>
    <t>Benin</t>
  </si>
  <si>
    <t>Ethiopia</t>
  </si>
  <si>
    <t>Eritrea</t>
  </si>
  <si>
    <t>Equatorial Guinea</t>
  </si>
  <si>
    <t>Gabon</t>
  </si>
  <si>
    <t>Ghana</t>
  </si>
  <si>
    <t>Guinea</t>
  </si>
  <si>
    <t>Kenya</t>
  </si>
  <si>
    <t>Liberia</t>
  </si>
  <si>
    <t>Madagascar</t>
  </si>
  <si>
    <t>Malawi</t>
  </si>
  <si>
    <t>Mali</t>
  </si>
  <si>
    <t>Mozambique</t>
  </si>
  <si>
    <t>Niger</t>
  </si>
  <si>
    <t>Nigeria</t>
  </si>
  <si>
    <t>Senegal</t>
  </si>
  <si>
    <t>Togo</t>
  </si>
  <si>
    <t>Tanzania</t>
  </si>
  <si>
    <t>Uganda</t>
  </si>
  <si>
    <t>23.05.17</t>
  </si>
  <si>
    <t>Minor cosmetic changes</t>
  </si>
  <si>
    <t>Addition of country data</t>
  </si>
  <si>
    <t>28.05.17</t>
  </si>
  <si>
    <t>Cabo Verde</t>
  </si>
  <si>
    <t>Mauritius</t>
  </si>
  <si>
    <t>Seychelles</t>
  </si>
  <si>
    <t>Democratic Republic of Congo</t>
  </si>
  <si>
    <t>Central African Republic</t>
  </si>
  <si>
    <t>United Nations, Population Division. The World Population Prospects - the 2015 revision. New York, 2015.</t>
  </si>
  <si>
    <t>31.05.17</t>
  </si>
  <si>
    <t>Update live birth estimates</t>
  </si>
  <si>
    <t>Update GARPR data</t>
  </si>
  <si>
    <t>02.06.17</t>
  </si>
  <si>
    <t>3. Mother's syphilis status</t>
  </si>
  <si>
    <t>Total number of adverse birth outcomes due to congenital syphilis</t>
  </si>
  <si>
    <t>Clinical congenital syphilis case rate per 100,000 live births for all pregnant women</t>
  </si>
  <si>
    <t>Total number of congenital syphilis cases (clinical and asymptomatic) ***</t>
  </si>
  <si>
    <t>Total CS cases averted</t>
  </si>
  <si>
    <t>Cuba</t>
  </si>
  <si>
    <t>Burundi</t>
  </si>
  <si>
    <t>Belarus</t>
  </si>
  <si>
    <t>Brazil</t>
  </si>
  <si>
    <t>Burkina Faso</t>
  </si>
  <si>
    <t>Cambodia</t>
  </si>
  <si>
    <t>Chile</t>
  </si>
  <si>
    <t>Colombia</t>
  </si>
  <si>
    <t>Dominican Republic</t>
  </si>
  <si>
    <t>Georgia</t>
  </si>
  <si>
    <t>Haiti</t>
  </si>
  <si>
    <t>India</t>
  </si>
  <si>
    <t>Jamaica</t>
  </si>
  <si>
    <t>Malaysia</t>
  </si>
  <si>
    <t>Mongolia</t>
  </si>
  <si>
    <t>Nepal</t>
  </si>
  <si>
    <t>Panama</t>
  </si>
  <si>
    <t>Papua New Guinea</t>
  </si>
  <si>
    <t>Paraguay</t>
  </si>
  <si>
    <t>Samoa</t>
  </si>
  <si>
    <t>Swaziland</t>
  </si>
  <si>
    <t>Thailand</t>
  </si>
  <si>
    <t>Ukraine</t>
  </si>
  <si>
    <t>Uruguay</t>
  </si>
  <si>
    <t>Venezuela</t>
  </si>
  <si>
    <t>06.06.17</t>
  </si>
  <si>
    <t>Addition of new country data</t>
  </si>
  <si>
    <t>1. ANC coverage</t>
  </si>
  <si>
    <t xml:space="preserve">6. Treated </t>
  </si>
  <si>
    <t>7. Not treated during pregnancy</t>
  </si>
  <si>
    <t>8. Total cases in women with syphilis</t>
  </si>
  <si>
    <t>9. Total cases in women without syphilis</t>
  </si>
  <si>
    <t>10. Case rates</t>
  </si>
  <si>
    <t>* An ANC coverage of 50% was used for countries without a reported coverage in GARPR</t>
  </si>
  <si>
    <t>Number of pregnant women attending at least one ANC visit</t>
  </si>
  <si>
    <t>Addition of ANC coverage parameter</t>
  </si>
  <si>
    <t>Addition of country ANC coverage data</t>
  </si>
  <si>
    <t>15.06.17</t>
  </si>
  <si>
    <t>22.06.17</t>
  </si>
  <si>
    <t>Addition of test type correction factor</t>
  </si>
  <si>
    <t>Addition of updated country data</t>
  </si>
  <si>
    <t>Number of pregnant women not attending at least one ANC visit</t>
  </si>
  <si>
    <t>Number of seropositive women not attending at least one ANC visit</t>
  </si>
  <si>
    <t>Number of seropositive women attending at least one ANC visit</t>
  </si>
  <si>
    <t>Number of seronegative attending at least one ANC visit</t>
  </si>
  <si>
    <t>Number of seronegative not attending at least one ANC visit</t>
  </si>
  <si>
    <t>Women tested and diagnosed as seropostive</t>
  </si>
  <si>
    <t>Women not tested who are seropositive</t>
  </si>
  <si>
    <t>3. Dynamics of women not attending at least one ANC visit</t>
  </si>
  <si>
    <t>Seropositive women at childbirth who haven't attended ANC</t>
  </si>
  <si>
    <t>Seronegative women at childbirth who haven't attended ANC</t>
  </si>
  <si>
    <t>Seronegative women tested</t>
  </si>
  <si>
    <t>Seronegative women untested</t>
  </si>
  <si>
    <t>Detailed outcomes</t>
  </si>
  <si>
    <t>Outcomes contributing to events</t>
  </si>
  <si>
    <t>Seropositive, treated</t>
  </si>
  <si>
    <t>Seropositive, not treated</t>
  </si>
  <si>
    <t>Seronegative</t>
  </si>
  <si>
    <t>6. Tests and benzathine penicillin doses administered</t>
  </si>
  <si>
    <t>5. Health outcomes</t>
  </si>
  <si>
    <t>Number of tests administered</t>
  </si>
  <si>
    <t>** 'Live births' includes women with and without syphilis</t>
  </si>
  <si>
    <t>28.06.17</t>
  </si>
  <si>
    <t>Modification of test type correction factor</t>
  </si>
  <si>
    <t>Addition of target lines to main prediction tool graphics</t>
  </si>
  <si>
    <t>Addition of Moldova, updates to Cuba and Thailand data</t>
  </si>
  <si>
    <t>Moldova</t>
  </si>
  <si>
    <t>Pregnant women who are seropositive before pregnancy</t>
  </si>
  <si>
    <t>Pregnant women who are seronegative before pregnancy</t>
  </si>
  <si>
    <t xml:space="preserve">Extension of predictions to 2030 </t>
  </si>
  <si>
    <t>10.07.17</t>
  </si>
  <si>
    <t>Scaling of prevalence so total cases match national incidence</t>
  </si>
  <si>
    <t>11.07.17</t>
  </si>
  <si>
    <t>Addition of scaled incidence rate using prevalence and duration</t>
  </si>
  <si>
    <t>*** Ham et al. (2015)[9] derive correction factors for four categories. Category 1: both non-treponemal and treponemal tests (100%). Category 2: non treponemal testing only (52.2%). Category 3: treponemal testing only, no confirmatory non-treponemal testing (53.6%). Category 4: test type not reported (68.6%).  Taylor et al. (2016) also apply these correction factors[3]. Data on test  type used on a country basis were available from Spectrum[13] and were therefore used in combination with Ham et al. to derive correction factors.</t>
  </si>
  <si>
    <t>12.07.17</t>
  </si>
  <si>
    <t>Updated testing type correction factors</t>
  </si>
  <si>
    <t>Auto-updating benzathine penicillin y-axis graph</t>
  </si>
  <si>
    <t>** A treatment coverage of 50% was used for countries without reported coverage in GARPR</t>
  </si>
  <si>
    <t>Seronegative women</t>
  </si>
  <si>
    <t>Treated women with aymptomatic syphilis</t>
  </si>
  <si>
    <t>Diagnosed, untreated women with aymptomatic syphilis</t>
  </si>
  <si>
    <t>Untested women with aymptomatic syphilis</t>
  </si>
  <si>
    <t>Seropositive women not attending ANC with aymptomatic syphilis</t>
  </si>
  <si>
    <t>Seropositive, treated, aymptomatic syphilis</t>
  </si>
  <si>
    <t>Seropositive, diagnosed, untreated, aymptomatic syphilis</t>
  </si>
  <si>
    <t>Seropositive, undiagnosed, aymptomatic syphilis</t>
  </si>
  <si>
    <t>Treated women with live syphilis</t>
  </si>
  <si>
    <t>Diagnosed, untreated women with live syphilis</t>
  </si>
  <si>
    <t>Untested women with live syphilis</t>
  </si>
  <si>
    <t>Seropositive women not attending ANC with live syphilis</t>
  </si>
  <si>
    <t>Seropositive, treated, live syphilis</t>
  </si>
  <si>
    <t>Seropositive, diagnosed, untreated, live syphilis</t>
  </si>
  <si>
    <t>Seropositive, undiagnosed, live syphilis</t>
  </si>
  <si>
    <t>Seropositive, not live, treated as seronegative</t>
  </si>
  <si>
    <t>Total number of adverse birth outcomes (not including CS, includes live and aymptomatic syphilis)</t>
  </si>
  <si>
    <t>Clinincal Congenital Syphilis cases (includes live and aymptomatic syphilis)</t>
  </si>
  <si>
    <t>Estimated congenital syphilis case rate per 100,000 live births (includes stillbirths, neonatal death, premature/LBW, clinical CS and surveillance cases. Cases are events ocurring in women with live syphilis)</t>
  </si>
  <si>
    <t>Total number of congenital syphilis cases to women with live syphilis (clinical and surveillance and adverse)</t>
  </si>
  <si>
    <t>Number of adverse birth outcomes to women with live syphilis (not including CS)</t>
  </si>
  <si>
    <r>
      <t xml:space="preserve">Number of </t>
    </r>
    <r>
      <rPr>
        <b/>
        <sz val="12"/>
        <rFont val="Calibri"/>
        <family val="2"/>
      </rPr>
      <t>normal births</t>
    </r>
    <r>
      <rPr>
        <sz val="12"/>
        <rFont val="Calibri"/>
        <family val="2"/>
      </rPr>
      <t xml:space="preserve"> to mothers with</t>
    </r>
    <r>
      <rPr>
        <sz val="12"/>
        <rFont val="Calibri"/>
        <family val="2"/>
      </rPr>
      <t xml:space="preserve"> syphilis</t>
    </r>
  </si>
  <si>
    <r>
      <t xml:space="preserve">Number of </t>
    </r>
    <r>
      <rPr>
        <b/>
        <sz val="12"/>
        <rFont val="Calibri"/>
        <family val="2"/>
      </rPr>
      <t xml:space="preserve">stillbirths </t>
    </r>
    <r>
      <rPr>
        <sz val="12"/>
        <rFont val="Calibri"/>
        <family val="2"/>
      </rPr>
      <t>to mothers with</t>
    </r>
    <r>
      <rPr>
        <b/>
        <sz val="12"/>
        <rFont val="Calibri"/>
        <family val="2"/>
      </rPr>
      <t xml:space="preserve"> </t>
    </r>
    <r>
      <rPr>
        <sz val="12"/>
        <rFont val="Calibri"/>
        <family val="2"/>
      </rPr>
      <t>syphilis</t>
    </r>
  </si>
  <si>
    <r>
      <t xml:space="preserve">Number of </t>
    </r>
    <r>
      <rPr>
        <b/>
        <sz val="12"/>
        <rFont val="Calibri"/>
        <family val="2"/>
      </rPr>
      <t xml:space="preserve">neonatal deaths </t>
    </r>
    <r>
      <rPr>
        <sz val="12"/>
        <rFont val="Calibri"/>
        <family val="2"/>
      </rPr>
      <t>to mothers with</t>
    </r>
    <r>
      <rPr>
        <b/>
        <sz val="12"/>
        <rFont val="Calibri"/>
        <family val="2"/>
      </rPr>
      <t xml:space="preserve"> </t>
    </r>
    <r>
      <rPr>
        <sz val="12"/>
        <rFont val="Calibri"/>
        <family val="2"/>
      </rPr>
      <t>syphilis</t>
    </r>
  </si>
  <si>
    <r>
      <t xml:space="preserve">Number of </t>
    </r>
    <r>
      <rPr>
        <b/>
        <sz val="12"/>
        <rFont val="Calibri"/>
        <family val="2"/>
      </rPr>
      <t>premature/low birth weight</t>
    </r>
    <r>
      <rPr>
        <sz val="12"/>
        <rFont val="Calibri"/>
        <family val="2"/>
      </rPr>
      <t xml:space="preserve"> to mothers with </t>
    </r>
    <r>
      <rPr>
        <sz val="12"/>
        <rFont val="Calibri"/>
        <family val="2"/>
      </rPr>
      <t>syphilis</t>
    </r>
  </si>
  <si>
    <r>
      <t xml:space="preserve">Number of </t>
    </r>
    <r>
      <rPr>
        <b/>
        <sz val="12"/>
        <rFont val="Calibri"/>
        <family val="2"/>
      </rPr>
      <t xml:space="preserve">clinical congenital syphilis </t>
    </r>
    <r>
      <rPr>
        <sz val="12"/>
        <rFont val="Calibri"/>
        <family val="2"/>
      </rPr>
      <t>cases to mothers with syphilis</t>
    </r>
  </si>
  <si>
    <r>
      <t xml:space="preserve">Number of </t>
    </r>
    <r>
      <rPr>
        <b/>
        <sz val="12"/>
        <rFont val="Calibri"/>
        <family val="2"/>
      </rPr>
      <t xml:space="preserve">asymptomatic congenital syphilis cases </t>
    </r>
    <r>
      <rPr>
        <sz val="12"/>
        <rFont val="Calibri"/>
        <family val="2"/>
      </rPr>
      <t>to mothers with live syphilis (WHO surveillance case definition)</t>
    </r>
  </si>
  <si>
    <t>1st trimester</t>
  </si>
  <si>
    <t>2nd trimester</t>
  </si>
  <si>
    <t>3rd trimester</t>
  </si>
  <si>
    <t>Estimated congenital syphilis case rate per 100,000 live births in treated women</t>
  </si>
  <si>
    <t>Estimated clinical congenital syphilis case rate per 100,000 live births in untreated women</t>
  </si>
  <si>
    <r>
      <t xml:space="preserve">Number of </t>
    </r>
    <r>
      <rPr>
        <b/>
        <sz val="12"/>
        <rFont val="Calibri"/>
        <family val="2"/>
      </rPr>
      <t xml:space="preserve">stillbirths </t>
    </r>
    <r>
      <rPr>
        <sz val="12"/>
        <rFont val="Calibri"/>
        <family val="2"/>
      </rPr>
      <t>to mothers with asymptomatic</t>
    </r>
    <r>
      <rPr>
        <b/>
        <sz val="12"/>
        <rFont val="Calibri"/>
        <family val="2"/>
      </rPr>
      <t xml:space="preserve"> </t>
    </r>
    <r>
      <rPr>
        <sz val="12"/>
        <rFont val="Calibri"/>
        <family val="2"/>
      </rPr>
      <t>syphilis</t>
    </r>
  </si>
  <si>
    <r>
      <t xml:space="preserve">Number of </t>
    </r>
    <r>
      <rPr>
        <b/>
        <sz val="12"/>
        <rFont val="Calibri"/>
        <family val="2"/>
      </rPr>
      <t xml:space="preserve">neonatal deaths </t>
    </r>
    <r>
      <rPr>
        <sz val="12"/>
        <rFont val="Calibri"/>
        <family val="2"/>
      </rPr>
      <t>to mothers with asymptomatic</t>
    </r>
    <r>
      <rPr>
        <b/>
        <sz val="12"/>
        <rFont val="Calibri"/>
        <family val="2"/>
      </rPr>
      <t xml:space="preserve"> </t>
    </r>
    <r>
      <rPr>
        <sz val="12"/>
        <rFont val="Calibri"/>
        <family val="2"/>
      </rPr>
      <t>syphilis</t>
    </r>
  </si>
  <si>
    <r>
      <t xml:space="preserve">Number of </t>
    </r>
    <r>
      <rPr>
        <b/>
        <sz val="12"/>
        <rFont val="Calibri"/>
        <family val="2"/>
      </rPr>
      <t>premature/low birth weight</t>
    </r>
    <r>
      <rPr>
        <sz val="12"/>
        <rFont val="Calibri"/>
        <family val="2"/>
      </rPr>
      <t xml:space="preserve"> to mothers with asymptomatic syphilis</t>
    </r>
  </si>
  <si>
    <r>
      <t xml:space="preserve">Number of </t>
    </r>
    <r>
      <rPr>
        <b/>
        <sz val="12"/>
        <rFont val="Calibri"/>
        <family val="2"/>
      </rPr>
      <t xml:space="preserve">clinical congenital syphilis </t>
    </r>
    <r>
      <rPr>
        <sz val="12"/>
        <rFont val="Calibri"/>
        <family val="2"/>
      </rPr>
      <t>cases to mothers with asymptomatic syphilis</t>
    </r>
  </si>
  <si>
    <t>Testing coverage</t>
  </si>
  <si>
    <t>Treatment coverage</t>
  </si>
  <si>
    <t>30.07.17</t>
  </si>
  <si>
    <t>Addition of past projections for Mongolia, Colombia and Cuba</t>
  </si>
  <si>
    <t>11.09.17</t>
  </si>
  <si>
    <t>Addition of past projection graphs</t>
  </si>
  <si>
    <t>Update of Malaysia data</t>
  </si>
  <si>
    <t>19.09.17</t>
  </si>
  <si>
    <t>2. Overall testing rate</t>
  </si>
  <si>
    <t>3. Overall treatment rate</t>
  </si>
  <si>
    <t>Add function controlling transmission in treated for forward projections</t>
  </si>
  <si>
    <t>26.09.17</t>
  </si>
  <si>
    <t>Risk scaled by gestational week according to  ((0.0021*EXP(WEEK^0.5))</t>
  </si>
  <si>
    <t xml:space="preserve">Assumption that gestational week in past projections is constant </t>
  </si>
  <si>
    <t>22.01.18</t>
  </si>
  <si>
    <t>Update for 2018</t>
  </si>
  <si>
    <t>1 dose/case</t>
  </si>
  <si>
    <t>2 doses/case</t>
  </si>
  <si>
    <t>3 doses/case</t>
  </si>
  <si>
    <t>Addition of number of doses/case feature for benzathin penicillin</t>
  </si>
  <si>
    <t>09.02.18</t>
  </si>
  <si>
    <t>Locking feature on sheets</t>
  </si>
  <si>
    <t>Average gestational week of first treatment</t>
  </si>
  <si>
    <t>ANC1 Coverage</t>
  </si>
  <si>
    <t>Number of BPG doses needed (2 per case)</t>
  </si>
  <si>
    <t>Number of BPG doses needed (1 per case)</t>
  </si>
  <si>
    <t>Number of BPG doses needed (3 per case)</t>
  </si>
  <si>
    <t>Past data will then be displayed for your country</t>
  </si>
  <si>
    <t>(Box A) Modifiable testing and and treatment parameters</t>
  </si>
  <si>
    <t>(Box B) Estimates generated by the prediction tool</t>
  </si>
  <si>
    <t>(Figures 2a and 2b) Trends in congenital syphilis case rate and case numbers</t>
  </si>
  <si>
    <t>Parameters of interest can be modified on the 'Main Prediction Tool' under Step 1: Modify testing and treatment parameters</t>
  </si>
  <si>
    <t>Parmeters which can be modified are listed in Box A</t>
  </si>
  <si>
    <t>View preliminary results</t>
  </si>
  <si>
    <t>Congenital syphilis case numbers and case rates can be observed in Box A</t>
  </si>
  <si>
    <t>Figures 2a and 2b display the trends in the congenital syphilis case rate per 100,000 births and the congenital syphilis case numbers respectively</t>
  </si>
  <si>
    <t>Graphical displays in will automatically update with user modifications in Step 1</t>
  </si>
  <si>
    <t>Figure 3 displays the change in birth outcome numbers over time</t>
  </si>
  <si>
    <t>(Box C) Cases averted due to benzathine penicillin use</t>
  </si>
  <si>
    <t>Displays in Step 3 will automatically update with user modifications in Step 1</t>
  </si>
  <si>
    <t>The effect of parameter changes upon benzathine penicillin requirements can be observed</t>
  </si>
  <si>
    <t>(Figure 5) Number of benzathine penicillin doses needed to treat all maternal syphilis cases</t>
  </si>
  <si>
    <t>(Box D) Penicillin doses needed</t>
  </si>
  <si>
    <t>The quantities of benzathine penicillin needed to treat all maternal syphilis cases year by year is displayed in Figure 5</t>
  </si>
  <si>
    <t>Box D displays the exact number of doses required dependin on whether one, two or three doses are used per case</t>
  </si>
  <si>
    <t>22.02.18</t>
  </si>
  <si>
    <t>Redesign past data</t>
  </si>
  <si>
    <t>26.02.18</t>
  </si>
  <si>
    <t>Redesign country sheets</t>
  </si>
  <si>
    <t xml:space="preserve">Insert past data from GAM </t>
  </si>
  <si>
    <t>(Figure 4) Congenital syphilis (CS) cases averted due to increases in treatment</t>
  </si>
  <si>
    <t>(Figure 3) Trends in adverse birth outcomes (ABOs) including congenital syphilis (CS)</t>
  </si>
  <si>
    <t>Total number of infants with congenital syphilis (CS) *</t>
  </si>
  <si>
    <t>* Congenital syphilis  (CS) cases and rates include adverse birth outcomes due to CS as well as non-clinical CS (asymptomatic infant born to untreated mother) according to the WHO CS case definition.</t>
  </si>
  <si>
    <t>* By WHO case definition, all infants born to untreated women with syphilis are considered CS cases,  those without clinical signs (asymptomatic) at the time of delivery are called “non-clinical CS” .  WHO CS case definition can be found in the WHO Global Guidance on Criteria and Processes for Validation of Elimination of Mother to Child transmission of HIV and Syphilis. This number excludes infants that incur neonatal death, stillbirth or are born with clinical CS.</t>
  </si>
  <si>
    <t>** Non-clinical Cs cases (asymptomatic) born to untreated women (CS cases by WHO case definition) are also included</t>
  </si>
  <si>
    <t>** By WHO case definition, all infants born to untreated women with syphilis are considered CS cases,  those without clinical signs (asymptomatic) at the time of delivery are called “non-clinical CS” .  WHO CS case definition can be found in the WHO Global Guidance on Criteria and Processes for Validation of Elimination of Mother to Child transmission of HIV and Syphilis. This number excludes infants that incur neonatal death, stillbirth or are born with clinical CS.</t>
  </si>
  <si>
    <t>Non-clinical congenital syphilis (CS) cases averted *</t>
  </si>
  <si>
    <t>Clinical congenital syphilis (CS) cases averted</t>
  </si>
  <si>
    <t>Fiji</t>
  </si>
  <si>
    <t>09.03.18</t>
  </si>
  <si>
    <t>Addition of data for Fiji and Micronesia</t>
  </si>
  <si>
    <t>06.04.18</t>
  </si>
  <si>
    <t>Correction of calculations for increasing riskon data page</t>
  </si>
  <si>
    <t>Antigua &amp; Barbuda</t>
  </si>
  <si>
    <t>Argentina</t>
  </si>
  <si>
    <t>Bahamas</t>
  </si>
  <si>
    <t>Barbados</t>
  </si>
  <si>
    <t>Beliza</t>
  </si>
  <si>
    <t xml:space="preserve">Bolivia </t>
  </si>
  <si>
    <t>China</t>
  </si>
  <si>
    <t>Costa Rica</t>
  </si>
  <si>
    <t>Dominica</t>
  </si>
  <si>
    <t>Ecuador</t>
  </si>
  <si>
    <t>El Salvador</t>
  </si>
  <si>
    <t>Grenada</t>
  </si>
  <si>
    <t>Guatemala</t>
  </si>
  <si>
    <t>Federated States of Micronesia</t>
  </si>
  <si>
    <t>Guyana</t>
  </si>
  <si>
    <t>Honduras</t>
  </si>
  <si>
    <t>Nicaragua</t>
  </si>
  <si>
    <t>Peru</t>
  </si>
  <si>
    <t>Saint Kitts &amp; Nevis</t>
  </si>
  <si>
    <t>Saint Lucia</t>
  </si>
  <si>
    <t>Saint Vincent &amp; the Grenadines</t>
  </si>
  <si>
    <t>Sao Tome &amp; Principe</t>
  </si>
  <si>
    <t>Suriname</t>
  </si>
  <si>
    <t>Trinidad &amp; Tobago</t>
  </si>
  <si>
    <t>Addition of blank sheets for south and central america regions</t>
  </si>
  <si>
    <t>Belize</t>
  </si>
  <si>
    <t>[13]</t>
  </si>
  <si>
    <t>Global AIDS Monitoring 2018 - Indicators for monitoring the 2016 United Nations Political Declaration on Ending AIDS. World Health Organization.</t>
  </si>
  <si>
    <t>THESE DATA ARE FROM TRIAL AND NOT FROM UNDP</t>
  </si>
  <si>
    <t>09.07.18</t>
  </si>
  <si>
    <t>Addition of 2017 GAM data</t>
  </si>
  <si>
    <t>Sri Lanka</t>
  </si>
  <si>
    <t>Maldives</t>
  </si>
  <si>
    <t>Addition of Sri Lanka and Maldives</t>
  </si>
  <si>
    <t>08.09.18</t>
  </si>
  <si>
    <t>English</t>
  </si>
  <si>
    <t>Français</t>
  </si>
  <si>
    <t>Español</t>
  </si>
  <si>
    <t>Cet outil est conçu pour prédire les taux de cas de syphilis congénitale sur un horizon de dix ans. Cet outil utilise des paramètres de test et de traitement définis par l'utilisateur pour évaluer les effets de l'intensification de l'intervention sur l'issue de la naissance.</t>
  </si>
  <si>
    <t>Esta herramienta está diseñada para predecir las tasas de casos de sífilis congénita en un horizonte de diez años. Esta herramienta utiliza las pruebas introducidas por el usuario y los parámetros de tratamiento para evaluar los efectos de la ampliación de la intervención en los resultados del nacimiento</t>
  </si>
  <si>
    <t>[2] Department of Reproductive Health and Research, WHO, Geneva, Switzerland</t>
  </si>
  <si>
    <t>Parameter of interest</t>
  </si>
  <si>
    <t>Rate</t>
  </si>
  <si>
    <t>* Según la definición de casos de la OMS, todos los bebés nacidos de mujeres no tratadas con sífilis se consideran casos de CS, aquellos sin signos clínicos (asintomáticos) en el momento del parto se denominan "CS no clínicos". La definición de caso de CS de la OMS se puede encontrar en la Guía mundial de la OMS sobre criterios y procesos para la validación de la eliminación de la transmisión maternoinfantil del VIH y la sífilis. Este número excluye a los bebés que incurren en muerte neonatal, muerte fetal o nacen con CS clínica.</t>
  </si>
  <si>
    <t>* Selon la définition de cas de l'OMS, tous les nourrissons nés de femmes non traitées atteintes de syphilis sont considérés comme des cas de CS, ceux sans signes cliniques (asymptomatiques) au moment de l'accouchement sont appelés 'CS non cliniques'. La définition de cas CS de l’OMS se trouve dans le Guide général de l’OMS sur les critères et les processus de validation de l’élimination de la transmission du VIH et de la syphilis de la mère à l’enfant. Ce nombre exclut les nourrissons qui présentent un décès néonatal, une mortinaissance ou qui naissent avec un CS clinique.</t>
  </si>
  <si>
    <t>Doses needed per year for treatmet of pregnant women with syphilis (one dose of 2.4 MU BPG/woman)</t>
  </si>
  <si>
    <t>Year</t>
  </si>
  <si>
    <t>Model results over a 10-year trajectory</t>
  </si>
  <si>
    <t>Results are displayed for:</t>
  </si>
  <si>
    <t>Demographic estimates</t>
  </si>
  <si>
    <t>** Según la definición de caso de la OMS, todos los bebés nacidos de mujeres no tratadas con sífilis se consideran casos de CS, aquellos sin signos clínicos (asintomáticos) en el momento del parto se denominan "CS no clínicos". La definición de caso de CS de la OMS se puede encontrar en la Guía mundial de la OMS sobre criterios y procesos para la validación de la eliminación de la transmisión maternoinfantil del VIH y la sífilis. Este número excluye a los bebés que incurren en muerte neonatal, muerte fetal o nacen con CS clínica.</t>
  </si>
  <si>
    <t>** Selon la définition de cas de l'OMS, tous les nourrissons nés de femmes non traitées atteintes de syphilis sont considérés comme des cas de CS, ceux sans signes cliniques (asymptomatiques) au moment de l'accouchement sont appelés «CS non cliniques». La définition de cas CS de l’OMS se trouve dans le Guide général de l’OMS sur les critères et les processus de validation de l’élimination de la transmission du VIH et de la syphilis de la mère à l’enfant. Ce nombre exclut les nourrissons qui présentent un décès néonatal, une mortinaissance ou qui naissent avec un CS clinique.</t>
  </si>
  <si>
    <t>SELECT LANGUAGE:</t>
  </si>
  <si>
    <t xml:space="preserve">Cover </t>
  </si>
  <si>
    <t>Syphilis estimation tool</t>
  </si>
  <si>
    <t>Outil d'estimation de la syphilis</t>
  </si>
  <si>
    <t>Herramienta de estimación de la sífilis</t>
  </si>
  <si>
    <t>Esta herramienta fue desarrollada para la OMS par Katherine Heath [1] y Dra. Melanie Taylor [2].</t>
  </si>
  <si>
    <t>This tool was developed for the WHO by Ms. Katherine Heath[1] and Dr Melanie Taylor[2].</t>
  </si>
  <si>
    <t>Purpose of this tool</t>
  </si>
  <si>
    <t>Objectif de cet util</t>
  </si>
  <si>
    <t>Objetivo de esta herramienta</t>
  </si>
  <si>
    <t>Contact information</t>
  </si>
  <si>
    <t>Informations de contact</t>
  </si>
  <si>
    <t>Información del contacto</t>
  </si>
  <si>
    <t>Version control</t>
  </si>
  <si>
    <t>Contrôle de version</t>
  </si>
  <si>
    <t>Control de versiones</t>
  </si>
  <si>
    <t>User manual</t>
  </si>
  <si>
    <t>Manuel d'utilisation</t>
  </si>
  <si>
    <t>Manual de usario</t>
  </si>
  <si>
    <t>Guidelines for use</t>
  </si>
  <si>
    <t>Directives d'utilisation</t>
  </si>
  <si>
    <t>Pautas de uso</t>
  </si>
  <si>
    <t>The following guidelines are instructions for use of this tool in accordance with the numbered steps on the Main Prediction Tool tab</t>
  </si>
  <si>
    <t>Les instructions suivantes constituent des instructions pour l’utilisation de cet outil conformément aux étapes numérotées de l’Outil de prédiction principal</t>
  </si>
  <si>
    <t>Las siguientes pautas son instrucciones para el uso de esta herramienta de acuerdo con los pasos numerados en la 'Herramienta de Predicción Principal'</t>
  </si>
  <si>
    <t>Setup</t>
  </si>
  <si>
    <t>Preparar</t>
  </si>
  <si>
    <t>Installer</t>
  </si>
  <si>
    <t>Select your country of interest on the 'Data' tab</t>
  </si>
  <si>
    <t>Sélectionnez votre pays d'intérêt dans l'onglet 'Données'</t>
  </si>
  <si>
    <t>Seleccione su país de interés en la pestaña 'Datos'</t>
  </si>
  <si>
    <t>La sélection du pays peut être faite en utilisant le menu déroulant</t>
  </si>
  <si>
    <t>La selección del país se puede hacer usando el menú desplegable</t>
  </si>
  <si>
    <t>Les données passées seront alors affichées pour votre pays</t>
  </si>
  <si>
    <t>Los datos pasados se mostrarán en tu país</t>
  </si>
  <si>
    <t>Past congenital syphilis case rates are calculated using available country data are displayed in Figure 1</t>
  </si>
  <si>
    <t>Les taux de cas antérieurs de syphilis congénitale sont calculés à l'aide des données par pays disponibles, présentées à la figure 1</t>
  </si>
  <si>
    <t>Las tasas de casos de sífilis congénita pasadas se calculan utilizando los datos de los países disponibles que se muestran en la Figura 1</t>
  </si>
  <si>
    <t>You may modify past estimates using the drop down menus (or by entering numbers for live birth estimates) indicated in the outlined boxes underneath current reported estimates</t>
  </si>
  <si>
    <t>Vous pouvez modifier les estimations antérieures à l'aide des menus déroulants (ou en entrant des chiffres pour les estimations de naissances vivantes) indiquées dans les zones en-dessous des estimations actuelles déclarées</t>
  </si>
  <si>
    <t>Puede modificar las estimaciones anteriores utilizando los menús desplegables (o ingresando números para las estimaciones de nacimientos vivos) que se indican en los cuadros debajo de las estimaciones actuales reportadas</t>
  </si>
  <si>
    <t>Step 1</t>
  </si>
  <si>
    <t>Paso 1</t>
  </si>
  <si>
    <t>Étape 1</t>
  </si>
  <si>
    <t>Les paramètres d'intérêt peuvent être modifiés dans l'outil de prévision principal sous Étape 1: Modifier les paramètres de test et de traitement</t>
  </si>
  <si>
    <t>Los parámetros de interés se pueden modificar en la 'Herramienta principal de predicción' en el Paso 1: Modificar los parámetros de prueba y tratamiento</t>
  </si>
  <si>
    <t>Les paramètres pouvant être modifiés sont énumérés dans l'encadré A</t>
  </si>
  <si>
    <t>Los parámetros que pueden modificarse se enumeran en la casilla A</t>
  </si>
  <si>
    <t>Il y a trois paramètres qui sont modifiés par l'utilisateur</t>
  </si>
  <si>
    <t>Hay tres parámetros que son modificables por el usuario</t>
  </si>
  <si>
    <t>L'utilisateur doit spécifier à la fois (a) un taux cible pour le paramètre d'intérêt et (b) une année pour la réalisation de cet objectif</t>
  </si>
  <si>
    <t>El usuario debe especificar tanto (a) una tasa objetivo para el parámetro de interés como (b) un año para el cual se debe cumplir este objetivo</t>
  </si>
  <si>
    <t>Step2</t>
  </si>
  <si>
    <t>Étape 2</t>
  </si>
  <si>
    <t>Paso 2</t>
  </si>
  <si>
    <t>Voir les résultats préliminaires</t>
  </si>
  <si>
    <t>Ver resultados preliminares</t>
  </si>
  <si>
    <t>Le nombre de cas de syphilis congénitale et le nombre de cas peuvent être observés dans la case A</t>
  </si>
  <si>
    <t>Los números y los casos de sífilis congénita se pueden observar en el Cuadro A</t>
  </si>
  <si>
    <t>Les figures 2a et 2b montrent les tendances du taux de cas de syphilis congénitale pour 100 000 naissances et du nombre de cas de syphilis congénitale, respectivement</t>
  </si>
  <si>
    <t>Las figuras 2a y 2b muestran la tasa de casos de sífilis congénita por 100,000 nacimientos y los números de casos de sífilis congénita respectivamente</t>
  </si>
  <si>
    <t>Les affichages graphiques en seront automatiquement mis à jour avec les modifications de l'utilisateur à l'étape 1</t>
  </si>
  <si>
    <t>Las pantallas gráficas se actualizarán automáticamente con los cambios del usuario en el Paso 1</t>
  </si>
  <si>
    <t>Step 3</t>
  </si>
  <si>
    <t>Étape 3</t>
  </si>
  <si>
    <t>L'effet des changements de paramètres sur les événements de naissance peut être observé</t>
  </si>
  <si>
    <t>Paso 3</t>
  </si>
  <si>
    <t>Se puede observar el efecto de los cambios de parámetros en eventos de nacimiento</t>
  </si>
  <si>
    <t>La figure 3 montre l'évolution du nombre de résultats de naissance au fil du temps</t>
  </si>
  <si>
    <t>La Figura 3 muestra el cambio en los números de resultados de nacimiento a lo largo del tiempo</t>
  </si>
  <si>
    <t>Figure 4 displays the number of cases averted due to benzathine penicillin use. Case numbers by year can also be observed in Box C. This box compares case rates considering treatment scale up from Step 1 with what case rates would have been if testing and treatment rates remained unchanged from baseline</t>
  </si>
  <si>
    <t>La figure 4 présente le nombre de cas évités en raison de l'utilisation de benzathine pénicilline. Le nombre de cas par année peut également être observé dans la case C. Cet encadré compare les taux de cas en considérant l’échelle de traitement à partir de l’étape 1 avec ceux qu’auraient été les cas si les taux de dépistage et de traitement n’avaient pas changé par rapport au départ.</t>
  </si>
  <si>
    <t>La Figura 4 muestra el número de casos recomendados para el uso de penicilina benzatínica. Los números de casos por año se pueden observar en el recuadro C. Este recuadro compara las tasas de casos con las tasas de tratamiento desde el Paso 1 con las tasas de casos que hubieran sido si las pruebas y el tratamiento se mantuvieran sin cambios desde el inicio.</t>
  </si>
  <si>
    <t>Les affichages à l'étape 3 seront automatiquement mis à jour avec les modifications apportées à l'utilisateur à l'étape 1</t>
  </si>
  <si>
    <t>Las presentaciones en el Paso 3 se actualizarán automáticamente con los cambios del usuario en el Paso 1</t>
  </si>
  <si>
    <r>
      <t>•</t>
    </r>
    <r>
      <rPr>
        <sz val="14"/>
        <color rgb="FF252525"/>
        <rFont val="Calibri"/>
        <family val="2"/>
      </rPr>
      <t xml:space="preserve">    </t>
    </r>
  </si>
  <si>
    <t>Step 4</t>
  </si>
  <si>
    <t>Étape 4</t>
  </si>
  <si>
    <t>On peut observer l’effet des changements de paramètres sur les besoins en benzathine pénicilline</t>
  </si>
  <si>
    <t>Paso 4</t>
  </si>
  <si>
    <t>Se puede observar el efecto de los cambios de parámetros sobre los requerimientos de penicilina benzatina</t>
  </si>
  <si>
    <t>La figure 5 indique les quantités de benzathine pénicilline nécessaires pour traiter tous les cas de syphilis maternelle année par année</t>
  </si>
  <si>
    <t>En la Figura 5 se muestran las cantidades de penicilina benzatínica necesarias para tratar todos los casos de sífilis materna año por año</t>
  </si>
  <si>
    <t>La case D indique le nombre exact de doses nécessaires selon que l'on utilise une, deux ou trois doses par cas</t>
  </si>
  <si>
    <t>La caja D muestra el número exacto de dosis requeridas dependiendo de si se usan dos o tres dosis por caso</t>
  </si>
  <si>
    <t>Step 5</t>
  </si>
  <si>
    <t>Étape 5</t>
  </si>
  <si>
    <t>L'effet des changements de paramètres sur les besoins en benzathine pénicilline et les cas évités peut être observé</t>
  </si>
  <si>
    <t>Paso 5</t>
  </si>
  <si>
    <t>La figure 3 montre la quantité de benzathing pénicilline qui serait requise / utilisée si les tests et le traitement étaient développés conformément aux spécifications de l'étape 3</t>
  </si>
  <si>
    <t>La Figura 3 muestra la cantidad de penicilina benzatínica que se requeriría / usaría si la prueba y el tratamiento se ampliaran de acuerdo con las especificaciones del Paso 3</t>
  </si>
  <si>
    <t>La boîte E indique le nombre de benzathine pénicilline nécessaires pour traiter tous les cas de syphilis maternelle à la posologie et aux taux de traitement spécifiés pour chaque année d’intérêt</t>
  </si>
  <si>
    <t>El caja E muestra el número de dosis de penicilina benzatínicas necesarias para tratar todos los casos de sífilis materna a las tasas de prueba y tratamiento especificadas para cada año de interés</t>
  </si>
  <si>
    <t>Data</t>
  </si>
  <si>
    <t>Select your country</t>
  </si>
  <si>
    <t>Sélectionnez votre pays</t>
  </si>
  <si>
    <t>Seleccione su país</t>
  </si>
  <si>
    <t>Cette page affiche les données de votre pays d’intérêt que nous avons utilisées par le principal outil de prédiction</t>
  </si>
  <si>
    <t>Esta página muestra los datos de su país de interés que usamos con la herramienta de predicción principal</t>
  </si>
  <si>
    <t>The first row under each data heading displays the demographic data already pre-loaded in the tool for your country</t>
  </si>
  <si>
    <t>La première ligne sous chaque en-tête de données affiche les données démographiques déjà préchargées dans l'outil pour votre pays</t>
  </si>
  <si>
    <t>La primera fila debajo de cada encabezado de datos muestra los datos demográficos ya cargados en la herramienta para su país</t>
  </si>
  <si>
    <t>The second row under each data heading provides boxes where user data estimates can be entered if required</t>
  </si>
  <si>
    <t>La deuxième ligne sous chaque en-tête de données fournit des cases dans lesquelles les estimations de données utilisateur peuvent être entrées si nécessaire</t>
  </si>
  <si>
    <t>La segunda fila debajo de cada encabezado de datos proporciona casillas donde se pueden ingresar las estimaciones de los datos del usuario si es necesario</t>
  </si>
  <si>
    <t>Data entered by the user will override estimates already pre-loaded in the tool. To return to pre-loaded data, please select the blank entry at the top each dropdown menu</t>
  </si>
  <si>
    <t>Les données saisies par l'utilisateur remplaceront les estimations déjà préchargées dans l'outil. Pour revenir aux données pré-chargées, veuillez sélectionner l'entrée vide en haut de chaque menu déroulant</t>
  </si>
  <si>
    <t>Los datos ingresados por el usuario anularán las estimaciones ya cargadas en la herramienta. Para volver a los datos precargados, seleccione la entrada en blanco en la parte superior de cada menú desplegable</t>
  </si>
  <si>
    <t>Les citations pour les données au niveau des pays sont rapportées et peuvent être visualisées dans le menu 'Citations'</t>
  </si>
  <si>
    <t>Las citas para los datos a nivel de país se informan y se pueden ver en el menú 'Citas'</t>
  </si>
  <si>
    <t>Table 1. Country demographic data</t>
  </si>
  <si>
    <t>Tableau 1: Données démographiques par pays</t>
  </si>
  <si>
    <t>Tabla 1: Datos demográficos del país</t>
  </si>
  <si>
    <t>Año</t>
  </si>
  <si>
    <t>Année</t>
  </si>
  <si>
    <t>Citación</t>
  </si>
  <si>
    <t>Loaded estimate</t>
  </si>
  <si>
    <t>Estimation chargée</t>
  </si>
  <si>
    <t>Estimado cargado</t>
  </si>
  <si>
    <t>User estimate</t>
  </si>
  <si>
    <t>Estimation de l'utilisateur</t>
  </si>
  <si>
    <t>Estimación del usuario</t>
  </si>
  <si>
    <t>Births, total region (surrogate measure for number of pregnant women)</t>
  </si>
  <si>
    <t>Naissances, région totale (mesure de substitution pour le nombre de femmes enceintes)</t>
  </si>
  <si>
    <t>Nacimientos, región total (medida sustituta del número de mujeres embarazadas)</t>
  </si>
  <si>
    <t>Semaine de gestation moyenne du premier traitement</t>
  </si>
  <si>
    <t>Semana gestacional media del primer tratamiento</t>
  </si>
  <si>
    <t>Figure 1:  (a) Congenital syphilis case rate for your country of interest between 2012 and present (where data are available) and (b) Congenital syphilis case numbers between 2012 and present (where data available)</t>
  </si>
  <si>
    <t>Figure 1: (a) Taux de cas de syphilis congénitale pour votre pays d'intérêt entre 2012 et aujourd'hui (lorsque les données sont disponibles) et (b) Nombre de cas de syphilis congénitale entre 2012 et présent (si les données sont disponibles)</t>
  </si>
  <si>
    <t>Figura 1: (a) Tasa de casos de sífilis congénita para su país de interés entre 2012 y el presente (cuando haya datos disponibles) y (b) Cifras de casos de sífilis congénita entre 2012 y el presente (cuando haya datos disponibles)</t>
  </si>
  <si>
    <t>Figure labels</t>
  </si>
  <si>
    <t>Case rate per 100,000 live births</t>
  </si>
  <si>
    <t>Taux de cas pour 100 000 naissances vivantes</t>
  </si>
  <si>
    <t>Tasa de casos por 100,000 nacidos vivos</t>
  </si>
  <si>
    <t>Case numbers</t>
  </si>
  <si>
    <t>Numéros de cas</t>
  </si>
  <si>
    <t>Números de caso</t>
  </si>
  <si>
    <t>(2a) Congenital syphilis case rate per 100,000 live births</t>
  </si>
  <si>
    <t>(2a) Taux de cas de syphilis congénitale pour 100 000 naissances vivantes</t>
  </si>
  <si>
    <t>(2a) Tasa de casos de sífilis congénita por 100,000 nacidos vivos</t>
  </si>
  <si>
    <t>(2b) Trend in number of congenital syphilis cases*</t>
  </si>
  <si>
    <t>(2b) Tendance du nombre de cas de syphilis congénitale *</t>
  </si>
  <si>
    <t>(2b) Tendencia en el número de casos de sífilis congénita *</t>
  </si>
  <si>
    <t>3. Trends in adverse birth outcomes over time as testing and treatment coverage increase for women with syphilis</t>
  </si>
  <si>
    <t>3. Tendances d'évolution défavorable de l'accouchement au fil du temps, à mesure que la couverture du dépistage et du traitement augmente chez les femmes atteintes de syphilis</t>
  </si>
  <si>
    <t>3. Tendencias en los resultados adversos del nacimiento a lo largo del tiempo a medida que aumentan las pruebas y la cobertura de tratamiento para mujeres con sífilis</t>
  </si>
  <si>
    <t>4. Cases averted over time as testing and treatment coverage increase for women with syphilis</t>
  </si>
  <si>
    <t>4. Cas évités au fil du temps à mesure que le nombre de tests de dépistage et la couverture du traitement augmentent chez les femmes atteintes de syphilis</t>
  </si>
  <si>
    <t>4. Casos evitados a lo largo del tiempo a medida que aumentan las pruebas y la cobertura de tratamiento para mujeres con sífilis</t>
  </si>
  <si>
    <t>Main prediction tool</t>
  </si>
  <si>
    <t>Prediction tool</t>
  </si>
  <si>
    <t>Outil de prédiction principal</t>
  </si>
  <si>
    <t>Herramienta principal de predicción</t>
  </si>
  <si>
    <t>Your country is set to:</t>
  </si>
  <si>
    <t>Votre pays est configuré pour:</t>
  </si>
  <si>
    <t>Tu país está configurado para:</t>
  </si>
  <si>
    <t>Navigate to the 'Data' page to see and modify demographic estimates for your country of interest</t>
  </si>
  <si>
    <t>Accédez à la page 'Données' pour voir et modifier les estimations démographiques pour votre pays d'intérêt</t>
  </si>
  <si>
    <t>Vaya a la página de 'Datos' para ver y modificar las estimaciones demográficas de su país de interés</t>
  </si>
  <si>
    <t>Step 1. Modify testing and treatment parameters</t>
  </si>
  <si>
    <t>Étape 1: Modifier les paramètres de test et de traitement</t>
  </si>
  <si>
    <t>Paso 1: Modificar los parámetros de prueba y tratamiento</t>
  </si>
  <si>
    <t>(Encadré A) Tests modifiables et paramètres de traitement</t>
  </si>
  <si>
    <t>(Cuadro A) Pruebas modificables y parámetros de tratamiento</t>
  </si>
  <si>
    <t>Paramètre d'intérêt</t>
  </si>
  <si>
    <t>Parámetro de interés</t>
  </si>
  <si>
    <t>Taux</t>
  </si>
  <si>
    <t>Tarifa</t>
  </si>
  <si>
    <t>Target year</t>
  </si>
  <si>
    <t>Année cible</t>
  </si>
  <si>
    <t>Año meta</t>
  </si>
  <si>
    <t>1. ANC1 coverage</t>
  </si>
  <si>
    <t>1. Couverture ANC1</t>
  </si>
  <si>
    <t>1. Cobertura ANC1</t>
  </si>
  <si>
    <t>Current overall ANC1 coverage</t>
  </si>
  <si>
    <t>Couverture actuelle d'ANC1</t>
  </si>
  <si>
    <t>Cobertura ANC1 actual</t>
  </si>
  <si>
    <t>Please enter the percent of pregnant women attending at least one ANC visit below and the year by which this should be achieved</t>
  </si>
  <si>
    <t>Veuillez indiquer ci-dessous le pourcentage de femmes enceintes participant à au moins une visite à l'ANC et le année à laquelle cela devrait être réalisé</t>
  </si>
  <si>
    <t>Por favor ingrese el porcentaje de mujeres embarazadas que asisten al menos a una visita de ANC a continuación y el año en que esto se debe lograr</t>
  </si>
  <si>
    <t>Target overall ANC1 coverage</t>
  </si>
  <si>
    <t>Cibler la couverture d'ANC1</t>
  </si>
  <si>
    <t>Apunte a la cobertura general de ANC1</t>
  </si>
  <si>
    <t>2. Taux de test</t>
  </si>
  <si>
    <t>2. Tasa de prueba</t>
  </si>
  <si>
    <t>Current percentage of women tested</t>
  </si>
  <si>
    <t>Pourcentage actuel de femmes testées</t>
  </si>
  <si>
    <t>Porcentaje actual de mujeres evaluadas</t>
  </si>
  <si>
    <t>Please enter the percent of pregnancy women tested for syphilis in antenatal care below and the year by which this should be achieved</t>
  </si>
  <si>
    <t>Veuillez entrer le pourcentage de femmes enceintes testées pour la syphilis dans les soins prénatals ci-dessous et le année à laquelle cela devrait être réalisé</t>
  </si>
  <si>
    <t>Ingrese el porcentaje de mujeres embarazadas a las que se les realizó una prueba de sífilis en la atención prenatal a continuación y año en que esto se debe lograr</t>
  </si>
  <si>
    <t>3. Taux de traitement global</t>
  </si>
  <si>
    <t>3. Tasa global de tratamiento</t>
  </si>
  <si>
    <t>Current percentage of women treated</t>
  </si>
  <si>
    <t>Percentage actuel de femmes testées traitées</t>
  </si>
  <si>
    <t>Percetaje actual de mujeres examinadas tratadas</t>
  </si>
  <si>
    <t>Please enter the percent of pregnant women with a positive syphilis test that receive treatment with at least one dose of benzathine penicillin below and the year by which this should be achieved</t>
  </si>
  <si>
    <t>Veuillez entrer le pourcentage de femmes enceintes présentant un test de dépistage de la syphilis positif qui reçoivent un traitement par au moins une dose de benzathine pénicilline ci-dessous et l'année à laquelle cela doit être atteint</t>
  </si>
  <si>
    <t>Ingrese el porcentaje de mujeres embarazadas con una prueba de sífilis positiva que recibe tratamiento con al menos una dosis de penicilina benzatina a continuación y el año en que esto debe lograrse</t>
  </si>
  <si>
    <t>Taux de test cible</t>
  </si>
  <si>
    <t>Tasa de prueba objectivo</t>
  </si>
  <si>
    <t>Taux cible de femmes testées traitées</t>
  </si>
  <si>
    <t>Tasa objetivo de mujeres examinadas tratadas</t>
  </si>
  <si>
    <t>Step 2. View preliminary results</t>
  </si>
  <si>
    <t>Étape 2: Voir les résultats préliminaires</t>
  </si>
  <si>
    <t>Paso 2: Ver resultados preliminares</t>
  </si>
  <si>
    <t>(Encadré B) Estimations générées par l'outil de prévision</t>
  </si>
  <si>
    <t>(Cuadro B) Estimaciones generadas por la herramienta de predicción</t>
  </si>
  <si>
    <t>Les résultats des tests et couvertures de traitement sélectionnés à l'étape 3 peuvent être observés ci-dessous</t>
  </si>
  <si>
    <t>Los resultados de las coberturas de pruebas y tratamientos seleccionados en el Paso 3 se pueden observar a continuación</t>
  </si>
  <si>
    <t>Nombre total de nourrissons atteints de syphilis congénitale (SC) *</t>
  </si>
  <si>
    <t>Número total de lactantes con sífilis congénita (SC) *</t>
  </si>
  <si>
    <t>Select year to see estimate</t>
  </si>
  <si>
    <t>Sélectionner l'année pour voir l'estimation:</t>
  </si>
  <si>
    <t>Seleccione el año para ver la estimación:</t>
  </si>
  <si>
    <t>Congenital syphilis case rate per 100,000 live births **</t>
  </si>
  <si>
    <t>Taux de cas de syphilis congénitale pour 100 000 naissances vivantes **</t>
  </si>
  <si>
    <t>Tasa de casos de sífilis congénita por 100,000 nacidos vivos **</t>
  </si>
  <si>
    <t>* Les cas et les taux de syphilis congénitale (SC) incluent les issues de naissance défavorables dues à la SC ainsi que la SC non clinique (nourrisson asymptomatique né d'une mère non traitée) selon la définition de cas de SC de l'OMS.</t>
  </si>
  <si>
    <t>* Los casos y las tasas de sífilis congénita (SC) incluyen resultados de nacimiento adversos debidos a la SC, así como a SC no clínicos (lactantes asintomáticos nacidos de madres no tratadas) de acuerdo con la definición de caso de SC de la OMS.</t>
  </si>
  <si>
    <t>** Les 'naissances vivantes' incluent les femmes avec et sans syphilis</t>
  </si>
  <si>
    <t>** 'Nacimientos vivos' incluye mujeres con y sin sífilis</t>
  </si>
  <si>
    <t>(Figures 2a et 2b) Tendances du taux et du nombre de cas de syphilis congénitale</t>
  </si>
  <si>
    <t>(Figuras 2a y 2b) Tendencias en la tasa de casos de sífilis congénita y números de casos</t>
  </si>
  <si>
    <t>• La Figura 2b muestra el cambio en el número total de casos de sífilis congénita para su país de interés</t>
  </si>
  <si>
    <t>• La Figura 2a muestra el cambio en la tasa de casos de sífilis congénita por 100,000 nacidos vivos para su país de interés</t>
  </si>
  <si>
    <t>• La línea azul punteada azul representa el objetivo de eliminación de la OMS de 50 casos por 100,000 nacidos vivos</t>
  </si>
  <si>
    <t>• La línea de puntos roja muestra la tasa / números de casos proyectados si ANC1, las pruebas y el tratamiento permanecen como presentes</t>
  </si>
  <si>
    <t>• La figure 2a montre l'évolution du taux de cas de syphilis congénitale pour 100 000 naissances vivantes dans votre pays d'intérêt</t>
  </si>
  <si>
    <t>• La ligne bleue en pointillé bleu représente l'objectif d'élimination de 50 cas par 100 000 naissances vivantes de l'OMS</t>
  </si>
  <si>
    <t>• La ligne en pointillé rouge indique le nombre et le nombre de cas projetés si ANC1, les tests et le traitement restent tels quels</t>
  </si>
  <si>
    <t>• La figure 2b montre l'évolution du nombre total de cas de syphilis congénitale dans votre pays d'intérêt</t>
  </si>
  <si>
    <t>• Figure 2a shows the change in congenital syphilis case rate per 100,000 live births for your country of interest</t>
  </si>
  <si>
    <t>• The blue dotted blue line represents the WHO elimination target of 50 cases per 100,000 live births</t>
  </si>
  <si>
    <t>• The red dotted line shows the projected case rate/numbers if ANC1, testing and treatment remain as present</t>
  </si>
  <si>
    <t>• Figure 2b shows the change in the total number of congenital syphilis cases for your country of interest</t>
  </si>
  <si>
    <t>Étape 5: Visualisez les effets du dépistage et du traitement sur les résultats de l'accouchement</t>
  </si>
  <si>
    <t>Paso 5: Ver los efectos de las pruebas y el tratamiento a escala sobre los resultados del nacimiento</t>
  </si>
  <si>
    <t>(Figure 3) Tendances concernant les issues défavorables à la naissance, y compris la syphilis congénitale</t>
  </si>
  <si>
    <t>(Figura 3) Tendencias en los resultados de nacimiento adversos (ABO), incluida la sífilis congénita (CS)</t>
  </si>
  <si>
    <t>(Figure 4) Cas de syphilis congénitale (SC) évités en raison d'une augmentation du traitement</t>
  </si>
  <si>
    <t>(Figura 4) Casos de sífilis congénita (SC) evitados debido a aumentos en el tratamiento</t>
  </si>
  <si>
    <t>The following graph shows the number of each birth outcome over time. The trend can change as a result of treatment scale up (modifiable in Step 3)</t>
  </si>
  <si>
    <t>Le graphique suivant montre le nombre de chaque résultat de naissance au fil du temps. La tendance peut changer à la suite de l’extension du traitement (modifiable à l’étape 3)</t>
  </si>
  <si>
    <t>El siguiente gráfico muestra el número de resultados de cada nacimiento a lo largo del tiempo. La tendencia puede cambiar como resultado de la ampliación del tratamiento (modificable en el Paso 3)</t>
  </si>
  <si>
    <t>L'encadré suivant indique le nombre d'événements indésirables évités grâce à l'utilisation de benzathine pénicilline par rapport à l'absence de traitement.</t>
  </si>
  <si>
    <t>El siguiente cuadro muestra el número de eventos adversos evitados debido al uso de penicilina benzatínica en comparación con ningún tratamiento.</t>
  </si>
  <si>
    <t>Les résultats peuvent être visualisés pour une année d'intérêt particulière en sélectionnant l'année dans les menus déroulants à droite</t>
  </si>
  <si>
    <t>Los resultados se pueden ver para un año particular de interés seleccionando el año en los menús desplegables a la derecha</t>
  </si>
  <si>
    <t>(Encadré C) Cas évités en raison de l'utilisation de benzathine pénicilline</t>
  </si>
  <si>
    <t>(Cuadro C) Casos evitados por el uso de penicilina benzatínica</t>
  </si>
  <si>
    <t>Mortinaissances évitées</t>
  </si>
  <si>
    <t>Nacidos muertos evitados</t>
  </si>
  <si>
    <t>Décès néonatal évité</t>
  </si>
  <si>
    <t>Muertes neonatales evitadas</t>
  </si>
  <si>
    <t>Premature / low birth weight cases averted</t>
  </si>
  <si>
    <t>Les cas de poids prématuré / faible à la naissance évités</t>
  </si>
  <si>
    <t>Casos prematuros / bajo peso al nacer evitados</t>
  </si>
  <si>
    <t>Syphilis congénitale clinique (SC) évitée</t>
  </si>
  <si>
    <t>Casos clínicos de sífilis congénita (SC) evitados</t>
  </si>
  <si>
    <t>Syphilis congénitale (SC) non clinique évitée *</t>
  </si>
  <si>
    <t>Casos de sífilis congénita no clínica (SC) evitados *</t>
  </si>
  <si>
    <t>Total congenital syphilis (CS) cases averted **</t>
  </si>
  <si>
    <t>Nombre total de cas de syphilis congénitale (SC) évités **</t>
  </si>
  <si>
    <t>Total de casos de sífilis congénita (SC) evitados **</t>
  </si>
  <si>
    <t>** Les cas non cliniques de Cs (asymptomatiques) nés de femmes non traitées (cas CS par définition de cas de l'OMS) sont également inclus.</t>
  </si>
  <si>
    <t>** También se incluyen los casos no clínicos de C (asintomáticos) nacidos de mujeres no tratadas (casos de CS según la definición de caso de la OMS)</t>
  </si>
  <si>
    <t>Step 5. View effects of testing and treatment scale up upon birth outcomes</t>
  </si>
  <si>
    <t>Étape 6. Visualisez les besoins en benzathine pénicilline</t>
  </si>
  <si>
    <t>Paso 6. Ver los requisitos de penicilina benzatina</t>
  </si>
  <si>
    <t>(Figure 5) Nombre de doses de benzathine pénicilline nécessaires pour traiter tous les cas de syphilis maternelle</t>
  </si>
  <si>
    <t>(Figura 5) Número de dosis de penicilina benzatina necesarias para tratar todos los casos de sífilis materna</t>
  </si>
  <si>
    <t>5. Quantity of benzathine penicillin required over time as treatment coverage increases</t>
  </si>
  <si>
    <t>Doses nécessaires par an pour le traitement des femmes enceintes atteintes de syphilis (une dose de 2,4 MU BPG / femme)</t>
  </si>
  <si>
    <t>5. Quantité de benzathine pénicilline nécessaire au fil du temps, à mesure que la couverture du traitement augmente</t>
  </si>
  <si>
    <t>Dosis necesarias por año para el tratamiento de mujeres embarazadas con sífilis (una dosis de 2.4 MU BPG / mujer)</t>
  </si>
  <si>
    <t>5. Cantidad de penicilina benzatínica requerida con el tiempo a medida que aumenta la cobertura del tratamiento</t>
  </si>
  <si>
    <t>(Encadré D): doses de pénicilline nécessaires</t>
  </si>
  <si>
    <t>(Cuadro D) Dosis de penicilina necesarias</t>
  </si>
  <si>
    <t>Benzathine pénicilline: 1 dose / cas</t>
  </si>
  <si>
    <t>Dosis de penicilina benzatínicas necesarias: 1 dosis / caja</t>
  </si>
  <si>
    <t>Benzathine pénicilline: 3 doses / cas</t>
  </si>
  <si>
    <t>Benzathine pénicilline: 2 doses / cas</t>
  </si>
  <si>
    <t>Benzathine penicillin doses needed: 2 doses / case</t>
  </si>
  <si>
    <t>Benzathine penicillin doses needed: 1 dose / case</t>
  </si>
  <si>
    <t>Benzathine penicillin doses needed: 3 dose / case</t>
  </si>
  <si>
    <t>Dosis de penicilina benzatínicas necesarias: 3 dosis / caja</t>
  </si>
  <si>
    <t>Dosis de penicilina benzatínicas necesarias: 2 dosis / caja</t>
  </si>
  <si>
    <t>Results</t>
  </si>
  <si>
    <t>Résultats du modèle sur une trajectoire de 10 ans</t>
  </si>
  <si>
    <t>Resultados del modelo a lo largo de una trayectoria de 10 años</t>
  </si>
  <si>
    <t>Les résultats sont affichés pour:</t>
  </si>
  <si>
    <t>Los resultados se muestran para:</t>
  </si>
  <si>
    <t>Estimations démographiques</t>
  </si>
  <si>
    <t>Estimaciones demograficas</t>
  </si>
  <si>
    <t>Nombre total de naissances vivantes</t>
  </si>
  <si>
    <t>Número total de nacidos vivos</t>
  </si>
  <si>
    <t>Femmes enceintes séropositives avant la grossesse</t>
  </si>
  <si>
    <t>Mujeres embarazadas seropositivas antes del embarazo</t>
  </si>
  <si>
    <t>Femmes enceintes séronégatives avant la grossesse</t>
  </si>
  <si>
    <t>Embarazadas seronegativas antes del embarazo</t>
  </si>
  <si>
    <t>Estimations générées par le modèle des données démographiques de la mère</t>
  </si>
  <si>
    <t>Modelo generado estimaciones de la demografía madre</t>
  </si>
  <si>
    <t>Nombre de femmes enceintes assistant à au moins une visite d'ANC</t>
  </si>
  <si>
    <t>Número de mujeres embarazadas que asisten al menos a una visita de ANC</t>
  </si>
  <si>
    <t>2. Testing and treatment</t>
  </si>
  <si>
    <t xml:space="preserve">2. Test et traitement </t>
  </si>
  <si>
    <t>2. Pruebas y tratamiento</t>
  </si>
  <si>
    <t>Nombre de femmes testées</t>
  </si>
  <si>
    <t>Número de mujeres evaluadas</t>
  </si>
  <si>
    <t>Nombre de femmes traitées</t>
  </si>
  <si>
    <t>Número de mujeres tratadas</t>
  </si>
  <si>
    <t>3. Statut de la syphilis de la mère</t>
  </si>
  <si>
    <t>3. Estado de sífilis de la madre</t>
  </si>
  <si>
    <t>Syphilis vivante, séropositive, traitée</t>
  </si>
  <si>
    <t>Seropositive, not treated, live syphilis</t>
  </si>
  <si>
    <t>Syphilis vivante, séropositive, non traitée</t>
  </si>
  <si>
    <t>Seropositive, no live syphilis</t>
  </si>
  <si>
    <t>Séropositif, pas de syphilis vivante</t>
  </si>
  <si>
    <t>Seropositiva, no tratada, sífilis activa</t>
  </si>
  <si>
    <t>Seropositiva, tratada, sífilis activa</t>
  </si>
  <si>
    <t>Seropositiva, sin sífilis activa</t>
  </si>
  <si>
    <t>Séronégatif</t>
  </si>
  <si>
    <t>Seronegativo</t>
  </si>
  <si>
    <t>4. Drug administration</t>
  </si>
  <si>
    <t>4. Administration de médicaments</t>
  </si>
  <si>
    <t>4. Administración de drogas</t>
  </si>
  <si>
    <t>Benzathine pénicilline donnée (1 dose / cas)</t>
  </si>
  <si>
    <t>Benzathine penicillin doses given (1 dose / case)</t>
  </si>
  <si>
    <t>Dosis de penicilina benzatínica administradas (1 dosis / caja)</t>
  </si>
  <si>
    <t>Nombre de tests administrés</t>
  </si>
  <si>
    <t>Número de pruebas administradas</t>
  </si>
  <si>
    <t>5. Statut du nourrisson</t>
  </si>
  <si>
    <t>5. Estado infantil</t>
  </si>
  <si>
    <t>Number of normal births *</t>
  </si>
  <si>
    <t>Nombre de naissances normales *</t>
  </si>
  <si>
    <t>Nombre total de résultats défavorables à la naissance dus à la syphilis congénitale</t>
  </si>
  <si>
    <t>Número total de resultados adversos del nacimiento debido a la sífilis congénita</t>
  </si>
  <si>
    <t xml:space="preserve">     Number of stillbirths</t>
  </si>
  <si>
    <t xml:space="preserve">     Number of neonatal deaths</t>
  </si>
  <si>
    <t xml:space="preserve">     Number of premature / low birth weight</t>
  </si>
  <si>
    <t xml:space="preserve">     Number of infants with clinical congenital syphilis</t>
  </si>
  <si>
    <t xml:space="preserve">     Nombre de mortinaissances</t>
  </si>
  <si>
    <t xml:space="preserve">     Número de mortinatos</t>
  </si>
  <si>
    <t xml:space="preserve">     Número de muertes neonatales</t>
  </si>
  <si>
    <t xml:space="preserve">     Número de prematuro / bajo peso al nacer</t>
  </si>
  <si>
    <t xml:space="preserve">     Número de lactantes con sífilis congénita clínica</t>
  </si>
  <si>
    <t xml:space="preserve">     Nombre de décès néonataux</t>
  </si>
  <si>
    <t xml:space="preserve">     Nombre de poids prématuré / faible à la naissance</t>
  </si>
  <si>
    <t xml:space="preserve">     Nombre de nourrissons atteints de syphilis congénitale clinique</t>
  </si>
  <si>
    <t>Número de nacimientos normales *</t>
  </si>
  <si>
    <t>Nombre de cas de syphilis congénitale asymptomatique **</t>
  </si>
  <si>
    <t>Number of asymptomatic congenital syphilis cases **</t>
  </si>
  <si>
    <t>Número de casos de sífilis congénita asintomática **</t>
  </si>
  <si>
    <t>Nombre total de cas de syphilis congénitale (cliniques et asymptomatiques) ***</t>
  </si>
  <si>
    <t>Número total de casos de sífilis congénita (clínicos y asintomáticos) ***</t>
  </si>
  <si>
    <t>Taux de cas cliniques de syphilis congénitale pour 100 000 naissances vivantes pour toutes les femmes enceintes</t>
  </si>
  <si>
    <t>Tasa de casos clínicos de sífilis congénita por 100,000 nacidos vivos para todas las mujeres embarazadas</t>
  </si>
  <si>
    <t>* Normal births arise from treated women and women without syphilis</t>
  </si>
  <si>
    <t>* Les naissances normales surviennent chez des femmes traitées et des femmes sans syphilis</t>
  </si>
  <si>
    <t>* Los nacimientos normales surgen de mujeres tratadas y mujeres sin sífilis</t>
  </si>
  <si>
    <t>*** Non-clinical Cs cases (asymptomatic) born to untreated women (CS cases by WHO case definition) are also included</t>
  </si>
  <si>
    <t>*** Les cas non cliniques de Cs (asymptomatiques) nés de femmes non traitées (cas CS par définition de cas de l'OMS) sont également inclus.</t>
  </si>
  <si>
    <t>*** También se incluyen los casos no clínicos de C (asintomáticos) nacidos de mujeres no tratadas (casos de CS según la definición de caso de la OMS)</t>
  </si>
  <si>
    <t>Citas</t>
  </si>
  <si>
    <t>Tool translation to French and Spanish</t>
  </si>
  <si>
    <t>Mexico</t>
  </si>
  <si>
    <t>Syphilis prevalence in pregnant women</t>
  </si>
  <si>
    <t>Prevalencia de syphilis en embarazadas</t>
  </si>
  <si>
    <t>Prévalence de la syphilis dans les femmes enceintes</t>
  </si>
  <si>
    <t>Trep. only</t>
  </si>
  <si>
    <t>Trep. &amp; non-trep.</t>
  </si>
  <si>
    <t>Unknown</t>
  </si>
  <si>
    <t>Missing data?</t>
  </si>
  <si>
    <t>Trends in adverse birth outcomes over time as testing and treatment coverage increase for women with syphilis</t>
  </si>
  <si>
    <t xml:space="preserve">Tendances d'évolution défavorable de l'accouchement au fil du temps, à mesure que la couverture du dépistage et du traitement augmente chez les femmes </t>
  </si>
  <si>
    <t>Tendencias en los resultados adversos del nacimiento a lo largo del tiempo a medida que aumentan las pruebas y la cobertura de tratamiento para mujeres con sífilis</t>
  </si>
  <si>
    <t>Addition of 2018 GAM data</t>
  </si>
  <si>
    <t>Addition of 68.6% test-type correction factor prior to first GAM report</t>
  </si>
  <si>
    <t>Data - Additions</t>
  </si>
  <si>
    <t>Model predicted CS case rate</t>
  </si>
  <si>
    <t>User reported case rate</t>
  </si>
  <si>
    <t>Observed cases in country</t>
  </si>
  <si>
    <t>Number of reported cases</t>
  </si>
  <si>
    <t>Modèle prédit taux de cas de SC</t>
  </si>
  <si>
    <t>Taux de cas rapporté par l'utilisateur</t>
  </si>
  <si>
    <t>User reported case number</t>
  </si>
  <si>
    <t>Numéro de cas signalé par l'utilisateur</t>
  </si>
  <si>
    <t>Cas observés dans le pays</t>
  </si>
  <si>
    <t>Nombre de cas rapportés</t>
  </si>
  <si>
    <t> </t>
  </si>
  <si>
    <t>Objetivo de eliminación de la OMS</t>
  </si>
  <si>
    <t>Objectif d'élimination de l'OMS</t>
  </si>
  <si>
    <t>WHO elimination target</t>
  </si>
  <si>
    <t>Modèle prévu numéro de cas de SC</t>
  </si>
  <si>
    <t>Model predicted CS case number</t>
  </si>
  <si>
    <t>(a) Congenital syphilis case rate prior to 2019</t>
  </si>
  <si>
    <t>(b) Congenital syphilis case numbers prior to 2019</t>
  </si>
  <si>
    <t>(a) Taux de cas de syphilis congénitale avant 2019</t>
  </si>
  <si>
    <t>(b) Numéros de cas de syphilis congénitale antérieurs à 2019</t>
  </si>
  <si>
    <t>(a) Tasa de casos de sífilis congénita antes de 2019</t>
  </si>
  <si>
    <t>(b) Números de casos de sífilis congénita antes de 2019</t>
  </si>
  <si>
    <t>Addition of new Data page features</t>
  </si>
  <si>
    <t>Bolivia</t>
  </si>
  <si>
    <t>Cet outil a été développé pour l’OMS par Mme Katherine Heath [1] et Dr Melanie Taylor [2].</t>
  </si>
  <si>
    <t>Test type used</t>
  </si>
  <si>
    <t>Non-trep. only</t>
  </si>
  <si>
    <t>Loaded estimates</t>
  </si>
  <si>
    <t>User estimates</t>
  </si>
  <si>
    <t>Estimates to be used</t>
  </si>
  <si>
    <t>Casos de sífilis congénita reportados en el país</t>
  </si>
  <si>
    <t>Numero de casos reportados</t>
  </si>
  <si>
    <t>Tasa de casos de SC estimada por el modelo</t>
  </si>
  <si>
    <t>Tasa de casos de SC reportada por el país</t>
  </si>
  <si>
    <t>Número de casos de SC estimados por el modelo</t>
  </si>
  <si>
    <t>Número de casos de SC reportados por el país</t>
  </si>
  <si>
    <t>check for missing data</t>
  </si>
  <si>
    <t>Are there missing data?</t>
  </si>
  <si>
    <t>Data - Additional text</t>
  </si>
  <si>
    <t>Yes</t>
  </si>
  <si>
    <t>No</t>
  </si>
  <si>
    <t>Case rate from reported cases</t>
  </si>
  <si>
    <t>Sí</t>
  </si>
  <si>
    <t>Tasa de casos de casos reportados</t>
  </si>
  <si>
    <t>¿Hay datos faltantes?</t>
  </si>
  <si>
    <t>Tipo de prueba utilizada</t>
  </si>
  <si>
    <t>Oui</t>
  </si>
  <si>
    <t>Non</t>
  </si>
  <si>
    <t>Taux de cas parmi les cas signalés</t>
  </si>
  <si>
    <t>Y a-t-il des données manquantes?</t>
  </si>
  <si>
    <t>Type de test utilisé</t>
  </si>
  <si>
    <t xml:space="preserve">Enter observed CS case numbers below to compare with modeled estimates </t>
  </si>
  <si>
    <t>Entrez les numéros de cas observés ci-dessous pour les comparer aux estimations modélisées</t>
  </si>
  <si>
    <t>Ingrese los números de caso observados a continuación para compararlos con estimaciones modeladas</t>
  </si>
  <si>
    <t>Updating cover figure</t>
  </si>
  <si>
    <t>08.05.19</t>
  </si>
  <si>
    <t>14.03.19</t>
  </si>
  <si>
    <t>Correction of minor errors in calculationd data &amp; baseline results</t>
  </si>
  <si>
    <t>23.05.19</t>
  </si>
  <si>
    <t>Botswana</t>
  </si>
  <si>
    <t>Eswatini</t>
  </si>
  <si>
    <t>03.08.19</t>
  </si>
  <si>
    <t>Correction of Paraguay data</t>
  </si>
  <si>
    <t>Carry through user specified number of pregnant women for 2019 to future calculations</t>
  </si>
  <si>
    <t>01.07.19</t>
  </si>
  <si>
    <t>Updated charts for documentation</t>
  </si>
  <si>
    <t>Updated GAM data for Argentina and Dominican Republic</t>
  </si>
  <si>
    <t>* A value of 50% was used for countries without a reported coverage in GAM. These data are highlighted with italic red text.</t>
  </si>
  <si>
    <t>* Une valeur de 50% a été utilisée pour les pays pour lesquels aucune couverture n'a été déclarée dans le GAM.  Ces données sont surlignées en italique rouge.</t>
  </si>
  <si>
    <t>* Se utilizó un valor del 50% para los países sin cobertura reportada en GAM.  Estos datos se resaltan con texto en cursiva roja.</t>
  </si>
  <si>
    <t>Highlighting of imputed data values (50%) for facilitation of calculations</t>
  </si>
  <si>
    <t>ANC1 coverage *</t>
  </si>
  <si>
    <t>Testing coverage *</t>
  </si>
  <si>
    <t>Treatment coverage *</t>
  </si>
  <si>
    <t xml:space="preserve">Couverture ANC1 * </t>
  </si>
  <si>
    <t>Couverture de test *</t>
  </si>
  <si>
    <t>Couverture de traitement *</t>
  </si>
  <si>
    <t xml:space="preserve">Cobertura ANC1 * </t>
  </si>
  <si>
    <t>Cobertura de pruebas *</t>
  </si>
  <si>
    <t>Cobertura de tratamiento *</t>
  </si>
  <si>
    <t>Adverse event rates from Gomez et al. (2013) are used to model the risk in untreated women</t>
  </si>
  <si>
    <t>Population data for the number of live births was extracted for the study period. The number of live births was used as a proxy for the number of pregnant women</t>
  </si>
  <si>
    <t>Presents still birth rates per 1,000 by region</t>
  </si>
  <si>
    <t>Estimates of the number of women with probable active syphilis. See also Taylor et al. (2016) [3].</t>
  </si>
  <si>
    <t>Risk in treated women = (1-reduction in risk from treatment) x risk in untreated women</t>
  </si>
  <si>
    <t>Combined with estimates from Gomez et al. (2013) [1] to calculate the risk of ABOs in treated women using the formula below:</t>
  </si>
  <si>
    <t>Updating citations page</t>
  </si>
  <si>
    <t>Korenromp EL,  Rowley J,  Alonso M,  Brito de Mello M,  Wijesooriya NS, Mahiané SG, Ishikawa N, Le LV, Newman-Owiredu M, Nagelkerke N,  Newman L, Kamb M, Broutet N, Taylor MM.  Global burden of maternal and congenital syphilis and associated adverse birth outcomes – estimates for 2016 and progress since 2012. PLOS One. 2019.  14(2): e0211720.</t>
  </si>
  <si>
    <t>Rowley J, Vander Hoorn S, Korenromp E, Low N, Unemo M, Abu-Raddad LJ, Chico RM, Smolak A, Newman LM, Gottlieb S, Thwin SS, Broutet N, Taylor MM.  Chlamydia, gonorrhoea, trichomoniasis and syphilis: global prevalence and incidence estimates, 2016 WHO Bulletin.  2019;97:548-562</t>
  </si>
  <si>
    <t>Ensuring exponential fuction for treated ABO risk is correct</t>
  </si>
  <si>
    <t>Bangladesh</t>
  </si>
  <si>
    <t>Indonesia</t>
  </si>
  <si>
    <t>26.09.19</t>
  </si>
  <si>
    <t>Addition of Bangladesh and Indonesia</t>
  </si>
  <si>
    <t>22.10.19</t>
  </si>
  <si>
    <t>Correction of Mozambique data</t>
  </si>
  <si>
    <t>Country</t>
  </si>
  <si>
    <t>Source</t>
  </si>
  <si>
    <t>GAM</t>
  </si>
  <si>
    <t>UNPD</t>
  </si>
  <si>
    <t>Lookup</t>
  </si>
  <si>
    <t>Spectrum STI</t>
  </si>
  <si>
    <t>Workshops</t>
  </si>
  <si>
    <t>Data to view</t>
  </si>
  <si>
    <t>Test type</t>
  </si>
  <si>
    <t>WHO</t>
  </si>
  <si>
    <t>Trep.</t>
  </si>
  <si>
    <t>Non-trep.</t>
  </si>
  <si>
    <t>Mean</t>
  </si>
  <si>
    <t>High</t>
  </si>
  <si>
    <t>Low</t>
  </si>
  <si>
    <t>HIGH</t>
  </si>
  <si>
    <t>LOW</t>
  </si>
  <si>
    <t>Use these estimates?</t>
  </si>
  <si>
    <t>Regional mean</t>
  </si>
  <si>
    <t>The regional mean for your country is:</t>
  </si>
  <si>
    <t>weeks</t>
  </si>
  <si>
    <t>13.01.20</t>
  </si>
  <si>
    <t>NA cases when no data for gestational week of treatment</t>
  </si>
  <si>
    <t>Dr. Melanie Taylor</t>
  </si>
  <si>
    <t>Dr. Katherine Heath</t>
  </si>
  <si>
    <t>katie.heath@burnet.edu.au</t>
  </si>
  <si>
    <t>mdt7@cdc.gov</t>
  </si>
  <si>
    <t>Addition of 2019 GAM data</t>
  </si>
  <si>
    <t>[1] Burnet Institute, 85 Commercial Road, Mebourne, 3004 VIC, Australia</t>
  </si>
  <si>
    <t xml:space="preserve">
Y a-t-il des données manquantes?</t>
  </si>
  <si>
    <t xml:space="preserve">
¿Hay datos faltantes?</t>
  </si>
  <si>
    <t>Données à visualiser</t>
  </si>
  <si>
    <t>Utilisez ces données?</t>
  </si>
  <si>
    <t>Datos para ver</t>
  </si>
  <si>
    <t>Utiliza estos datos?</t>
  </si>
  <si>
    <t>des valeurs utilisées</t>
  </si>
  <si>
    <t>of the values used</t>
  </si>
  <si>
    <t>de los valores utilizados</t>
  </si>
  <si>
    <t xml:space="preserve">Les vraies valeurs se situent à moins de </t>
  </si>
  <si>
    <t>Los valores verdaderos están dentro del</t>
  </si>
  <si>
    <t>The true values are within</t>
  </si>
  <si>
    <t xml:space="preserve">
La media regional para su país es:</t>
  </si>
  <si>
    <t>semanas</t>
  </si>
  <si>
    <t xml:space="preserve">
La moyenne régionale pour votre pays est:</t>
  </si>
  <si>
    <t>semaines</t>
  </si>
  <si>
    <t>Reported cases</t>
  </si>
  <si>
    <t>Casos reportados</t>
  </si>
  <si>
    <t>Cas signalés</t>
  </si>
  <si>
    <t>Prediction tool - Additional text</t>
  </si>
  <si>
    <t>WHO target</t>
  </si>
  <si>
    <t>No intervention</t>
  </si>
  <si>
    <t>Intervention</t>
  </si>
  <si>
    <t>Aucune intervention</t>
  </si>
  <si>
    <t>Sin intervención</t>
  </si>
  <si>
    <t>Intervención</t>
  </si>
  <si>
    <t>Objetivo de la OMS</t>
  </si>
  <si>
    <t>Objectif de l'OMS</t>
  </si>
  <si>
    <t>Afghanistan</t>
  </si>
  <si>
    <t>Angola</t>
  </si>
  <si>
    <t>Lesotho</t>
  </si>
  <si>
    <t>Morocco</t>
  </si>
  <si>
    <t>Myanmar</t>
  </si>
  <si>
    <t>Oman</t>
  </si>
  <si>
    <t>Republic of the Congo</t>
  </si>
  <si>
    <t>Saudi Arabia</t>
  </si>
  <si>
    <t>Sierra Leone</t>
  </si>
  <si>
    <t>Somalia</t>
  </si>
  <si>
    <t>South Sudan</t>
  </si>
  <si>
    <t>68.6%%</t>
  </si>
  <si>
    <t>VLOOKUP($B4,'Live births'!$B$1:'Live births'!$AE$150,MATCH(T1,'Live births'!$B$1:'Live births'!$AE$1,0),0)</t>
  </si>
  <si>
    <t>Version</t>
  </si>
  <si>
    <t>Versión</t>
  </si>
  <si>
    <t>19.06.20</t>
  </si>
  <si>
    <t>Correction of referencing errors in prediction tool</t>
  </si>
  <si>
    <t>Correction of data errors for ANC1 coverage</t>
  </si>
  <si>
    <t>Updating of cover figure</t>
  </si>
  <si>
    <t>Countries covered by the congenital syphilis estimation tool</t>
  </si>
  <si>
    <t>Pays couverts par l'outil d'estimation de la syphilis congénitale</t>
  </si>
  <si>
    <t>Países cubiertos por la herramienta de estimación de sífilis congénita</t>
  </si>
  <si>
    <t>Solomon Islands</t>
  </si>
  <si>
    <t>Bhutan</t>
  </si>
  <si>
    <t>Brunei</t>
  </si>
  <si>
    <t>Rwanda</t>
  </si>
  <si>
    <t>22.09.20</t>
  </si>
  <si>
    <t>Addition of Solomons, Rwands, Brunei and Bhutan</t>
  </si>
  <si>
    <t>3.02.00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</si>
</sst>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0.0%"/>
    <numFmt numFmtId="165" formatCode="0.0"/>
    <numFmt numFmtId="166" formatCode="0.0000000000"/>
    <numFmt numFmtId="167" formatCode="0.000%"/>
    <numFmt numFmtId="168" formatCode="0.0000"/>
    <numFmt numFmtId="169" formatCode="0.0000000%"/>
    <numFmt numFmtId="170" formatCode="0.0000%"/>
  </numFmts>
  <fonts count="175">
    <font>
      <sz val="10"/>
      <name val="Verdana"/>
    </font>
    <font>
      <sz val="10"/>
      <name val="Verdana"/>
      <family val="2"/>
    </font>
    <font>
      <sz val="8"/>
      <name val="Verdana"/>
      <family val="2"/>
    </font>
    <font>
      <sz val="12"/>
      <name val="Calibri"/>
      <family val="2"/>
    </font>
    <font>
      <b/>
      <sz val="12"/>
      <color indexed="10"/>
      <name val="Calibri"/>
      <family val="2"/>
    </font>
    <font>
      <b/>
      <sz val="12"/>
      <name val="Calibri"/>
      <family val="2"/>
    </font>
    <font>
      <sz val="12"/>
      <color indexed="9"/>
      <name val="Calibri"/>
      <family val="2"/>
    </font>
    <font>
      <i/>
      <sz val="12"/>
      <name val="Calibri"/>
      <family val="2"/>
    </font>
    <font>
      <sz val="20"/>
      <name val="Calibri"/>
      <family val="2"/>
    </font>
    <font>
      <sz val="20"/>
      <color indexed="63"/>
      <name val="Calibri"/>
      <family val="2"/>
    </font>
    <font>
      <sz val="14"/>
      <color indexed="9"/>
      <name val="Calibri"/>
      <family val="2"/>
    </font>
    <font>
      <sz val="25"/>
      <name val="Calibri"/>
      <family val="2"/>
    </font>
    <font>
      <b/>
      <sz val="14"/>
      <color indexed="63"/>
      <name val="Calibri"/>
      <family val="2"/>
    </font>
    <font>
      <sz val="12"/>
      <color indexed="63"/>
      <name val="Calibri"/>
      <family val="2"/>
    </font>
    <font>
      <sz val="14"/>
      <name val="Calibri"/>
      <family val="2"/>
    </font>
    <font>
      <b/>
      <sz val="12"/>
      <color indexed="9"/>
      <name val="Calibri"/>
      <family val="2"/>
    </font>
    <font>
      <b/>
      <sz val="14"/>
      <name val="Calibri"/>
      <family val="2"/>
    </font>
    <font>
      <b/>
      <sz val="14"/>
      <color indexed="9"/>
      <name val="Calibri"/>
      <family val="2"/>
    </font>
    <font>
      <sz val="14"/>
      <color indexed="9"/>
      <name val="Verdana"/>
      <family val="2"/>
    </font>
    <font>
      <u/>
      <sz val="30"/>
      <color indexed="63"/>
      <name val="Calibri"/>
      <family val="2"/>
    </font>
    <font>
      <sz val="12"/>
      <color indexed="8"/>
      <name val="Calibri"/>
      <family val="2"/>
    </font>
    <font>
      <b/>
      <i/>
      <sz val="14"/>
      <name val="Calibri"/>
      <family val="2"/>
    </font>
    <font>
      <sz val="16"/>
      <color indexed="9"/>
      <name val="Calibri"/>
      <family val="2"/>
    </font>
    <font>
      <sz val="16"/>
      <name val="Calibri"/>
      <family val="2"/>
    </font>
    <font>
      <sz val="14"/>
      <color indexed="63"/>
      <name val="Calibri"/>
      <family val="2"/>
    </font>
    <font>
      <b/>
      <sz val="14"/>
      <color indexed="16"/>
      <name val="Calibri"/>
      <family val="2"/>
    </font>
    <font>
      <b/>
      <sz val="16"/>
      <name val="Calibri"/>
      <family val="2"/>
    </font>
    <font>
      <b/>
      <sz val="16"/>
      <color indexed="10"/>
      <name val="Calibri"/>
      <family val="2"/>
    </font>
    <font>
      <b/>
      <sz val="16"/>
      <color indexed="16"/>
      <name val="Calibri"/>
      <family val="2"/>
    </font>
    <font>
      <b/>
      <i/>
      <sz val="16"/>
      <color indexed="10"/>
      <name val="Calibri"/>
      <family val="2"/>
    </font>
    <font>
      <u/>
      <sz val="10"/>
      <color indexed="12"/>
      <name val="Verdana"/>
      <family val="2"/>
    </font>
    <font>
      <b/>
      <sz val="12"/>
      <color indexed="56"/>
      <name val="Calibri"/>
      <family val="2"/>
    </font>
    <font>
      <b/>
      <sz val="15"/>
      <color indexed="56"/>
      <name val="Calibri"/>
      <family val="2"/>
    </font>
    <font>
      <sz val="10"/>
      <color indexed="8"/>
      <name val="Calibri"/>
      <family val="2"/>
    </font>
    <font>
      <i/>
      <sz val="11"/>
      <color indexed="23"/>
      <name val="Calibri"/>
      <family val="2"/>
    </font>
    <font>
      <b/>
      <sz val="11"/>
      <color indexed="8"/>
      <name val="Calibri"/>
      <family val="2"/>
    </font>
    <font>
      <sz val="11"/>
      <color indexed="8"/>
      <name val="Calibri"/>
      <family val="2"/>
    </font>
    <font>
      <sz val="10"/>
      <name val="Calibri"/>
      <family val="2"/>
    </font>
    <font>
      <b/>
      <u/>
      <sz val="14"/>
      <color indexed="56"/>
      <name val="Calibri"/>
      <family val="2"/>
    </font>
    <font>
      <sz val="10"/>
      <color indexed="63"/>
      <name val="Calibri"/>
      <family val="2"/>
    </font>
    <font>
      <u/>
      <sz val="30"/>
      <color indexed="56"/>
      <name val="Calibri"/>
      <family val="2"/>
    </font>
    <font>
      <b/>
      <u/>
      <sz val="12"/>
      <color indexed="8"/>
      <name val="Calibri"/>
      <family val="2"/>
    </font>
    <font>
      <b/>
      <u/>
      <sz val="12"/>
      <color indexed="56"/>
      <name val="Calibri"/>
      <family val="2"/>
    </font>
    <font>
      <sz val="10"/>
      <name val="Verdana"/>
      <family val="2"/>
    </font>
    <font>
      <i/>
      <sz val="12"/>
      <color indexed="63"/>
      <name val="Calibri"/>
      <family val="2"/>
    </font>
    <font>
      <b/>
      <i/>
      <sz val="18"/>
      <name val="Calibri"/>
      <family val="2"/>
    </font>
    <font>
      <b/>
      <sz val="18"/>
      <color indexed="16"/>
      <name val="Calibri"/>
      <family val="2"/>
    </font>
    <font>
      <b/>
      <i/>
      <sz val="22"/>
      <color indexed="10"/>
      <name val="Arial"/>
      <family val="2"/>
    </font>
    <font>
      <b/>
      <i/>
      <sz val="16"/>
      <color indexed="16"/>
      <name val="Calibri"/>
      <family val="2"/>
    </font>
    <font>
      <u/>
      <sz val="10"/>
      <color theme="11"/>
      <name val="Verdana"/>
      <family val="2"/>
    </font>
    <font>
      <sz val="9"/>
      <name val="Calibri"/>
      <family val="2"/>
    </font>
    <font>
      <sz val="12"/>
      <color theme="0"/>
      <name val="Calibri"/>
      <family val="2"/>
    </font>
    <font>
      <sz val="10"/>
      <color theme="0"/>
      <name val="Cambria"/>
      <family val="1"/>
    </font>
    <font>
      <b/>
      <u/>
      <sz val="20"/>
      <name val="Calibri"/>
      <family val="2"/>
    </font>
    <font>
      <b/>
      <i/>
      <sz val="12"/>
      <color rgb="FF0000FF"/>
      <name val="Calibri"/>
      <family val="2"/>
    </font>
    <font>
      <b/>
      <sz val="16"/>
      <color rgb="FFFF0000"/>
      <name val="Calibri"/>
      <family val="2"/>
    </font>
    <font>
      <b/>
      <i/>
      <sz val="14"/>
      <color indexed="63"/>
      <name val="Calibri"/>
      <family val="2"/>
    </font>
    <font>
      <b/>
      <i/>
      <sz val="14"/>
      <color indexed="9"/>
      <name val="Calibri"/>
      <family val="2"/>
    </font>
    <font>
      <b/>
      <sz val="12"/>
      <name val="Verdana"/>
      <family val="2"/>
    </font>
    <font>
      <sz val="12"/>
      <name val="Verdana"/>
      <family val="2"/>
    </font>
    <font>
      <i/>
      <sz val="20"/>
      <color indexed="63"/>
      <name val="Calibri"/>
      <family val="2"/>
    </font>
    <font>
      <b/>
      <sz val="22"/>
      <color rgb="FF000090"/>
      <name val="Calibri"/>
      <family val="2"/>
    </font>
    <font>
      <b/>
      <u/>
      <sz val="12"/>
      <name val="Calibri"/>
      <family val="2"/>
    </font>
    <font>
      <b/>
      <sz val="14"/>
      <color rgb="FF333333"/>
      <name val="Calibri"/>
      <family val="2"/>
    </font>
    <font>
      <b/>
      <i/>
      <sz val="14"/>
      <color rgb="FF333333"/>
      <name val="Calibri"/>
      <family val="2"/>
    </font>
    <font>
      <b/>
      <sz val="14"/>
      <color theme="0"/>
      <name val="Calibri"/>
      <family val="2"/>
    </font>
    <font>
      <sz val="12"/>
      <color rgb="FF000000"/>
      <name val="Calibri"/>
      <family val="2"/>
    </font>
    <font>
      <b/>
      <u/>
      <sz val="14"/>
      <color rgb="FF003366"/>
      <name val="Calibri"/>
      <family val="2"/>
    </font>
    <font>
      <b/>
      <sz val="11"/>
      <color rgb="FF000000"/>
      <name val="Calibri"/>
      <family val="2"/>
    </font>
    <font>
      <b/>
      <sz val="14"/>
      <color rgb="FF000000"/>
      <name val="Calibri"/>
      <family val="2"/>
    </font>
    <font>
      <b/>
      <u/>
      <sz val="12"/>
      <color rgb="FF000000"/>
      <name val="Calibri"/>
      <family val="2"/>
    </font>
    <font>
      <b/>
      <sz val="12"/>
      <color rgb="FF000000"/>
      <name val="Calibri"/>
      <family val="2"/>
    </font>
    <font>
      <sz val="13"/>
      <color rgb="FF333333"/>
      <name val="Arial"/>
      <family val="2"/>
    </font>
    <font>
      <i/>
      <sz val="10"/>
      <name val="Calibri"/>
      <family val="2"/>
    </font>
    <font>
      <i/>
      <sz val="10"/>
      <color indexed="8"/>
      <name val="Calibri"/>
      <family val="2"/>
    </font>
    <font>
      <b/>
      <sz val="14"/>
      <color indexed="56"/>
      <name val="Calibri"/>
      <family val="2"/>
    </font>
    <font>
      <b/>
      <sz val="14"/>
      <color rgb="FF000090"/>
      <name val="Calibri"/>
      <family val="2"/>
    </font>
    <font>
      <sz val="12"/>
      <color rgb="FF333333"/>
      <name val="Calibri"/>
      <family val="2"/>
    </font>
    <font>
      <i/>
      <sz val="10"/>
      <color rgb="FF333333"/>
      <name val="Calibri"/>
      <family val="2"/>
    </font>
    <font>
      <b/>
      <u/>
      <sz val="30"/>
      <color indexed="63"/>
      <name val="Calibri"/>
      <family val="2"/>
    </font>
    <font>
      <b/>
      <u/>
      <sz val="25"/>
      <color rgb="FF000090"/>
      <name val="Calibri"/>
      <family val="2"/>
    </font>
    <font>
      <b/>
      <u/>
      <sz val="22"/>
      <color rgb="FF000090"/>
      <name val="Calibri"/>
      <family val="2"/>
    </font>
    <font>
      <i/>
      <sz val="11"/>
      <name val="Calibri"/>
      <family val="2"/>
    </font>
    <font>
      <i/>
      <sz val="13"/>
      <name val="Calibri"/>
      <family val="2"/>
    </font>
    <font>
      <sz val="13"/>
      <name val="Calibri"/>
      <family val="2"/>
    </font>
    <font>
      <b/>
      <sz val="18"/>
      <name val="Calibri"/>
      <family val="2"/>
    </font>
    <font>
      <sz val="12"/>
      <color rgb="FF252525"/>
      <name val="Calibri"/>
      <family val="2"/>
    </font>
    <font>
      <sz val="14"/>
      <color rgb="FF252525"/>
      <name val="Calibri"/>
      <family val="2"/>
    </font>
    <font>
      <b/>
      <i/>
      <sz val="18"/>
      <color rgb="FFFF0000"/>
      <name val="Calibri"/>
      <family val="2"/>
    </font>
    <font>
      <sz val="12"/>
      <color rgb="FF222222"/>
      <name val="Calibri"/>
      <family val="2"/>
      <scheme val="minor"/>
    </font>
    <font>
      <sz val="12"/>
      <color theme="1"/>
      <name val="Calibri"/>
      <family val="2"/>
    </font>
    <font>
      <i/>
      <sz val="12"/>
      <color indexed="8"/>
      <name val="Calibri"/>
      <family val="2"/>
    </font>
    <font>
      <i/>
      <sz val="16"/>
      <color indexed="9"/>
      <name val="Calibri"/>
      <family val="2"/>
    </font>
    <font>
      <i/>
      <sz val="14"/>
      <color indexed="9"/>
      <name val="Calibri"/>
      <family val="2"/>
    </font>
    <font>
      <i/>
      <sz val="12"/>
      <color indexed="9"/>
      <name val="Calibri"/>
      <family val="2"/>
    </font>
    <font>
      <i/>
      <sz val="12"/>
      <color theme="0"/>
      <name val="Calibri"/>
      <family val="2"/>
    </font>
    <font>
      <sz val="12"/>
      <color theme="6"/>
      <name val="Calibri"/>
      <family val="2"/>
    </font>
    <font>
      <i/>
      <sz val="12"/>
      <color theme="6"/>
      <name val="Calibri"/>
      <family val="2"/>
    </font>
    <font>
      <b/>
      <i/>
      <sz val="13"/>
      <color rgb="FF0000FF"/>
      <name val="Calibri"/>
      <family val="2"/>
    </font>
    <font>
      <b/>
      <sz val="30"/>
      <color rgb="FFFF0000"/>
      <name val="Calibri"/>
      <family val="2"/>
    </font>
    <font>
      <b/>
      <sz val="14"/>
      <color theme="6"/>
      <name val="Calibri"/>
      <family val="2"/>
    </font>
    <font>
      <i/>
      <sz val="10"/>
      <color theme="6"/>
      <name val="Verdana"/>
      <family val="2"/>
    </font>
    <font>
      <b/>
      <i/>
      <sz val="12"/>
      <color theme="6"/>
      <name val="Calibri"/>
      <family val="2"/>
    </font>
    <font>
      <i/>
      <sz val="10"/>
      <color rgb="FFFF0000"/>
      <name val="Verdana"/>
      <family val="2"/>
    </font>
    <font>
      <i/>
      <sz val="12"/>
      <color rgb="FFFF0000"/>
      <name val="Calibri"/>
      <family val="2"/>
    </font>
    <font>
      <b/>
      <i/>
      <sz val="14"/>
      <color rgb="FFFF0000"/>
      <name val="Calibri"/>
      <family val="2"/>
    </font>
    <font>
      <sz val="10"/>
      <color theme="1"/>
      <name val="Verdana"/>
      <family val="2"/>
    </font>
    <font>
      <sz val="10"/>
      <color theme="0"/>
      <name val="Verdana"/>
      <family val="2"/>
    </font>
    <font>
      <sz val="29"/>
      <color rgb="FF212121"/>
      <name val="Arial"/>
      <family val="2"/>
    </font>
    <font>
      <b/>
      <i/>
      <sz val="25"/>
      <color rgb="FF000090"/>
      <name val="Calibri"/>
      <family val="2"/>
    </font>
    <font>
      <sz val="10"/>
      <color rgb="FF002060"/>
      <name val="Verdana"/>
      <family val="2"/>
    </font>
    <font>
      <sz val="25"/>
      <color rgb="FF002060"/>
      <name val="Verdana"/>
      <family val="2"/>
    </font>
    <font>
      <i/>
      <sz val="25"/>
      <color rgb="FF002060"/>
      <name val="Verdana"/>
      <family val="2"/>
    </font>
    <font>
      <b/>
      <u/>
      <sz val="15"/>
      <color rgb="FF002060"/>
      <name val="Verdana"/>
      <family val="2"/>
    </font>
    <font>
      <sz val="10"/>
      <color rgb="FF002060"/>
      <name val="Inherit"/>
    </font>
    <font>
      <sz val="10"/>
      <color rgb="FF002060"/>
      <name val="Arial"/>
      <family val="2"/>
    </font>
    <font>
      <i/>
      <sz val="10"/>
      <name val="Verdana"/>
      <family val="2"/>
    </font>
    <font>
      <i/>
      <sz val="10"/>
      <color theme="1"/>
      <name val="Verdana"/>
      <family val="2"/>
    </font>
    <font>
      <b/>
      <i/>
      <u/>
      <sz val="10"/>
      <color rgb="FF002060"/>
      <name val="Verdana"/>
      <family val="2"/>
    </font>
    <font>
      <b/>
      <sz val="18"/>
      <name val="Helvetica"/>
      <family val="2"/>
    </font>
    <font>
      <b/>
      <sz val="16"/>
      <name val="Helvetica"/>
      <family val="2"/>
    </font>
    <font>
      <sz val="12"/>
      <color rgb="FF7C3734"/>
      <name val="Calibri"/>
      <family val="2"/>
    </font>
    <font>
      <b/>
      <i/>
      <sz val="12"/>
      <color theme="0"/>
      <name val="Calibri"/>
      <family val="2"/>
    </font>
    <font>
      <sz val="10"/>
      <color rgb="FF222222"/>
      <name val="Verdana"/>
      <family val="2"/>
    </font>
    <font>
      <b/>
      <sz val="12"/>
      <color rgb="FFFF0000"/>
      <name val="Calibri"/>
      <family val="2"/>
    </font>
    <font>
      <b/>
      <sz val="12"/>
      <color rgb="FF002060"/>
      <name val="Calibri"/>
      <family val="2"/>
    </font>
    <font>
      <sz val="12"/>
      <name val="Arial "/>
    </font>
    <font>
      <i/>
      <sz val="12"/>
      <color theme="6"/>
      <name val="Arial "/>
    </font>
    <font>
      <sz val="12"/>
      <color theme="1"/>
      <name val="Arial "/>
    </font>
    <font>
      <sz val="12"/>
      <color theme="6"/>
      <name val="Arial "/>
    </font>
    <font>
      <i/>
      <sz val="12"/>
      <color rgb="FFFF0000"/>
      <name val="Arial "/>
    </font>
    <font>
      <sz val="12"/>
      <color rgb="FFFF0000"/>
      <name val="Arial "/>
    </font>
    <font>
      <sz val="12"/>
      <color theme="0"/>
      <name val="Arial"/>
      <family val="2"/>
    </font>
    <font>
      <sz val="12"/>
      <name val="Arial"/>
      <family val="2"/>
    </font>
    <font>
      <sz val="12"/>
      <color theme="1"/>
      <name val="Arial"/>
      <family val="2"/>
    </font>
    <font>
      <b/>
      <i/>
      <sz val="22"/>
      <color rgb="FF000090"/>
      <name val="Arial"/>
      <family val="2"/>
    </font>
    <font>
      <b/>
      <i/>
      <sz val="20"/>
      <color rgb="FFFF0000"/>
      <name val="Arial"/>
      <family val="2"/>
    </font>
    <font>
      <b/>
      <i/>
      <sz val="13"/>
      <color rgb="FF0000FF"/>
      <name val="Arial"/>
      <family val="2"/>
    </font>
    <font>
      <sz val="20"/>
      <color indexed="63"/>
      <name val="Arial"/>
      <family val="2"/>
    </font>
    <font>
      <b/>
      <sz val="14"/>
      <color indexed="9"/>
      <name val="Arial"/>
      <family val="2"/>
    </font>
    <font>
      <b/>
      <sz val="14"/>
      <color theme="0"/>
      <name val="Arial"/>
      <family val="2"/>
    </font>
    <font>
      <b/>
      <sz val="14"/>
      <color theme="1"/>
      <name val="Arial"/>
      <family val="2"/>
    </font>
    <font>
      <b/>
      <sz val="14"/>
      <name val="Arial"/>
      <family val="2"/>
    </font>
    <font>
      <i/>
      <sz val="14"/>
      <color rgb="FF7C3734"/>
      <name val="Arial"/>
      <family val="2"/>
    </font>
    <font>
      <sz val="14"/>
      <name val="Arial"/>
      <family val="2"/>
    </font>
    <font>
      <sz val="14"/>
      <color indexed="9"/>
      <name val="Arial"/>
      <family val="2"/>
    </font>
    <font>
      <i/>
      <sz val="12"/>
      <color theme="0"/>
      <name val="Arial"/>
      <family val="2"/>
    </font>
    <font>
      <i/>
      <sz val="12"/>
      <color theme="1"/>
      <name val="Arial"/>
      <family val="2"/>
    </font>
    <font>
      <b/>
      <sz val="14"/>
      <color rgb="FFFF0000"/>
      <name val="Arial"/>
      <family val="2"/>
    </font>
    <font>
      <b/>
      <sz val="12"/>
      <color rgb="FFFF0000"/>
      <name val="Arial"/>
      <family val="2"/>
    </font>
    <font>
      <i/>
      <sz val="14"/>
      <color theme="6" tint="-0.499984740745262"/>
      <name val="Arial"/>
      <family val="2"/>
    </font>
    <font>
      <i/>
      <sz val="12"/>
      <color theme="6"/>
      <name val="Arial"/>
      <family val="2"/>
    </font>
    <font>
      <sz val="12"/>
      <color rgb="FFFF0000"/>
      <name val="Arial"/>
      <family val="2"/>
    </font>
    <font>
      <i/>
      <sz val="14"/>
      <color indexed="9"/>
      <name val="Arial"/>
      <family val="2"/>
    </font>
    <font>
      <sz val="11"/>
      <name val="Arial"/>
      <family val="2"/>
    </font>
    <font>
      <i/>
      <sz val="10"/>
      <color theme="6"/>
      <name val="Arial"/>
      <family val="2"/>
    </font>
    <font>
      <b/>
      <i/>
      <sz val="15"/>
      <color rgb="FF0070C0"/>
      <name val="Arial"/>
      <family val="2"/>
    </font>
    <font>
      <i/>
      <sz val="12"/>
      <name val="Arial"/>
      <family val="2"/>
    </font>
    <font>
      <sz val="11"/>
      <color theme="0"/>
      <name val="Arial"/>
      <family val="2"/>
    </font>
    <font>
      <sz val="11"/>
      <color rgb="FFFF0000"/>
      <name val="Arial"/>
      <family val="2"/>
    </font>
    <font>
      <i/>
      <sz val="15"/>
      <color rgb="FFFF0000"/>
      <name val="Arial"/>
      <family val="2"/>
    </font>
    <font>
      <sz val="20"/>
      <color rgb="FFFF0000"/>
      <name val="Arial"/>
      <family val="2"/>
    </font>
    <font>
      <sz val="14"/>
      <color rgb="FFFF0000"/>
      <name val="Arial"/>
      <family val="2"/>
    </font>
    <font>
      <b/>
      <sz val="12"/>
      <name val="Arial"/>
      <family val="2"/>
    </font>
    <font>
      <b/>
      <sz val="14"/>
      <color indexed="63"/>
      <name val="Arial"/>
      <family val="2"/>
    </font>
    <font>
      <sz val="14"/>
      <color theme="1"/>
      <name val="Arial"/>
      <family val="2"/>
    </font>
    <font>
      <i/>
      <sz val="10"/>
      <name val="Arial"/>
      <family val="2"/>
    </font>
    <font>
      <b/>
      <sz val="12"/>
      <color indexed="10"/>
      <name val="Arial"/>
      <family val="2"/>
    </font>
    <font>
      <i/>
      <sz val="15"/>
      <color theme="0"/>
      <name val="Arial"/>
      <family val="2"/>
    </font>
    <font>
      <sz val="12"/>
      <color theme="3"/>
      <name val="Arial"/>
      <family val="2"/>
    </font>
    <font>
      <sz val="10"/>
      <name val="Verdana"/>
      <family val="2"/>
    </font>
    <font>
      <sz val="12"/>
      <color rgb="FF002060"/>
      <name val="Verdana"/>
      <family val="2"/>
    </font>
    <font>
      <sz val="12"/>
      <color rgb="FF002060"/>
      <name val="Calibri"/>
      <family val="2"/>
    </font>
    <font>
      <b/>
      <u/>
      <sz val="12"/>
      <color rgb="FF002060"/>
      <name val="Calibri"/>
      <family val="2"/>
    </font>
    <font>
      <sz val="12"/>
      <color theme="0"/>
      <name val="Arial "/>
    </font>
  </fonts>
  <fills count="35">
    <fill>
      <patternFill patternType="none"/>
    </fill>
    <fill>
      <patternFill patternType="gray125"/>
    </fill>
    <fill>
      <patternFill patternType="solid">
        <fgColor indexed="55"/>
        <bgColor indexed="64"/>
      </patternFill>
    </fill>
    <fill>
      <patternFill patternType="solid">
        <fgColor indexed="42"/>
        <bgColor indexed="64"/>
      </patternFill>
    </fill>
    <fill>
      <patternFill patternType="solid">
        <fgColor indexed="9"/>
        <bgColor indexed="64"/>
      </patternFill>
    </fill>
    <fill>
      <patternFill patternType="solid">
        <fgColor indexed="11"/>
        <bgColor indexed="64"/>
      </patternFill>
    </fill>
    <fill>
      <patternFill patternType="solid">
        <fgColor indexed="57"/>
        <bgColor indexed="64"/>
      </patternFill>
    </fill>
    <fill>
      <patternFill patternType="solid">
        <fgColor indexed="48"/>
        <bgColor indexed="64"/>
      </patternFill>
    </fill>
    <fill>
      <patternFill patternType="darkTrellis">
        <fgColor indexed="9"/>
        <bgColor indexed="22"/>
      </patternFill>
    </fill>
    <fill>
      <patternFill patternType="lightUp">
        <fgColor indexed="9"/>
      </patternFill>
    </fill>
    <fill>
      <patternFill patternType="solid">
        <fgColor theme="6" tint="0.79998168889431442"/>
        <bgColor indexed="64"/>
      </patternFill>
    </fill>
    <fill>
      <patternFill patternType="solid">
        <fgColor theme="0" tint="-0.14999847407452621"/>
        <bgColor indexed="64"/>
      </patternFill>
    </fill>
    <fill>
      <patternFill patternType="solid">
        <fgColor rgb="FFFFFEEA"/>
        <bgColor indexed="64"/>
      </patternFill>
    </fill>
    <fill>
      <patternFill patternType="solid">
        <fgColor theme="0"/>
        <bgColor indexed="64"/>
      </patternFill>
    </fill>
    <fill>
      <patternFill patternType="solid">
        <fgColor rgb="FFCCFFCC"/>
        <bgColor rgb="FF000000"/>
      </patternFill>
    </fill>
    <fill>
      <patternFill patternType="solid">
        <fgColor rgb="FFFFFFFF"/>
        <bgColor rgb="FF000000"/>
      </patternFill>
    </fill>
    <fill>
      <patternFill patternType="solid">
        <fgColor rgb="FFFFFFEB"/>
        <bgColor indexed="64"/>
      </patternFill>
    </fill>
    <fill>
      <patternFill patternType="solid">
        <fgColor theme="6" tint="0.59999389629810485"/>
        <bgColor indexed="64"/>
      </patternFill>
    </fill>
    <fill>
      <patternFill patternType="solid">
        <fgColor theme="6" tint="0.39997558519241921"/>
        <bgColor indexed="64"/>
      </patternFill>
    </fill>
    <fill>
      <patternFill patternType="solid">
        <fgColor theme="5" tint="-0.249977111117893"/>
        <bgColor indexed="64"/>
      </patternFill>
    </fill>
    <fill>
      <patternFill patternType="solid">
        <fgColor rgb="FFB189FF"/>
        <bgColor indexed="64"/>
      </patternFill>
    </fill>
    <fill>
      <patternFill patternType="solid">
        <fgColor rgb="FF9676CA"/>
        <bgColor indexed="64"/>
      </patternFill>
    </fill>
    <fill>
      <patternFill patternType="solid">
        <fgColor rgb="FFFFFFEB"/>
        <bgColor rgb="FF000000"/>
      </patternFill>
    </fill>
    <fill>
      <patternFill patternType="solid">
        <fgColor rgb="FF92D050"/>
        <bgColor indexed="64"/>
      </patternFill>
    </fill>
    <fill>
      <patternFill patternType="solid">
        <fgColor theme="9" tint="0.59999389629810485"/>
        <bgColor indexed="64"/>
      </patternFill>
    </fill>
    <fill>
      <patternFill patternType="solid">
        <fgColor theme="3" tint="0.749992370372631"/>
        <bgColor indexed="64"/>
      </patternFill>
    </fill>
    <fill>
      <patternFill patternType="solid">
        <fgColor theme="5" tint="0.59999389629810485"/>
        <bgColor indexed="64"/>
      </patternFill>
    </fill>
    <fill>
      <patternFill patternType="solid">
        <fgColor theme="0"/>
        <bgColor indexed="9"/>
      </patternFill>
    </fill>
    <fill>
      <patternFill patternType="solid">
        <fgColor theme="7" tint="-0.249977111117893"/>
        <bgColor indexed="64"/>
      </patternFill>
    </fill>
    <fill>
      <patternFill patternType="solid">
        <fgColor theme="4" tint="0.39997558519241921"/>
        <bgColor indexed="64"/>
      </patternFill>
    </fill>
    <fill>
      <patternFill patternType="solid">
        <fgColor rgb="FFBAA4F0"/>
        <bgColor indexed="64"/>
      </patternFill>
    </fill>
    <fill>
      <patternFill patternType="solid">
        <fgColor rgb="FFFFFF00"/>
        <bgColor indexed="64"/>
      </patternFill>
    </fill>
    <fill>
      <patternFill patternType="solid">
        <fgColor rgb="FFEBEBEB"/>
        <bgColor indexed="64"/>
      </patternFill>
    </fill>
    <fill>
      <patternFill patternType="solid">
        <fgColor theme="6"/>
        <bgColor indexed="64"/>
      </patternFill>
    </fill>
    <fill>
      <patternFill patternType="solid">
        <fgColor theme="7" tint="0.39997558519241921"/>
        <bgColor indexed="64"/>
      </patternFill>
    </fill>
  </fills>
  <borders count="24">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style="thin">
        <color auto="1"/>
      </right>
      <top style="thin">
        <color auto="1"/>
      </top>
      <bottom/>
      <diagonal/>
    </border>
    <border>
      <left/>
      <right style="thin">
        <color auto="1"/>
      </right>
      <top/>
      <bottom/>
      <diagonal/>
    </border>
    <border>
      <left/>
      <right/>
      <top/>
      <bottom style="thin">
        <color auto="1"/>
      </bottom>
      <diagonal/>
    </border>
    <border>
      <left/>
      <right style="thin">
        <color auto="1"/>
      </right>
      <top/>
      <bottom style="thin">
        <color auto="1"/>
      </bottom>
      <diagonal/>
    </border>
    <border>
      <left style="thin">
        <color auto="1"/>
      </left>
      <right/>
      <top/>
      <bottom/>
      <diagonal/>
    </border>
    <border>
      <left style="thin">
        <color auto="1"/>
      </left>
      <right/>
      <top style="thin">
        <color auto="1"/>
      </top>
      <bottom/>
      <diagonal/>
    </border>
    <border>
      <left style="thin">
        <color auto="1"/>
      </left>
      <right/>
      <top/>
      <bottom style="thin">
        <color auto="1"/>
      </bottom>
      <diagonal/>
    </border>
    <border>
      <left/>
      <right/>
      <top style="thin">
        <color auto="1"/>
      </top>
      <bottom style="thin">
        <color auto="1"/>
      </bottom>
      <diagonal/>
    </border>
    <border>
      <left/>
      <right/>
      <top/>
      <bottom style="medium">
        <color auto="1"/>
      </bottom>
      <diagonal/>
    </border>
    <border>
      <left style="medium">
        <color indexed="22"/>
      </left>
      <right style="medium">
        <color indexed="22"/>
      </right>
      <top style="medium">
        <color indexed="22"/>
      </top>
      <bottom style="medium">
        <color indexed="22"/>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style="medium">
        <color auto="1"/>
      </right>
      <top/>
      <bottom style="medium">
        <color auto="1"/>
      </bottom>
      <diagonal/>
    </border>
    <border>
      <left style="medium">
        <color theme="0" tint="-0.249977111117893"/>
      </left>
      <right style="medium">
        <color theme="0" tint="-0.249977111117893"/>
      </right>
      <top style="medium">
        <color theme="0" tint="-0.249977111117893"/>
      </top>
      <bottom style="medium">
        <color theme="0" tint="-0.249977111117893"/>
      </bottom>
      <diagonal/>
    </border>
    <border>
      <left style="medium">
        <color theme="0" tint="-0.249977111117893"/>
      </left>
      <right/>
      <top style="medium">
        <color theme="0" tint="-0.249977111117893"/>
      </top>
      <bottom style="medium">
        <color theme="0" tint="-0.249977111117893"/>
      </bottom>
      <diagonal/>
    </border>
    <border>
      <left style="double">
        <color auto="1"/>
      </left>
      <right/>
      <top style="double">
        <color auto="1"/>
      </top>
      <bottom style="double">
        <color auto="1"/>
      </bottom>
      <diagonal/>
    </border>
    <border>
      <left/>
      <right style="double">
        <color auto="1"/>
      </right>
      <top style="double">
        <color auto="1"/>
      </top>
      <bottom style="double">
        <color auto="1"/>
      </bottom>
      <diagonal/>
    </border>
  </borders>
  <cellStyleXfs count="779">
    <xf numFmtId="0" fontId="0" fillId="0" borderId="0"/>
    <xf numFmtId="9" fontId="1" fillId="0" borderId="0" applyFont="0" applyFill="0" applyBorder="0" applyAlignment="0" applyProtection="0"/>
    <xf numFmtId="0" fontId="30" fillId="0" borderId="0" applyNumberFormat="0" applyFill="0" applyBorder="0" applyAlignment="0" applyProtection="0">
      <alignment vertical="top"/>
      <protection locked="0"/>
    </xf>
    <xf numFmtId="0" fontId="32" fillId="0" borderId="0" applyNumberFormat="0" applyFill="0" applyAlignment="0" applyProtection="0"/>
    <xf numFmtId="0" fontId="34" fillId="0" borderId="0" applyNumberFormat="0" applyFill="0" applyBorder="0" applyAlignment="0" applyProtection="0"/>
    <xf numFmtId="0" fontId="36" fillId="0" borderId="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cellStyleXfs>
  <cellXfs count="823">
    <xf numFmtId="0" fontId="0" fillId="0" borderId="0" xfId="0"/>
    <xf numFmtId="0" fontId="3" fillId="0" borderId="0" xfId="0" applyFont="1" applyAlignment="1">
      <alignment wrapText="1"/>
    </xf>
    <xf numFmtId="0" fontId="3" fillId="0" borderId="6" xfId="0" applyFont="1" applyBorder="1" applyAlignment="1">
      <alignment wrapText="1"/>
    </xf>
    <xf numFmtId="0" fontId="3" fillId="0" borderId="2" xfId="0" applyFont="1" applyBorder="1" applyAlignment="1">
      <alignment wrapText="1"/>
    </xf>
    <xf numFmtId="0" fontId="3" fillId="0" borderId="7" xfId="0" applyFont="1" applyBorder="1" applyAlignment="1">
      <alignment wrapText="1"/>
    </xf>
    <xf numFmtId="0" fontId="3" fillId="0" borderId="9" xfId="0" applyFont="1" applyBorder="1" applyAlignment="1">
      <alignment wrapText="1"/>
    </xf>
    <xf numFmtId="0" fontId="3" fillId="0" borderId="5" xfId="0" applyFont="1" applyBorder="1" applyAlignment="1">
      <alignment wrapText="1"/>
    </xf>
    <xf numFmtId="0" fontId="9" fillId="0" borderId="0" xfId="0" applyFont="1" applyAlignment="1"/>
    <xf numFmtId="0" fontId="11" fillId="0" borderId="0" xfId="0" applyFont="1" applyAlignment="1">
      <alignment wrapText="1"/>
    </xf>
    <xf numFmtId="0" fontId="3" fillId="0" borderId="0" xfId="0" applyFont="1" applyBorder="1" applyAlignment="1"/>
    <xf numFmtId="0" fontId="17" fillId="7" borderId="2" xfId="0" applyFont="1" applyFill="1" applyBorder="1" applyAlignment="1">
      <alignment wrapText="1"/>
    </xf>
    <xf numFmtId="9" fontId="10" fillId="7" borderId="2" xfId="1" applyFont="1" applyFill="1" applyBorder="1" applyAlignment="1">
      <alignment wrapText="1"/>
    </xf>
    <xf numFmtId="0" fontId="19" fillId="0" borderId="0" xfId="0" applyFont="1" applyAlignment="1"/>
    <xf numFmtId="0" fontId="9" fillId="0" borderId="8" xfId="0" applyFont="1" applyBorder="1" applyAlignment="1"/>
    <xf numFmtId="0" fontId="9" fillId="0" borderId="7" xfId="0" applyFont="1" applyBorder="1" applyAlignment="1"/>
    <xf numFmtId="0" fontId="9" fillId="0" borderId="0" xfId="0" applyFont="1" applyBorder="1" applyAlignment="1">
      <alignment wrapText="1"/>
    </xf>
    <xf numFmtId="0" fontId="19" fillId="0" borderId="0" xfId="0" applyFont="1"/>
    <xf numFmtId="0" fontId="3" fillId="0" borderId="0" xfId="0" applyFont="1"/>
    <xf numFmtId="0" fontId="15" fillId="4" borderId="0" xfId="0" applyFont="1" applyFill="1" applyBorder="1"/>
    <xf numFmtId="0" fontId="14" fillId="0" borderId="0" xfId="0" applyFont="1"/>
    <xf numFmtId="0" fontId="9" fillId="4" borderId="11" xfId="0" applyFont="1" applyFill="1" applyBorder="1"/>
    <xf numFmtId="0" fontId="16" fillId="5" borderId="0" xfId="0" applyFont="1" applyFill="1"/>
    <xf numFmtId="0" fontId="10" fillId="4" borderId="0" xfId="0" applyFont="1" applyFill="1" applyBorder="1"/>
    <xf numFmtId="0" fontId="21" fillId="0" borderId="0" xfId="0" applyFont="1"/>
    <xf numFmtId="0" fontId="22" fillId="2" borderId="10" xfId="0" applyFont="1" applyFill="1" applyBorder="1"/>
    <xf numFmtId="0" fontId="23" fillId="0" borderId="0" xfId="0" applyFont="1"/>
    <xf numFmtId="9" fontId="3" fillId="0" borderId="0" xfId="1" applyFont="1"/>
    <xf numFmtId="9" fontId="3" fillId="0" borderId="0" xfId="1" applyFont="1" applyBorder="1"/>
    <xf numFmtId="0" fontId="3" fillId="0" borderId="0" xfId="0" applyFont="1" applyBorder="1"/>
    <xf numFmtId="9" fontId="17" fillId="2" borderId="10" xfId="1" applyFont="1" applyFill="1" applyBorder="1"/>
    <xf numFmtId="9" fontId="24" fillId="3" borderId="0" xfId="1" applyFont="1" applyFill="1" applyBorder="1"/>
    <xf numFmtId="0" fontId="24" fillId="3" borderId="0" xfId="0" applyFont="1" applyFill="1" applyBorder="1"/>
    <xf numFmtId="9" fontId="14" fillId="6" borderId="0" xfId="1" applyFont="1" applyFill="1" applyBorder="1"/>
    <xf numFmtId="0" fontId="14" fillId="6" borderId="0" xfId="0" applyFont="1" applyFill="1" applyBorder="1"/>
    <xf numFmtId="0" fontId="7" fillId="0" borderId="0" xfId="0" applyFont="1" applyBorder="1"/>
    <xf numFmtId="0" fontId="26" fillId="0" borderId="0" xfId="0" applyFont="1" applyAlignment="1">
      <alignment horizontal="right"/>
    </xf>
    <xf numFmtId="9" fontId="29" fillId="0" borderId="0" xfId="0" applyNumberFormat="1" applyFont="1"/>
    <xf numFmtId="0" fontId="5" fillId="0" borderId="0" xfId="0" applyFont="1"/>
    <xf numFmtId="0" fontId="37" fillId="0" borderId="0" xfId="0" applyFont="1"/>
    <xf numFmtId="2" fontId="31" fillId="0" borderId="0" xfId="3" applyNumberFormat="1" applyFont="1" applyBorder="1" applyAlignment="1">
      <alignment horizontal="left"/>
    </xf>
    <xf numFmtId="2" fontId="33" fillId="0" borderId="0" xfId="0" applyNumberFormat="1" applyFont="1" applyBorder="1" applyAlignment="1">
      <alignment horizontal="left"/>
    </xf>
    <xf numFmtId="0" fontId="35" fillId="0" borderId="0" xfId="0" applyFont="1" applyBorder="1" applyAlignment="1"/>
    <xf numFmtId="2" fontId="33" fillId="0" borderId="0" xfId="0" applyNumberFormat="1" applyFont="1" applyBorder="1" applyAlignment="1">
      <alignment horizontal="left" indent="1"/>
    </xf>
    <xf numFmtId="0" fontId="37" fillId="0" borderId="0" xfId="0" applyFont="1" applyBorder="1"/>
    <xf numFmtId="2" fontId="38" fillId="0" borderId="0" xfId="3" applyNumberFormat="1" applyFont="1" applyBorder="1" applyAlignment="1">
      <alignment horizontal="left"/>
    </xf>
    <xf numFmtId="2" fontId="24" fillId="0" borderId="0" xfId="3" applyNumberFormat="1" applyFont="1" applyBorder="1" applyAlignment="1">
      <alignment horizontal="left"/>
    </xf>
    <xf numFmtId="2" fontId="13" fillId="0" borderId="0" xfId="3" applyNumberFormat="1" applyFont="1" applyBorder="1" applyAlignment="1">
      <alignment horizontal="left"/>
    </xf>
    <xf numFmtId="2" fontId="39" fillId="0" borderId="0" xfId="0" applyNumberFormat="1" applyFont="1" applyBorder="1" applyAlignment="1">
      <alignment horizontal="left"/>
    </xf>
    <xf numFmtId="0" fontId="0" fillId="0" borderId="0" xfId="0" applyBorder="1"/>
    <xf numFmtId="2" fontId="13" fillId="0" borderId="0" xfId="0" applyNumberFormat="1" applyFont="1" applyBorder="1" applyAlignment="1">
      <alignment horizontal="left"/>
    </xf>
    <xf numFmtId="2" fontId="20" fillId="0" borderId="0" xfId="0" applyNumberFormat="1" applyFont="1" applyBorder="1" applyAlignment="1">
      <alignment horizontal="left"/>
    </xf>
    <xf numFmtId="2" fontId="13" fillId="0" borderId="0" xfId="4" applyNumberFormat="1" applyFont="1" applyBorder="1" applyAlignment="1">
      <alignment horizontal="left"/>
    </xf>
    <xf numFmtId="0" fontId="31" fillId="0" borderId="0" xfId="0" applyFont="1"/>
    <xf numFmtId="0" fontId="40" fillId="0" borderId="0" xfId="0" applyFont="1"/>
    <xf numFmtId="0" fontId="10" fillId="2" borderId="10" xfId="0" applyFont="1" applyFill="1" applyBorder="1" applyAlignment="1"/>
    <xf numFmtId="0" fontId="3" fillId="2" borderId="10" xfId="0" applyFont="1" applyFill="1" applyBorder="1" applyAlignment="1">
      <alignment wrapText="1"/>
    </xf>
    <xf numFmtId="0" fontId="42" fillId="0" borderId="0" xfId="0" applyFont="1"/>
    <xf numFmtId="0" fontId="5" fillId="0" borderId="0" xfId="0" applyFont="1" applyBorder="1"/>
    <xf numFmtId="2" fontId="5" fillId="0" borderId="0" xfId="3" applyNumberFormat="1" applyFont="1" applyBorder="1" applyAlignment="1">
      <alignment horizontal="left"/>
    </xf>
    <xf numFmtId="0" fontId="25" fillId="0" borderId="0" xfId="0" applyFont="1" applyFill="1" applyBorder="1"/>
    <xf numFmtId="0" fontId="3" fillId="0" borderId="0" xfId="0" applyFont="1" applyFill="1" applyBorder="1"/>
    <xf numFmtId="0" fontId="17" fillId="0" borderId="0" xfId="0" applyFont="1" applyFill="1" applyBorder="1" applyAlignment="1">
      <alignment wrapText="1"/>
    </xf>
    <xf numFmtId="0" fontId="6" fillId="0" borderId="0" xfId="0" applyFont="1"/>
    <xf numFmtId="0" fontId="12" fillId="0" borderId="0" xfId="0" applyFont="1" applyFill="1" applyBorder="1"/>
    <xf numFmtId="0" fontId="3" fillId="0" borderId="0" xfId="0" applyFont="1" applyFill="1"/>
    <xf numFmtId="9" fontId="47" fillId="0" borderId="0" xfId="0" applyNumberFormat="1" applyFont="1" applyAlignment="1"/>
    <xf numFmtId="0" fontId="3" fillId="0" borderId="0" xfId="0" applyFont="1" applyFill="1" applyBorder="1" applyAlignment="1">
      <alignment wrapText="1"/>
    </xf>
    <xf numFmtId="9" fontId="7" fillId="0" borderId="0" xfId="1" applyFont="1" applyFill="1" applyBorder="1" applyAlignment="1">
      <alignment horizontal="left" wrapText="1"/>
    </xf>
    <xf numFmtId="9" fontId="3" fillId="0" borderId="0" xfId="1" applyFont="1" applyFill="1" applyBorder="1" applyAlignment="1">
      <alignment wrapText="1"/>
    </xf>
    <xf numFmtId="9" fontId="3" fillId="0" borderId="0" xfId="1" applyFont="1" applyFill="1" applyBorder="1" applyAlignment="1">
      <alignment horizontal="left" wrapText="1"/>
    </xf>
    <xf numFmtId="0" fontId="10" fillId="0" borderId="0" xfId="0" applyFont="1" applyFill="1" applyBorder="1" applyAlignment="1"/>
    <xf numFmtId="0" fontId="3" fillId="0" borderId="4" xfId="0" applyFont="1" applyFill="1" applyBorder="1" applyAlignment="1">
      <alignment wrapText="1"/>
    </xf>
    <xf numFmtId="0" fontId="9" fillId="0" borderId="0" xfId="0" applyFont="1" applyFill="1" applyBorder="1" applyAlignment="1"/>
    <xf numFmtId="0" fontId="9" fillId="0" borderId="0" xfId="0" applyFont="1" applyFill="1" applyBorder="1" applyAlignment="1">
      <alignment wrapText="1"/>
    </xf>
    <xf numFmtId="9" fontId="10" fillId="0" borderId="0" xfId="1" applyFont="1" applyFill="1" applyBorder="1" applyAlignment="1">
      <alignment wrapText="1"/>
    </xf>
    <xf numFmtId="0" fontId="17" fillId="0" borderId="0" xfId="0" applyFont="1" applyFill="1" applyBorder="1" applyAlignment="1">
      <alignment horizontal="center" wrapText="1"/>
    </xf>
    <xf numFmtId="0" fontId="18" fillId="0" borderId="0" xfId="0" applyFont="1" applyFill="1" applyBorder="1" applyAlignment="1">
      <alignment horizontal="center" wrapText="1"/>
    </xf>
    <xf numFmtId="0" fontId="4" fillId="0" borderId="0" xfId="0" applyFont="1" applyFill="1" applyBorder="1" applyAlignment="1">
      <alignment wrapText="1"/>
    </xf>
    <xf numFmtId="0" fontId="3" fillId="0" borderId="0" xfId="0" applyFont="1" applyBorder="1" applyAlignment="1">
      <alignment wrapText="1"/>
    </xf>
    <xf numFmtId="9" fontId="3" fillId="0" borderId="0" xfId="0" applyNumberFormat="1" applyFont="1" applyFill="1" applyBorder="1" applyAlignment="1">
      <alignment wrapText="1"/>
    </xf>
    <xf numFmtId="164" fontId="21" fillId="0" borderId="0" xfId="1" applyNumberFormat="1" applyFont="1"/>
    <xf numFmtId="1" fontId="17" fillId="2" borderId="5" xfId="0" applyNumberFormat="1" applyFont="1" applyFill="1" applyBorder="1" applyAlignment="1">
      <alignment wrapText="1"/>
    </xf>
    <xf numFmtId="0" fontId="48" fillId="0" borderId="0" xfId="0" applyFont="1"/>
    <xf numFmtId="165" fontId="3" fillId="0" borderId="0" xfId="0" applyNumberFormat="1" applyFont="1"/>
    <xf numFmtId="0" fontId="28" fillId="0" borderId="0" xfId="0" applyFont="1" applyFill="1" applyBorder="1" applyAlignment="1">
      <alignment horizontal="center"/>
    </xf>
    <xf numFmtId="0" fontId="28" fillId="0" borderId="0" xfId="1" applyNumberFormat="1" applyFont="1" applyFill="1" applyBorder="1" applyAlignment="1">
      <alignment horizontal="center"/>
    </xf>
    <xf numFmtId="0" fontId="7" fillId="0" borderId="0" xfId="0" applyFont="1"/>
    <xf numFmtId="166" fontId="3" fillId="0" borderId="0" xfId="0" applyNumberFormat="1" applyFont="1"/>
    <xf numFmtId="165" fontId="3" fillId="0" borderId="0" xfId="0" applyNumberFormat="1" applyFont="1" applyFill="1"/>
    <xf numFmtId="0" fontId="3" fillId="0" borderId="0" xfId="0" applyNumberFormat="1" applyFont="1"/>
    <xf numFmtId="165" fontId="3" fillId="0" borderId="0" xfId="0" applyNumberFormat="1" applyFont="1"/>
    <xf numFmtId="1" fontId="3" fillId="0" borderId="0" xfId="0" applyNumberFormat="1" applyFont="1"/>
    <xf numFmtId="1" fontId="3" fillId="0" borderId="0" xfId="0" applyNumberFormat="1" applyFont="1" applyFill="1"/>
    <xf numFmtId="1" fontId="3" fillId="0" borderId="0" xfId="0" applyNumberFormat="1" applyFont="1" applyFill="1" applyAlignment="1">
      <alignment horizontal="right"/>
    </xf>
    <xf numFmtId="0" fontId="3" fillId="0" borderId="0" xfId="0" applyFont="1" applyBorder="1" applyAlignment="1">
      <alignment wrapText="1"/>
    </xf>
    <xf numFmtId="0" fontId="50" fillId="0" borderId="0" xfId="0" applyFont="1"/>
    <xf numFmtId="0" fontId="3" fillId="0" borderId="0" xfId="0" applyFont="1" applyBorder="1" applyAlignment="1">
      <alignment wrapText="1"/>
    </xf>
    <xf numFmtId="0" fontId="17" fillId="0" borderId="0" xfId="0" applyFont="1" applyFill="1" applyBorder="1"/>
    <xf numFmtId="9" fontId="10" fillId="0" borderId="0" xfId="1" applyFont="1" applyFill="1" applyBorder="1"/>
    <xf numFmtId="0" fontId="6" fillId="0" borderId="0" xfId="0" applyFont="1" applyFill="1" applyBorder="1"/>
    <xf numFmtId="0" fontId="57" fillId="6" borderId="0" xfId="0" applyFont="1" applyFill="1" applyBorder="1"/>
    <xf numFmtId="10" fontId="0" fillId="0" borderId="0" xfId="1" applyNumberFormat="1" applyFont="1"/>
    <xf numFmtId="10" fontId="21" fillId="0" borderId="0" xfId="1" applyNumberFormat="1" applyFont="1"/>
    <xf numFmtId="0" fontId="58" fillId="0" borderId="0" xfId="0" applyFont="1"/>
    <xf numFmtId="0" fontId="59" fillId="0" borderId="0" xfId="0" applyFont="1"/>
    <xf numFmtId="0" fontId="16" fillId="0" borderId="0" xfId="0" applyFont="1"/>
    <xf numFmtId="2" fontId="30" fillId="0" borderId="0" xfId="2" applyNumberFormat="1" applyBorder="1" applyAlignment="1" applyProtection="1">
      <alignment horizontal="left"/>
    </xf>
    <xf numFmtId="2" fontId="20" fillId="0" borderId="0" xfId="0" applyNumberFormat="1" applyFont="1"/>
    <xf numFmtId="2" fontId="3" fillId="5" borderId="0" xfId="0" applyNumberFormat="1" applyFont="1" applyFill="1"/>
    <xf numFmtId="0" fontId="8" fillId="0" borderId="0" xfId="0" applyFont="1" applyBorder="1"/>
    <xf numFmtId="0" fontId="61" fillId="4" borderId="0" xfId="0" applyFont="1" applyFill="1" applyBorder="1"/>
    <xf numFmtId="0" fontId="62" fillId="0" borderId="0" xfId="0" applyFont="1"/>
    <xf numFmtId="0" fontId="3" fillId="13" borderId="0" xfId="0" applyFont="1" applyFill="1" applyBorder="1" applyAlignment="1">
      <alignment wrapText="1"/>
    </xf>
    <xf numFmtId="0" fontId="3" fillId="13" borderId="0" xfId="0" applyFont="1" applyFill="1" applyBorder="1"/>
    <xf numFmtId="2" fontId="20" fillId="0" borderId="0" xfId="0" applyNumberFormat="1" applyFont="1" applyFill="1" applyBorder="1" applyAlignment="1">
      <alignment horizontal="left"/>
    </xf>
    <xf numFmtId="0" fontId="17" fillId="2" borderId="2" xfId="0" applyFont="1" applyFill="1" applyBorder="1" applyAlignment="1">
      <alignment horizontal="center"/>
    </xf>
    <xf numFmtId="0" fontId="7" fillId="0" borderId="0" xfId="0" applyFont="1" applyFill="1" applyBorder="1" applyAlignment="1">
      <alignment wrapText="1"/>
    </xf>
    <xf numFmtId="9" fontId="3" fillId="0" borderId="0" xfId="1" applyFont="1" applyFill="1" applyBorder="1" applyAlignment="1">
      <alignment horizontal="right" wrapText="1"/>
    </xf>
    <xf numFmtId="0" fontId="5" fillId="0" borderId="0" xfId="0" applyFont="1" applyFill="1" applyBorder="1"/>
    <xf numFmtId="1" fontId="3" fillId="0" borderId="0" xfId="0" applyNumberFormat="1" applyFont="1" applyFill="1" applyBorder="1"/>
    <xf numFmtId="0" fontId="7" fillId="0" borderId="0" xfId="0" applyFont="1" applyFill="1" applyBorder="1"/>
    <xf numFmtId="0" fontId="45" fillId="0" borderId="0" xfId="0" applyFont="1" applyFill="1" applyBorder="1"/>
    <xf numFmtId="0" fontId="46" fillId="0" borderId="0" xfId="0" applyFont="1" applyFill="1" applyBorder="1" applyAlignment="1">
      <alignment horizontal="center"/>
    </xf>
    <xf numFmtId="0" fontId="3" fillId="0" borderId="0" xfId="1" applyNumberFormat="1" applyFont="1" applyFill="1" applyBorder="1" applyAlignment="1">
      <alignment horizontal="right"/>
    </xf>
    <xf numFmtId="0" fontId="64" fillId="14" borderId="0" xfId="0" applyFont="1" applyFill="1" applyBorder="1" applyAlignment="1"/>
    <xf numFmtId="9" fontId="3" fillId="0" borderId="0" xfId="1" applyFont="1" applyFill="1" applyBorder="1"/>
    <xf numFmtId="9" fontId="25" fillId="0" borderId="0" xfId="1" applyFont="1" applyFill="1" applyBorder="1"/>
    <xf numFmtId="0" fontId="16" fillId="0" borderId="0" xfId="0" applyFont="1" applyFill="1" applyBorder="1"/>
    <xf numFmtId="0" fontId="21" fillId="0" borderId="0" xfId="0" applyFont="1" applyFill="1" applyBorder="1"/>
    <xf numFmtId="9" fontId="14" fillId="0" borderId="0" xfId="1" applyFont="1" applyFill="1" applyBorder="1"/>
    <xf numFmtId="0" fontId="14" fillId="0" borderId="0" xfId="0" applyFont="1" applyFill="1" applyBorder="1"/>
    <xf numFmtId="0" fontId="56" fillId="0" borderId="0" xfId="0" applyFont="1" applyFill="1" applyBorder="1"/>
    <xf numFmtId="9" fontId="12" fillId="0" borderId="0" xfId="1" applyFont="1" applyFill="1" applyBorder="1"/>
    <xf numFmtId="164" fontId="3" fillId="0" borderId="0" xfId="1" applyNumberFormat="1" applyFont="1" applyFill="1" applyBorder="1"/>
    <xf numFmtId="0" fontId="3" fillId="0" borderId="0" xfId="1" applyNumberFormat="1" applyFont="1" applyFill="1" applyBorder="1"/>
    <xf numFmtId="1" fontId="25" fillId="0" borderId="0" xfId="1" applyNumberFormat="1" applyFont="1" applyFill="1" applyBorder="1"/>
    <xf numFmtId="0" fontId="3" fillId="16" borderId="0" xfId="0" applyFont="1" applyFill="1" applyBorder="1"/>
    <xf numFmtId="0" fontId="3" fillId="16" borderId="4" xfId="0" applyFont="1" applyFill="1" applyBorder="1"/>
    <xf numFmtId="0" fontId="26" fillId="16" borderId="0" xfId="0" applyFont="1" applyFill="1" applyBorder="1"/>
    <xf numFmtId="0" fontId="7" fillId="16" borderId="0" xfId="0" applyFont="1" applyFill="1" applyBorder="1" applyAlignment="1">
      <alignment horizontal="right"/>
    </xf>
    <xf numFmtId="0" fontId="46" fillId="16" borderId="0" xfId="1" applyNumberFormat="1" applyFont="1" applyFill="1" applyBorder="1" applyAlignment="1">
      <alignment horizontal="center"/>
    </xf>
    <xf numFmtId="9" fontId="3" fillId="16" borderId="0" xfId="1" applyFont="1" applyFill="1" applyBorder="1"/>
    <xf numFmtId="164" fontId="27" fillId="16" borderId="0" xfId="1" applyNumberFormat="1" applyFont="1" applyFill="1" applyBorder="1" applyAlignment="1">
      <alignment horizontal="center"/>
    </xf>
    <xf numFmtId="0" fontId="63" fillId="13" borderId="0" xfId="0" applyFont="1" applyFill="1" applyBorder="1" applyAlignment="1">
      <alignment wrapText="1"/>
    </xf>
    <xf numFmtId="9" fontId="63" fillId="13" borderId="0" xfId="0" applyNumberFormat="1" applyFont="1" applyFill="1" applyBorder="1" applyAlignment="1">
      <alignment wrapText="1"/>
    </xf>
    <xf numFmtId="0" fontId="3" fillId="16" borderId="8" xfId="0" applyFont="1" applyFill="1" applyBorder="1"/>
    <xf numFmtId="0" fontId="60" fillId="16" borderId="2" xfId="0" applyFont="1" applyFill="1" applyBorder="1"/>
    <xf numFmtId="9" fontId="3" fillId="16" borderId="2" xfId="1" applyFont="1" applyFill="1" applyBorder="1"/>
    <xf numFmtId="0" fontId="3" fillId="16" borderId="2" xfId="0" applyFont="1" applyFill="1" applyBorder="1"/>
    <xf numFmtId="0" fontId="3" fillId="16" borderId="3" xfId="0" applyFont="1" applyFill="1" applyBorder="1"/>
    <xf numFmtId="0" fontId="3" fillId="16" borderId="7" xfId="0" applyFont="1" applyFill="1" applyBorder="1"/>
    <xf numFmtId="0" fontId="3" fillId="16" borderId="4" xfId="0" applyFont="1" applyFill="1" applyBorder="1" applyAlignment="1">
      <alignment wrapText="1"/>
    </xf>
    <xf numFmtId="0" fontId="3" fillId="16" borderId="9" xfId="0" applyFont="1" applyFill="1" applyBorder="1"/>
    <xf numFmtId="0" fontId="3" fillId="16" borderId="5" xfId="0" applyFont="1" applyFill="1" applyBorder="1" applyAlignment="1">
      <alignment wrapText="1"/>
    </xf>
    <xf numFmtId="9" fontId="5" fillId="16" borderId="5" xfId="0" applyNumberFormat="1" applyFont="1" applyFill="1" applyBorder="1" applyAlignment="1">
      <alignment horizontal="left" wrapText="1"/>
    </xf>
    <xf numFmtId="0" fontId="3" fillId="16" borderId="6" xfId="0" applyFont="1" applyFill="1" applyBorder="1" applyAlignment="1">
      <alignment wrapText="1"/>
    </xf>
    <xf numFmtId="1" fontId="17" fillId="0" borderId="0" xfId="0" applyNumberFormat="1" applyFont="1" applyFill="1" applyBorder="1" applyAlignment="1">
      <alignment horizontal="right" wrapText="1"/>
    </xf>
    <xf numFmtId="0" fontId="17" fillId="0" borderId="0" xfId="0" applyFont="1" applyFill="1" applyBorder="1" applyAlignment="1">
      <alignment horizontal="left" wrapText="1"/>
    </xf>
    <xf numFmtId="165" fontId="3" fillId="0" borderId="0" xfId="0" applyNumberFormat="1" applyFont="1" applyFill="1" applyBorder="1"/>
    <xf numFmtId="0" fontId="21" fillId="0" borderId="0" xfId="0" applyFont="1" applyFill="1" applyBorder="1" applyAlignment="1">
      <alignment horizontal="left"/>
    </xf>
    <xf numFmtId="1" fontId="6" fillId="0" borderId="0" xfId="0" applyNumberFormat="1" applyFont="1" applyFill="1" applyBorder="1"/>
    <xf numFmtId="165" fontId="3" fillId="10" borderId="0" xfId="0" applyNumberFormat="1" applyFont="1" applyFill="1" applyBorder="1"/>
    <xf numFmtId="0" fontId="3" fillId="0" borderId="0" xfId="0" applyFont="1" applyFill="1" applyBorder="1" applyAlignment="1">
      <alignment horizontal="left"/>
    </xf>
    <xf numFmtId="0" fontId="16" fillId="10" borderId="0" xfId="0" applyFont="1" applyFill="1" applyBorder="1"/>
    <xf numFmtId="0" fontId="16" fillId="18" borderId="0" xfId="0" applyFont="1" applyFill="1" applyBorder="1"/>
    <xf numFmtId="165" fontId="3" fillId="18" borderId="0" xfId="0" applyNumberFormat="1" applyFont="1" applyFill="1" applyBorder="1"/>
    <xf numFmtId="164" fontId="3" fillId="0" borderId="2" xfId="1" applyNumberFormat="1" applyFont="1" applyBorder="1" applyAlignment="1">
      <alignment wrapText="1"/>
    </xf>
    <xf numFmtId="164" fontId="3" fillId="0" borderId="0" xfId="1" applyNumberFormat="1" applyFont="1" applyBorder="1" applyAlignment="1">
      <alignment wrapText="1"/>
    </xf>
    <xf numFmtId="164" fontId="3" fillId="0" borderId="5" xfId="1" applyNumberFormat="1" applyFont="1" applyBorder="1" applyAlignment="1">
      <alignment wrapText="1"/>
    </xf>
    <xf numFmtId="0" fontId="65" fillId="19" borderId="0" xfId="0" applyFont="1" applyFill="1" applyBorder="1"/>
    <xf numFmtId="165" fontId="51" fillId="19" borderId="0" xfId="0" applyNumberFormat="1" applyFont="1" applyFill="1" applyBorder="1"/>
    <xf numFmtId="1" fontId="3" fillId="0" borderId="0" xfId="0" applyNumberFormat="1" applyFont="1" applyAlignment="1">
      <alignment horizontal="right"/>
    </xf>
    <xf numFmtId="1" fontId="20" fillId="0" borderId="0" xfId="0" applyNumberFormat="1" applyFont="1"/>
    <xf numFmtId="1" fontId="27" fillId="16" borderId="12" xfId="1" applyNumberFormat="1" applyFont="1" applyFill="1" applyBorder="1" applyAlignment="1">
      <alignment horizontal="center"/>
    </xf>
    <xf numFmtId="1" fontId="27" fillId="16" borderId="0" xfId="1" applyNumberFormat="1" applyFont="1" applyFill="1" applyBorder="1" applyAlignment="1">
      <alignment horizontal="center"/>
    </xf>
    <xf numFmtId="1" fontId="55" fillId="16" borderId="12" xfId="1" applyNumberFormat="1" applyFont="1" applyFill="1" applyBorder="1" applyAlignment="1">
      <alignment horizontal="center"/>
    </xf>
    <xf numFmtId="0" fontId="7" fillId="11" borderId="0" xfId="0" applyFont="1" applyFill="1"/>
    <xf numFmtId="10" fontId="3" fillId="0" borderId="0" xfId="1" applyNumberFormat="1" applyFont="1" applyAlignment="1">
      <alignment wrapText="1"/>
    </xf>
    <xf numFmtId="0" fontId="16" fillId="20" borderId="0" xfId="0" applyFont="1" applyFill="1"/>
    <xf numFmtId="0" fontId="3" fillId="0" borderId="13" xfId="0" applyFont="1" applyBorder="1"/>
    <xf numFmtId="0" fontId="3" fillId="0" borderId="14" xfId="0" applyFont="1" applyBorder="1"/>
    <xf numFmtId="9" fontId="3" fillId="0" borderId="14" xfId="1" applyFont="1" applyBorder="1"/>
    <xf numFmtId="0" fontId="3" fillId="0" borderId="15" xfId="0" applyFont="1" applyBorder="1"/>
    <xf numFmtId="0" fontId="3" fillId="0" borderId="16" xfId="0" applyFont="1" applyBorder="1"/>
    <xf numFmtId="0" fontId="3" fillId="0" borderId="17" xfId="0" applyFont="1" applyBorder="1"/>
    <xf numFmtId="0" fontId="3" fillId="0" borderId="16" xfId="0" applyFont="1" applyFill="1" applyBorder="1"/>
    <xf numFmtId="0" fontId="3" fillId="0" borderId="17" xfId="0" applyFont="1" applyFill="1" applyBorder="1"/>
    <xf numFmtId="0" fontId="3" fillId="0" borderId="18" xfId="0" applyFont="1" applyBorder="1"/>
    <xf numFmtId="0" fontId="3" fillId="0" borderId="11" xfId="0" applyFont="1" applyBorder="1"/>
    <xf numFmtId="9" fontId="3" fillId="0" borderId="11" xfId="1" applyFont="1" applyBorder="1"/>
    <xf numFmtId="0" fontId="3" fillId="0" borderId="19" xfId="0" applyFont="1" applyBorder="1"/>
    <xf numFmtId="0" fontId="16" fillId="21" borderId="0" xfId="0" applyFont="1" applyFill="1"/>
    <xf numFmtId="0" fontId="9" fillId="0" borderId="0" xfId="0" applyFont="1" applyFill="1" applyBorder="1"/>
    <xf numFmtId="0" fontId="65" fillId="0" borderId="0" xfId="0" applyFont="1" applyFill="1" applyBorder="1"/>
    <xf numFmtId="165" fontId="51" fillId="0" borderId="0" xfId="0" applyNumberFormat="1" applyFont="1" applyFill="1" applyBorder="1"/>
    <xf numFmtId="2" fontId="66" fillId="0" borderId="0" xfId="0" applyNumberFormat="1" applyFont="1" applyAlignment="1">
      <alignment horizontal="left"/>
    </xf>
    <xf numFmtId="2" fontId="5" fillId="0" borderId="5" xfId="3" applyNumberFormat="1" applyFont="1" applyBorder="1" applyAlignment="1">
      <alignment horizontal="left"/>
    </xf>
    <xf numFmtId="2" fontId="66" fillId="0" borderId="5" xfId="0" applyNumberFormat="1" applyFont="1" applyBorder="1" applyAlignment="1">
      <alignment horizontal="left"/>
    </xf>
    <xf numFmtId="0" fontId="3" fillId="0" borderId="5" xfId="0" applyFont="1" applyBorder="1"/>
    <xf numFmtId="2" fontId="5" fillId="0" borderId="10" xfId="3" applyNumberFormat="1" applyFont="1" applyBorder="1" applyAlignment="1">
      <alignment horizontal="left"/>
    </xf>
    <xf numFmtId="2" fontId="20" fillId="0" borderId="10" xfId="0" applyNumberFormat="1" applyFont="1" applyBorder="1" applyAlignment="1">
      <alignment horizontal="left"/>
    </xf>
    <xf numFmtId="2" fontId="20" fillId="0" borderId="2" xfId="0" applyNumberFormat="1" applyFont="1" applyBorder="1" applyAlignment="1">
      <alignment horizontal="left"/>
    </xf>
    <xf numFmtId="0" fontId="65" fillId="23" borderId="0" xfId="0" applyFont="1" applyFill="1" applyBorder="1"/>
    <xf numFmtId="165" fontId="51" fillId="23" borderId="0" xfId="0" applyNumberFormat="1" applyFont="1" applyFill="1" applyBorder="1"/>
    <xf numFmtId="2" fontId="3" fillId="0" borderId="0" xfId="0" applyNumberFormat="1" applyFont="1" applyFill="1" applyBorder="1"/>
    <xf numFmtId="0" fontId="16" fillId="24" borderId="0" xfId="0" applyFont="1" applyFill="1"/>
    <xf numFmtId="0" fontId="16" fillId="25" borderId="0" xfId="0" applyFont="1" applyFill="1"/>
    <xf numFmtId="2" fontId="3" fillId="25" borderId="0" xfId="0" applyNumberFormat="1" applyFont="1" applyFill="1"/>
    <xf numFmtId="0" fontId="16" fillId="26" borderId="0" xfId="0" applyFont="1" applyFill="1"/>
    <xf numFmtId="2" fontId="3" fillId="26" borderId="0" xfId="0" applyNumberFormat="1" applyFont="1" applyFill="1"/>
    <xf numFmtId="0" fontId="16" fillId="17" borderId="0" xfId="0" applyFont="1" applyFill="1"/>
    <xf numFmtId="2" fontId="3" fillId="17" borderId="0" xfId="0" applyNumberFormat="1" applyFont="1" applyFill="1"/>
    <xf numFmtId="2" fontId="3" fillId="24" borderId="0" xfId="0" applyNumberFormat="1" applyFont="1" applyFill="1"/>
    <xf numFmtId="2" fontId="67" fillId="0" borderId="0" xfId="0" applyNumberFormat="1" applyFont="1" applyAlignment="1">
      <alignment horizontal="left"/>
    </xf>
    <xf numFmtId="0" fontId="68" fillId="0" borderId="0" xfId="0" applyFont="1"/>
    <xf numFmtId="0" fontId="66" fillId="0" borderId="0" xfId="0" applyFont="1"/>
    <xf numFmtId="1" fontId="69" fillId="0" borderId="0" xfId="0" applyNumberFormat="1" applyFont="1" applyAlignment="1">
      <alignment horizontal="right"/>
    </xf>
    <xf numFmtId="2" fontId="70" fillId="0" borderId="0" xfId="0" applyNumberFormat="1" applyFont="1" applyAlignment="1">
      <alignment horizontal="left"/>
    </xf>
    <xf numFmtId="2" fontId="69" fillId="0" borderId="0" xfId="0" applyNumberFormat="1" applyFont="1" applyAlignment="1">
      <alignment horizontal="left"/>
    </xf>
    <xf numFmtId="0" fontId="71" fillId="0" borderId="0" xfId="0" applyFont="1"/>
    <xf numFmtId="2" fontId="5" fillId="0" borderId="2" xfId="3" applyNumberFormat="1" applyFont="1" applyBorder="1" applyAlignment="1">
      <alignment horizontal="left"/>
    </xf>
    <xf numFmtId="0" fontId="0" fillId="13" borderId="0" xfId="0" applyFill="1"/>
    <xf numFmtId="0" fontId="37" fillId="13" borderId="0" xfId="0" applyFont="1" applyFill="1"/>
    <xf numFmtId="0" fontId="3" fillId="13" borderId="0" xfId="0" applyFont="1" applyFill="1"/>
    <xf numFmtId="0" fontId="50" fillId="13" borderId="0" xfId="0" applyFont="1" applyFill="1"/>
    <xf numFmtId="0" fontId="0" fillId="13" borderId="0" xfId="0" applyFill="1" applyBorder="1"/>
    <xf numFmtId="0" fontId="37" fillId="13" borderId="0" xfId="0" applyFont="1" applyFill="1" applyBorder="1"/>
    <xf numFmtId="2" fontId="31" fillId="13" borderId="0" xfId="3" applyNumberFormat="1" applyFont="1" applyFill="1" applyBorder="1" applyAlignment="1">
      <alignment horizontal="left"/>
    </xf>
    <xf numFmtId="2" fontId="33" fillId="13" borderId="0" xfId="0" applyNumberFormat="1" applyFont="1" applyFill="1" applyBorder="1" applyAlignment="1">
      <alignment horizontal="left"/>
    </xf>
    <xf numFmtId="2" fontId="13" fillId="13" borderId="0" xfId="4" applyNumberFormat="1" applyFont="1" applyFill="1" applyBorder="1" applyAlignment="1">
      <alignment horizontal="left"/>
    </xf>
    <xf numFmtId="2" fontId="30" fillId="13" borderId="0" xfId="2" applyNumberFormat="1" applyFill="1" applyBorder="1" applyAlignment="1" applyProtection="1">
      <alignment horizontal="left"/>
    </xf>
    <xf numFmtId="2" fontId="13" fillId="13" borderId="0" xfId="0" applyNumberFormat="1" applyFont="1" applyFill="1" applyBorder="1" applyAlignment="1">
      <alignment horizontal="left"/>
    </xf>
    <xf numFmtId="2" fontId="41" fillId="13" borderId="0" xfId="0" applyNumberFormat="1" applyFont="1" applyFill="1" applyBorder="1" applyAlignment="1"/>
    <xf numFmtId="0" fontId="35" fillId="13" borderId="0" xfId="0" applyFont="1" applyFill="1" applyBorder="1" applyAlignment="1"/>
    <xf numFmtId="2" fontId="20" fillId="13" borderId="0" xfId="0" applyNumberFormat="1" applyFont="1" applyFill="1" applyBorder="1" applyAlignment="1">
      <alignment horizontal="left"/>
    </xf>
    <xf numFmtId="2" fontId="33" fillId="13" borderId="0" xfId="0" applyNumberFormat="1" applyFont="1" applyFill="1" applyBorder="1" applyAlignment="1">
      <alignment horizontal="left" indent="1"/>
    </xf>
    <xf numFmtId="2" fontId="5" fillId="13" borderId="0" xfId="3" applyNumberFormat="1" applyFont="1" applyFill="1" applyBorder="1" applyAlignment="1">
      <alignment horizontal="left"/>
    </xf>
    <xf numFmtId="2" fontId="37" fillId="13" borderId="0" xfId="0" applyNumberFormat="1" applyFont="1" applyFill="1" applyBorder="1" applyAlignment="1">
      <alignment horizontal="left"/>
    </xf>
    <xf numFmtId="0" fontId="43" fillId="13" borderId="0" xfId="0" applyFont="1" applyFill="1" applyBorder="1"/>
    <xf numFmtId="0" fontId="5" fillId="13" borderId="0" xfId="0" applyFont="1" applyFill="1" applyBorder="1"/>
    <xf numFmtId="0" fontId="42" fillId="13" borderId="0" xfId="0" applyFont="1" applyFill="1" applyBorder="1"/>
    <xf numFmtId="2" fontId="66" fillId="13" borderId="0" xfId="0" applyNumberFormat="1" applyFont="1" applyFill="1" applyBorder="1" applyAlignment="1">
      <alignment horizontal="left"/>
    </xf>
    <xf numFmtId="0" fontId="72" fillId="0" borderId="0" xfId="0" applyFont="1"/>
    <xf numFmtId="0" fontId="73" fillId="13" borderId="0" xfId="0" applyFont="1" applyFill="1" applyBorder="1"/>
    <xf numFmtId="0" fontId="3" fillId="0" borderId="2" xfId="0" applyFont="1" applyBorder="1" applyAlignment="1">
      <alignment horizontal="center" wrapText="1"/>
    </xf>
    <xf numFmtId="0" fontId="3" fillId="0" borderId="0" xfId="0" applyFont="1" applyBorder="1" applyAlignment="1">
      <alignment horizontal="center" wrapText="1"/>
    </xf>
    <xf numFmtId="9" fontId="10" fillId="7" borderId="2" xfId="1" applyFont="1" applyFill="1" applyBorder="1" applyAlignment="1">
      <alignment horizontal="center" wrapText="1"/>
    </xf>
    <xf numFmtId="2" fontId="3" fillId="0" borderId="0" xfId="0" applyNumberFormat="1" applyFont="1" applyBorder="1" applyAlignment="1">
      <alignment horizontal="center" wrapText="1"/>
    </xf>
    <xf numFmtId="0" fontId="3" fillId="0" borderId="5" xfId="0" applyFont="1" applyBorder="1" applyAlignment="1">
      <alignment horizontal="center" wrapText="1"/>
    </xf>
    <xf numFmtId="2" fontId="3" fillId="0" borderId="5" xfId="0" applyNumberFormat="1" applyFont="1" applyBorder="1" applyAlignment="1">
      <alignment horizontal="center" wrapText="1"/>
    </xf>
    <xf numFmtId="2" fontId="3" fillId="0" borderId="2" xfId="0" applyNumberFormat="1" applyFont="1" applyBorder="1" applyAlignment="1">
      <alignment horizontal="center" wrapText="1"/>
    </xf>
    <xf numFmtId="2" fontId="20" fillId="13" borderId="0" xfId="0" applyNumberFormat="1" applyFont="1" applyFill="1" applyBorder="1" applyAlignment="1"/>
    <xf numFmtId="2" fontId="66" fillId="0" borderId="0" xfId="0" applyNumberFormat="1" applyFont="1" applyAlignment="1">
      <alignment horizontal="left" wrapText="1" indent="1"/>
    </xf>
    <xf numFmtId="2" fontId="3" fillId="0" borderId="0" xfId="0" applyNumberFormat="1" applyFont="1" applyBorder="1" applyAlignment="1">
      <alignment wrapText="1"/>
    </xf>
    <xf numFmtId="2" fontId="74" fillId="13" borderId="0" xfId="0" applyNumberFormat="1" applyFont="1" applyFill="1" applyBorder="1" applyAlignment="1">
      <alignment horizontal="left"/>
    </xf>
    <xf numFmtId="0" fontId="10" fillId="13" borderId="0" xfId="0" applyFont="1" applyFill="1" applyBorder="1" applyAlignment="1"/>
    <xf numFmtId="0" fontId="3" fillId="0" borderId="3" xfId="0" applyFont="1" applyFill="1" applyBorder="1" applyAlignment="1">
      <alignment wrapText="1"/>
    </xf>
    <xf numFmtId="2" fontId="73" fillId="13" borderId="0" xfId="3" applyNumberFormat="1" applyFont="1" applyFill="1" applyBorder="1" applyAlignment="1">
      <alignment horizontal="left"/>
    </xf>
    <xf numFmtId="2" fontId="3" fillId="13" borderId="0" xfId="3" applyNumberFormat="1" applyFont="1" applyFill="1" applyBorder="1" applyAlignment="1">
      <alignment horizontal="left"/>
    </xf>
    <xf numFmtId="167" fontId="3" fillId="0" borderId="0" xfId="1" applyNumberFormat="1" applyFont="1" applyBorder="1" applyAlignment="1">
      <alignment wrapText="1"/>
    </xf>
    <xf numFmtId="167" fontId="3" fillId="0" borderId="5" xfId="1" applyNumberFormat="1" applyFont="1" applyBorder="1" applyAlignment="1">
      <alignment wrapText="1"/>
    </xf>
    <xf numFmtId="1" fontId="3" fillId="13" borderId="0" xfId="0" applyNumberFormat="1" applyFont="1" applyFill="1" applyBorder="1"/>
    <xf numFmtId="9" fontId="3" fillId="13" borderId="0" xfId="1" applyFont="1" applyFill="1" applyBorder="1"/>
    <xf numFmtId="0" fontId="3" fillId="16" borderId="5" xfId="0" applyFont="1" applyFill="1" applyBorder="1"/>
    <xf numFmtId="0" fontId="3" fillId="16" borderId="5" xfId="1" applyNumberFormat="1" applyFont="1" applyFill="1" applyBorder="1"/>
    <xf numFmtId="1" fontId="3" fillId="16" borderId="5" xfId="0" applyNumberFormat="1" applyFont="1" applyFill="1" applyBorder="1"/>
    <xf numFmtId="0" fontId="3" fillId="16" borderId="6" xfId="0" applyFont="1" applyFill="1" applyBorder="1"/>
    <xf numFmtId="0" fontId="54" fillId="13" borderId="0" xfId="0" applyFont="1" applyFill="1" applyBorder="1"/>
    <xf numFmtId="1" fontId="7" fillId="0" borderId="0" xfId="0" applyNumberFormat="1" applyFont="1"/>
    <xf numFmtId="0" fontId="79" fillId="0" borderId="0" xfId="0" applyFont="1"/>
    <xf numFmtId="0" fontId="3" fillId="0" borderId="14" xfId="0" applyFont="1" applyFill="1" applyBorder="1"/>
    <xf numFmtId="0" fontId="3" fillId="0" borderId="11" xfId="0" applyFont="1" applyFill="1" applyBorder="1"/>
    <xf numFmtId="0" fontId="3" fillId="13" borderId="16" xfId="0" applyFont="1" applyFill="1" applyBorder="1"/>
    <xf numFmtId="0" fontId="3" fillId="13" borderId="17" xfId="0" applyFont="1" applyFill="1" applyBorder="1"/>
    <xf numFmtId="0" fontId="3" fillId="13" borderId="18" xfId="0" applyFont="1" applyFill="1" applyBorder="1"/>
    <xf numFmtId="0" fontId="3" fillId="13" borderId="11" xfId="0" applyFont="1" applyFill="1" applyBorder="1"/>
    <xf numFmtId="9" fontId="3" fillId="13" borderId="11" xfId="1" applyFont="1" applyFill="1" applyBorder="1"/>
    <xf numFmtId="0" fontId="3" fillId="13" borderId="19" xfId="0" applyFont="1" applyFill="1" applyBorder="1"/>
    <xf numFmtId="0" fontId="54" fillId="0" borderId="0" xfId="0" applyFont="1" applyBorder="1" applyAlignment="1">
      <alignment horizontal="left" wrapText="1"/>
    </xf>
    <xf numFmtId="0" fontId="80" fillId="0" borderId="0" xfId="0" applyFont="1" applyBorder="1"/>
    <xf numFmtId="0" fontId="7" fillId="0" borderId="5" xfId="0" applyFont="1" applyBorder="1"/>
    <xf numFmtId="1" fontId="7" fillId="0" borderId="0" xfId="0" applyNumberFormat="1" applyFont="1" applyBorder="1"/>
    <xf numFmtId="164" fontId="7" fillId="0" borderId="0" xfId="1" applyNumberFormat="1" applyFont="1" applyBorder="1"/>
    <xf numFmtId="1" fontId="7" fillId="0" borderId="5" xfId="0" applyNumberFormat="1" applyFont="1" applyBorder="1"/>
    <xf numFmtId="0" fontId="7" fillId="0" borderId="2" xfId="0" applyFont="1" applyBorder="1"/>
    <xf numFmtId="0" fontId="81" fillId="0" borderId="0" xfId="0" applyFont="1" applyFill="1" applyBorder="1"/>
    <xf numFmtId="0" fontId="82" fillId="0" borderId="0" xfId="0" applyFont="1" applyFill="1" applyBorder="1"/>
    <xf numFmtId="0" fontId="81" fillId="4" borderId="0" xfId="0" applyFont="1" applyFill="1" applyBorder="1"/>
    <xf numFmtId="0" fontId="53" fillId="0" borderId="16" xfId="0" applyFont="1" applyFill="1" applyBorder="1"/>
    <xf numFmtId="0" fontId="3" fillId="0" borderId="18" xfId="0" applyFont="1" applyFill="1" applyBorder="1"/>
    <xf numFmtId="0" fontId="7" fillId="0" borderId="11" xfId="0" applyFont="1" applyFill="1" applyBorder="1"/>
    <xf numFmtId="9" fontId="25" fillId="0" borderId="11" xfId="1" applyFont="1" applyFill="1" applyBorder="1"/>
    <xf numFmtId="0" fontId="28" fillId="0" borderId="11" xfId="1" applyNumberFormat="1" applyFont="1" applyFill="1" applyBorder="1" applyAlignment="1">
      <alignment horizontal="center"/>
    </xf>
    <xf numFmtId="0" fontId="3" fillId="0" borderId="13" xfId="0" applyFont="1" applyFill="1" applyBorder="1"/>
    <xf numFmtId="0" fontId="44" fillId="0" borderId="14" xfId="0" applyFont="1" applyFill="1" applyBorder="1"/>
    <xf numFmtId="9" fontId="25" fillId="0" borderId="14" xfId="1" applyFont="1" applyFill="1" applyBorder="1"/>
    <xf numFmtId="0" fontId="28" fillId="0" borderId="14" xfId="1" applyNumberFormat="1" applyFont="1" applyFill="1" applyBorder="1" applyAlignment="1">
      <alignment horizontal="center"/>
    </xf>
    <xf numFmtId="0" fontId="26" fillId="22" borderId="0" xfId="0" applyFont="1" applyFill="1" applyBorder="1"/>
    <xf numFmtId="0" fontId="7" fillId="22" borderId="0" xfId="0" applyFont="1" applyFill="1" applyBorder="1" applyAlignment="1">
      <alignment horizontal="right"/>
    </xf>
    <xf numFmtId="0" fontId="3" fillId="22" borderId="0" xfId="0" applyFont="1" applyFill="1" applyBorder="1"/>
    <xf numFmtId="0" fontId="83" fillId="0" borderId="0" xfId="0" applyFont="1" applyBorder="1" applyAlignment="1">
      <alignment horizontal="left"/>
    </xf>
    <xf numFmtId="1" fontId="7" fillId="0" borderId="2" xfId="0" applyNumberFormat="1" applyFont="1" applyBorder="1"/>
    <xf numFmtId="1" fontId="7" fillId="0" borderId="0" xfId="1" applyNumberFormat="1" applyFont="1" applyBorder="1"/>
    <xf numFmtId="10" fontId="7" fillId="0" borderId="5" xfId="1" applyNumberFormat="1" applyFont="1" applyBorder="1"/>
    <xf numFmtId="0" fontId="86" fillId="0" borderId="0" xfId="0" applyFont="1"/>
    <xf numFmtId="0" fontId="17" fillId="13" borderId="0" xfId="0" applyFont="1" applyFill="1" applyBorder="1" applyAlignment="1">
      <alignment wrapText="1"/>
    </xf>
    <xf numFmtId="164" fontId="3" fillId="13" borderId="0" xfId="1" applyNumberFormat="1" applyFont="1" applyFill="1" applyBorder="1" applyAlignment="1">
      <alignment wrapText="1"/>
    </xf>
    <xf numFmtId="164" fontId="3" fillId="0" borderId="0" xfId="0" applyNumberFormat="1" applyFont="1" applyBorder="1" applyAlignment="1">
      <alignment wrapText="1"/>
    </xf>
    <xf numFmtId="164" fontId="3" fillId="13" borderId="0" xfId="1" applyNumberFormat="1" applyFont="1" applyFill="1" applyBorder="1" applyAlignment="1">
      <alignment horizontal="center" wrapText="1"/>
    </xf>
    <xf numFmtId="0" fontId="9" fillId="0" borderId="5" xfId="0" applyFont="1" applyBorder="1" applyAlignment="1"/>
    <xf numFmtId="0" fontId="3" fillId="28" borderId="0" xfId="0" applyFont="1" applyFill="1"/>
    <xf numFmtId="0" fontId="65" fillId="28" borderId="0" xfId="0" applyFont="1" applyFill="1"/>
    <xf numFmtId="9" fontId="85" fillId="0" borderId="0" xfId="1" applyFont="1" applyBorder="1" applyAlignment="1">
      <alignment horizontal="left"/>
    </xf>
    <xf numFmtId="0" fontId="0" fillId="0" borderId="0" xfId="0" applyFill="1"/>
    <xf numFmtId="0" fontId="3" fillId="29" borderId="0" xfId="0" applyFont="1" applyFill="1"/>
    <xf numFmtId="0" fontId="21" fillId="29" borderId="0" xfId="1" applyNumberFormat="1" applyFont="1" applyFill="1" applyBorder="1"/>
    <xf numFmtId="0" fontId="3" fillId="29" borderId="0" xfId="0" applyFont="1" applyFill="1" applyBorder="1"/>
    <xf numFmtId="0" fontId="16" fillId="29" borderId="0" xfId="0" applyFont="1" applyFill="1"/>
    <xf numFmtId="0" fontId="16" fillId="30" borderId="0" xfId="0" applyFont="1" applyFill="1"/>
    <xf numFmtId="2" fontId="3" fillId="30" borderId="0" xfId="0" applyNumberFormat="1" applyFont="1" applyFill="1"/>
    <xf numFmtId="0" fontId="7" fillId="0" borderId="0" xfId="0" applyFont="1" applyFill="1"/>
    <xf numFmtId="0" fontId="7" fillId="0" borderId="11" xfId="0" applyFont="1" applyBorder="1"/>
    <xf numFmtId="0" fontId="30" fillId="0" borderId="0" xfId="2" applyAlignment="1" applyProtection="1"/>
    <xf numFmtId="169" fontId="0" fillId="0" borderId="0" xfId="1" applyNumberFormat="1" applyFont="1"/>
    <xf numFmtId="0" fontId="23" fillId="0" borderId="0" xfId="0" applyFont="1" applyFill="1"/>
    <xf numFmtId="0" fontId="14" fillId="0" borderId="0" xfId="0" applyFont="1" applyFill="1"/>
    <xf numFmtId="0" fontId="48" fillId="0" borderId="0" xfId="0" applyFont="1" applyFill="1"/>
    <xf numFmtId="0" fontId="21" fillId="0" borderId="0" xfId="0" applyFont="1" applyFill="1"/>
    <xf numFmtId="1" fontId="21" fillId="0" borderId="0" xfId="0" applyNumberFormat="1" applyFont="1" applyFill="1"/>
    <xf numFmtId="0" fontId="6" fillId="0" borderId="0" xfId="0" applyFont="1" applyFill="1"/>
    <xf numFmtId="170" fontId="3" fillId="0" borderId="0" xfId="1" applyNumberFormat="1" applyFont="1" applyFill="1" applyAlignment="1">
      <alignment horizontal="right"/>
    </xf>
    <xf numFmtId="168" fontId="3" fillId="0" borderId="0" xfId="0" applyNumberFormat="1" applyFont="1" applyFill="1"/>
    <xf numFmtId="2" fontId="91" fillId="0" borderId="0" xfId="0" applyNumberFormat="1" applyFont="1" applyBorder="1" applyAlignment="1">
      <alignment horizontal="left"/>
    </xf>
    <xf numFmtId="2" fontId="20" fillId="0" borderId="5" xfId="0" applyNumberFormat="1" applyFont="1" applyBorder="1" applyAlignment="1">
      <alignment horizontal="left"/>
    </xf>
    <xf numFmtId="0" fontId="3" fillId="0" borderId="0" xfId="0" applyNumberFormat="1" applyFont="1" applyFill="1" applyBorder="1" applyAlignment="1">
      <alignment wrapText="1"/>
    </xf>
    <xf numFmtId="0" fontId="3" fillId="0" borderId="0" xfId="1" applyNumberFormat="1" applyFont="1" applyFill="1" applyBorder="1" applyAlignment="1">
      <alignment wrapText="1"/>
    </xf>
    <xf numFmtId="0" fontId="90" fillId="0" borderId="0" xfId="0" applyFont="1" applyFill="1" applyBorder="1" applyAlignment="1">
      <alignment wrapText="1"/>
    </xf>
    <xf numFmtId="0" fontId="7" fillId="0" borderId="0" xfId="1" applyNumberFormat="1" applyFont="1" applyFill="1" applyBorder="1" applyAlignment="1">
      <alignment horizontal="right" wrapText="1"/>
    </xf>
    <xf numFmtId="164" fontId="3" fillId="0" borderId="0" xfId="0" applyNumberFormat="1" applyFont="1" applyFill="1" applyBorder="1" applyAlignment="1">
      <alignment wrapText="1"/>
    </xf>
    <xf numFmtId="164" fontId="7" fillId="0" borderId="0" xfId="1" applyNumberFormat="1" applyFont="1" applyFill="1" applyBorder="1" applyAlignment="1">
      <alignment horizontal="right" wrapText="1" indent="1"/>
    </xf>
    <xf numFmtId="170" fontId="7" fillId="0" borderId="0" xfId="1" applyNumberFormat="1" applyFont="1" applyFill="1" applyBorder="1" applyAlignment="1">
      <alignment horizontal="left" wrapText="1"/>
    </xf>
    <xf numFmtId="10" fontId="3" fillId="13" borderId="0" xfId="1" applyNumberFormat="1" applyFont="1" applyFill="1" applyBorder="1" applyAlignment="1">
      <alignment wrapText="1"/>
    </xf>
    <xf numFmtId="9" fontId="7" fillId="13" borderId="0" xfId="0" applyNumberFormat="1" applyFont="1" applyFill="1" applyBorder="1" applyAlignment="1">
      <alignment horizontal="left"/>
    </xf>
    <xf numFmtId="9" fontId="3" fillId="13" borderId="0" xfId="0" applyNumberFormat="1" applyFont="1" applyFill="1" applyBorder="1" applyAlignment="1">
      <alignment wrapText="1"/>
    </xf>
    <xf numFmtId="9" fontId="3" fillId="13" borderId="0" xfId="1" applyFont="1" applyFill="1" applyBorder="1" applyAlignment="1">
      <alignment wrapText="1"/>
    </xf>
    <xf numFmtId="164" fontId="3" fillId="13" borderId="0" xfId="0" applyNumberFormat="1" applyFont="1" applyFill="1" applyBorder="1" applyAlignment="1">
      <alignment wrapText="1"/>
    </xf>
    <xf numFmtId="0" fontId="84" fillId="15" borderId="0" xfId="0" applyFont="1" applyFill="1" applyBorder="1" applyAlignment="1"/>
    <xf numFmtId="0" fontId="9" fillId="13" borderId="0" xfId="0" applyFont="1" applyFill="1" applyBorder="1"/>
    <xf numFmtId="0" fontId="65" fillId="13" borderId="0" xfId="0" applyFont="1" applyFill="1" applyBorder="1"/>
    <xf numFmtId="165" fontId="51" fillId="13" borderId="0" xfId="0" applyNumberFormat="1" applyFont="1" applyFill="1" applyBorder="1"/>
    <xf numFmtId="0" fontId="3" fillId="13" borderId="0" xfId="0" applyFont="1" applyFill="1" applyBorder="1" applyAlignment="1">
      <alignment horizontal="left"/>
    </xf>
    <xf numFmtId="9" fontId="3" fillId="0" borderId="0" xfId="1" applyFont="1" applyAlignment="1">
      <alignment wrapText="1"/>
    </xf>
    <xf numFmtId="9" fontId="3" fillId="0" borderId="0" xfId="0" applyNumberFormat="1" applyFont="1" applyAlignment="1">
      <alignment wrapText="1"/>
    </xf>
    <xf numFmtId="0" fontId="90" fillId="0" borderId="0" xfId="0" applyFont="1" applyAlignment="1">
      <alignment wrapText="1"/>
    </xf>
    <xf numFmtId="10" fontId="3" fillId="13" borderId="0" xfId="0" applyNumberFormat="1" applyFont="1" applyFill="1" applyBorder="1" applyAlignment="1">
      <alignment wrapText="1"/>
    </xf>
    <xf numFmtId="0" fontId="46" fillId="8" borderId="0" xfId="1" applyNumberFormat="1" applyFont="1" applyFill="1" applyBorder="1" applyAlignment="1" applyProtection="1">
      <alignment horizontal="center"/>
      <protection locked="0"/>
    </xf>
    <xf numFmtId="9" fontId="46" fillId="9" borderId="1" xfId="1" applyFont="1" applyFill="1" applyBorder="1" applyAlignment="1" applyProtection="1">
      <alignment horizontal="center"/>
      <protection locked="0"/>
    </xf>
    <xf numFmtId="0" fontId="3" fillId="0" borderId="0" xfId="0" applyFont="1" applyFill="1" applyBorder="1" applyAlignment="1">
      <alignment horizontal="left" wrapText="1"/>
    </xf>
    <xf numFmtId="0" fontId="81" fillId="0" borderId="0" xfId="0" applyFont="1" applyFill="1" applyBorder="1" applyAlignment="1">
      <alignment horizontal="center" wrapText="1"/>
    </xf>
    <xf numFmtId="0" fontId="3" fillId="13" borderId="0" xfId="0" applyFont="1" applyFill="1" applyAlignment="1">
      <alignment wrapText="1"/>
    </xf>
    <xf numFmtId="0" fontId="7" fillId="13" borderId="0" xfId="0" applyFont="1" applyFill="1" applyBorder="1"/>
    <xf numFmtId="0" fontId="92" fillId="2" borderId="10" xfId="0" applyFont="1" applyFill="1" applyBorder="1"/>
    <xf numFmtId="0" fontId="93" fillId="4" borderId="0" xfId="0" applyFont="1" applyFill="1" applyBorder="1"/>
    <xf numFmtId="0" fontId="94" fillId="0" borderId="0" xfId="0" applyFont="1"/>
    <xf numFmtId="1" fontId="7" fillId="0" borderId="0" xfId="0" applyNumberFormat="1" applyFont="1" applyAlignment="1">
      <alignment horizontal="right"/>
    </xf>
    <xf numFmtId="0" fontId="7" fillId="29" borderId="0" xfId="0" applyFont="1" applyFill="1"/>
    <xf numFmtId="1" fontId="7" fillId="0" borderId="0" xfId="0" applyNumberFormat="1" applyFont="1" applyFill="1"/>
    <xf numFmtId="2" fontId="7" fillId="5" borderId="0" xfId="0" applyNumberFormat="1" applyFont="1" applyFill="1"/>
    <xf numFmtId="2" fontId="7" fillId="20" borderId="0" xfId="0" applyNumberFormat="1" applyFont="1" applyFill="1"/>
    <xf numFmtId="0" fontId="7" fillId="21" borderId="0" xfId="0" applyFont="1" applyFill="1"/>
    <xf numFmtId="1" fontId="7" fillId="0" borderId="0" xfId="0" applyNumberFormat="1" applyFont="1" applyFill="1" applyBorder="1"/>
    <xf numFmtId="165" fontId="7" fillId="10" borderId="0" xfId="0" applyNumberFormat="1" applyFont="1" applyFill="1" applyBorder="1"/>
    <xf numFmtId="165" fontId="7" fillId="18" borderId="0" xfId="0" applyNumberFormat="1" applyFont="1" applyFill="1" applyBorder="1"/>
    <xf numFmtId="165" fontId="95" fillId="19" borderId="0" xfId="0" applyNumberFormat="1" applyFont="1" applyFill="1" applyBorder="1"/>
    <xf numFmtId="0" fontId="7" fillId="28" borderId="0" xfId="0" applyFont="1" applyFill="1"/>
    <xf numFmtId="164" fontId="3" fillId="0" borderId="0" xfId="1" applyNumberFormat="1" applyFont="1" applyAlignment="1">
      <alignment wrapText="1"/>
    </xf>
    <xf numFmtId="0" fontId="3" fillId="13" borderId="0" xfId="0" applyFont="1" applyFill="1" applyBorder="1" applyAlignment="1"/>
    <xf numFmtId="0" fontId="98" fillId="13" borderId="0" xfId="0" applyFont="1" applyFill="1" applyBorder="1"/>
    <xf numFmtId="0" fontId="46" fillId="27" borderId="0" xfId="1" applyNumberFormat="1" applyFont="1" applyFill="1" applyBorder="1" applyAlignment="1" applyProtection="1">
      <alignment horizontal="center"/>
      <protection locked="0"/>
    </xf>
    <xf numFmtId="0" fontId="83" fillId="13" borderId="0" xfId="0" applyFont="1" applyFill="1" applyBorder="1" applyAlignment="1">
      <alignment wrapText="1"/>
    </xf>
    <xf numFmtId="0" fontId="100" fillId="2" borderId="2" xfId="0" applyFont="1" applyFill="1" applyBorder="1" applyAlignment="1">
      <alignment horizontal="center"/>
    </xf>
    <xf numFmtId="1" fontId="100" fillId="2" borderId="5" xfId="0" applyNumberFormat="1" applyFont="1" applyFill="1" applyBorder="1" applyAlignment="1">
      <alignment wrapText="1"/>
    </xf>
    <xf numFmtId="0" fontId="96" fillId="0" borderId="0" xfId="0" applyFont="1" applyAlignment="1">
      <alignment wrapText="1"/>
    </xf>
    <xf numFmtId="0" fontId="96" fillId="2" borderId="10" xfId="0" applyFont="1" applyFill="1" applyBorder="1" applyAlignment="1">
      <alignment wrapText="1"/>
    </xf>
    <xf numFmtId="164" fontId="3" fillId="2" borderId="10" xfId="1" applyNumberFormat="1" applyFont="1" applyFill="1" applyBorder="1" applyAlignment="1">
      <alignment wrapText="1"/>
    </xf>
    <xf numFmtId="164" fontId="96" fillId="13" borderId="0" xfId="1" applyNumberFormat="1" applyFont="1" applyFill="1" applyBorder="1" applyAlignment="1">
      <alignment wrapText="1"/>
    </xf>
    <xf numFmtId="164" fontId="96" fillId="13" borderId="0" xfId="1" applyNumberFormat="1" applyFont="1" applyFill="1" applyAlignment="1">
      <alignment wrapText="1"/>
    </xf>
    <xf numFmtId="0" fontId="10" fillId="2" borderId="2" xfId="0" applyFont="1" applyFill="1" applyBorder="1" applyAlignment="1"/>
    <xf numFmtId="164" fontId="5" fillId="0" borderId="2" xfId="1" applyNumberFormat="1" applyFont="1" applyBorder="1" applyAlignment="1">
      <alignment horizontal="left" wrapText="1"/>
    </xf>
    <xf numFmtId="0" fontId="8" fillId="13" borderId="0" xfId="0" applyFont="1" applyFill="1" applyBorder="1" applyAlignment="1"/>
    <xf numFmtId="0" fontId="83" fillId="0" borderId="0" xfId="0" applyFont="1" applyBorder="1" applyAlignment="1"/>
    <xf numFmtId="9" fontId="97" fillId="13" borderId="0" xfId="1" applyFont="1" applyFill="1" applyBorder="1" applyAlignment="1">
      <alignment wrapText="1"/>
    </xf>
    <xf numFmtId="9" fontId="96" fillId="13" borderId="0" xfId="1" applyFont="1" applyFill="1" applyBorder="1" applyAlignment="1">
      <alignment wrapText="1"/>
    </xf>
    <xf numFmtId="9" fontId="102" fillId="13" borderId="0" xfId="1" applyFont="1" applyFill="1" applyBorder="1" applyAlignment="1">
      <alignment wrapText="1"/>
    </xf>
    <xf numFmtId="9" fontId="97" fillId="0" borderId="0" xfId="1" applyFont="1" applyAlignment="1">
      <alignment wrapText="1"/>
    </xf>
    <xf numFmtId="0" fontId="97" fillId="0" borderId="0" xfId="0" applyFont="1" applyAlignment="1">
      <alignment wrapText="1"/>
    </xf>
    <xf numFmtId="9" fontId="3" fillId="0" borderId="0" xfId="1" applyNumberFormat="1" applyFont="1" applyAlignment="1">
      <alignment wrapText="1"/>
    </xf>
    <xf numFmtId="9" fontId="97" fillId="0" borderId="0" xfId="1" applyNumberFormat="1" applyFont="1" applyAlignment="1">
      <alignment wrapText="1"/>
    </xf>
    <xf numFmtId="9" fontId="3" fillId="13" borderId="0" xfId="1" applyNumberFormat="1" applyFont="1" applyFill="1" applyBorder="1" applyAlignment="1">
      <alignment wrapText="1"/>
    </xf>
    <xf numFmtId="9" fontId="97" fillId="13" borderId="0" xfId="1" applyNumberFormat="1" applyFont="1" applyFill="1" applyBorder="1" applyAlignment="1">
      <alignment wrapText="1"/>
    </xf>
    <xf numFmtId="9" fontId="3" fillId="0" borderId="0" xfId="1" applyFont="1" applyAlignment="1">
      <alignment horizontal="center" wrapText="1"/>
    </xf>
    <xf numFmtId="9" fontId="3" fillId="0" borderId="0" xfId="1" applyFont="1" applyAlignment="1">
      <alignment horizontal="right" wrapText="1"/>
    </xf>
    <xf numFmtId="9" fontId="3" fillId="13" borderId="0" xfId="1" applyFont="1" applyFill="1" applyBorder="1" applyAlignment="1">
      <alignment horizontal="right" wrapText="1"/>
    </xf>
    <xf numFmtId="9" fontId="104" fillId="0" borderId="0" xfId="1" applyFont="1" applyFill="1" applyBorder="1" applyAlignment="1">
      <alignment wrapText="1"/>
    </xf>
    <xf numFmtId="9" fontId="104" fillId="13" borderId="0" xfId="1" applyFont="1" applyFill="1" applyBorder="1" applyAlignment="1">
      <alignment wrapText="1"/>
    </xf>
    <xf numFmtId="0" fontId="104" fillId="0" borderId="0" xfId="0" applyFont="1" applyAlignment="1">
      <alignment wrapText="1"/>
    </xf>
    <xf numFmtId="10" fontId="3" fillId="0" borderId="0" xfId="0" applyNumberFormat="1" applyFont="1" applyAlignment="1">
      <alignment wrapText="1"/>
    </xf>
    <xf numFmtId="10" fontId="104" fillId="0" borderId="0" xfId="0" applyNumberFormat="1" applyFont="1" applyAlignment="1">
      <alignment wrapText="1"/>
    </xf>
    <xf numFmtId="9" fontId="104" fillId="0" borderId="0" xfId="1" applyFont="1" applyAlignment="1">
      <alignment wrapText="1"/>
    </xf>
    <xf numFmtId="9" fontId="104" fillId="13" borderId="0" xfId="0" applyNumberFormat="1" applyFont="1" applyFill="1" applyBorder="1" applyAlignment="1">
      <alignment wrapText="1"/>
    </xf>
    <xf numFmtId="9" fontId="104" fillId="0" borderId="0" xfId="0" applyNumberFormat="1" applyFont="1" applyAlignment="1">
      <alignment wrapText="1"/>
    </xf>
    <xf numFmtId="9" fontId="3" fillId="0" borderId="0" xfId="0" applyNumberFormat="1" applyFont="1" applyAlignment="1">
      <alignment horizontal="center" wrapText="1"/>
    </xf>
    <xf numFmtId="9" fontId="97" fillId="0" borderId="0" xfId="0" applyNumberFormat="1" applyFont="1" applyAlignment="1">
      <alignment wrapText="1"/>
    </xf>
    <xf numFmtId="9" fontId="97" fillId="0" borderId="0" xfId="1" applyFont="1" applyBorder="1" applyAlignment="1">
      <alignment horizontal="right" wrapText="1"/>
    </xf>
    <xf numFmtId="10" fontId="97" fillId="0" borderId="0" xfId="0" applyNumberFormat="1" applyFont="1" applyAlignment="1">
      <alignment wrapText="1"/>
    </xf>
    <xf numFmtId="9" fontId="97" fillId="13" borderId="0" xfId="0" applyNumberFormat="1" applyFont="1" applyFill="1" applyBorder="1" applyAlignment="1">
      <alignment wrapText="1"/>
    </xf>
    <xf numFmtId="0" fontId="101" fillId="0" borderId="0" xfId="0" applyFont="1" applyFill="1"/>
    <xf numFmtId="10" fontId="90" fillId="0" borderId="0" xfId="0" applyNumberFormat="1" applyFont="1" applyAlignment="1">
      <alignment wrapText="1"/>
    </xf>
    <xf numFmtId="0" fontId="90" fillId="13" borderId="0" xfId="0" applyFont="1" applyFill="1" applyBorder="1" applyAlignment="1">
      <alignment wrapText="1"/>
    </xf>
    <xf numFmtId="9" fontId="90" fillId="0" borderId="0" xfId="1" applyFont="1" applyAlignment="1">
      <alignment wrapText="1"/>
    </xf>
    <xf numFmtId="9" fontId="90" fillId="13" borderId="0" xfId="1" applyFont="1" applyFill="1" applyBorder="1" applyAlignment="1">
      <alignment wrapText="1"/>
    </xf>
    <xf numFmtId="0" fontId="51" fillId="0" borderId="0" xfId="0" applyFont="1" applyFill="1" applyAlignment="1"/>
    <xf numFmtId="0" fontId="51" fillId="0" borderId="0" xfId="0" applyFont="1" applyFill="1" applyBorder="1" applyAlignment="1"/>
    <xf numFmtId="0" fontId="52" fillId="0" borderId="0" xfId="0" applyFont="1" applyFill="1" applyBorder="1" applyAlignment="1">
      <alignment horizontal="left" vertical="top"/>
    </xf>
    <xf numFmtId="9" fontId="51" fillId="0" borderId="0" xfId="1" applyFont="1" applyFill="1" applyAlignment="1"/>
    <xf numFmtId="9" fontId="51" fillId="0" borderId="0" xfId="1" applyFont="1" applyFill="1" applyBorder="1" applyAlignment="1"/>
    <xf numFmtId="1" fontId="51" fillId="0" borderId="0" xfId="0" applyNumberFormat="1" applyFont="1" applyFill="1" applyBorder="1" applyAlignment="1"/>
    <xf numFmtId="165" fontId="7" fillId="0" borderId="0" xfId="0" applyNumberFormat="1" applyFont="1"/>
    <xf numFmtId="0" fontId="106" fillId="0" borderId="0" xfId="0" applyFont="1" applyFill="1"/>
    <xf numFmtId="0" fontId="0" fillId="0" borderId="0" xfId="0" applyFont="1" applyFill="1"/>
    <xf numFmtId="164" fontId="1" fillId="0" borderId="0" xfId="1" applyNumberFormat="1" applyFont="1"/>
    <xf numFmtId="9" fontId="90" fillId="0" borderId="0" xfId="1" applyNumberFormat="1" applyFont="1" applyFill="1"/>
    <xf numFmtId="164" fontId="3" fillId="0" borderId="0" xfId="0" applyNumberFormat="1" applyFont="1" applyAlignment="1">
      <alignment wrapText="1"/>
    </xf>
    <xf numFmtId="0" fontId="3" fillId="0" borderId="0" xfId="0" applyFont="1" applyFill="1" applyAlignment="1">
      <alignment wrapText="1"/>
    </xf>
    <xf numFmtId="0" fontId="103" fillId="13" borderId="0" xfId="0" applyFont="1" applyFill="1"/>
    <xf numFmtId="0" fontId="3" fillId="0" borderId="0" xfId="0" applyFont="1" applyAlignment="1"/>
    <xf numFmtId="0" fontId="107" fillId="0" borderId="0" xfId="0" applyFont="1"/>
    <xf numFmtId="0" fontId="108" fillId="0" borderId="0" xfId="0" applyFont="1"/>
    <xf numFmtId="0" fontId="109" fillId="13" borderId="0" xfId="0" applyFont="1" applyFill="1" applyBorder="1" applyAlignment="1">
      <alignment horizontal="right"/>
    </xf>
    <xf numFmtId="2" fontId="3" fillId="0" borderId="0" xfId="0" applyNumberFormat="1" applyFont="1" applyAlignment="1">
      <alignment horizontal="left"/>
    </xf>
    <xf numFmtId="0" fontId="83" fillId="0" borderId="0" xfId="0" applyFont="1" applyBorder="1" applyAlignment="1">
      <alignment horizontal="left" wrapText="1"/>
    </xf>
    <xf numFmtId="0" fontId="37" fillId="13" borderId="0" xfId="0" applyFont="1" applyFill="1" applyAlignment="1">
      <alignment horizontal="right"/>
    </xf>
    <xf numFmtId="0" fontId="31" fillId="13" borderId="0" xfId="0" applyFont="1" applyFill="1" applyAlignment="1">
      <alignment horizontal="right"/>
    </xf>
    <xf numFmtId="0" fontId="76" fillId="13" borderId="0" xfId="0" applyFont="1" applyFill="1" applyAlignment="1">
      <alignment horizontal="right"/>
    </xf>
    <xf numFmtId="0" fontId="0" fillId="13" borderId="0" xfId="0" applyFill="1" applyAlignment="1">
      <alignment horizontal="right"/>
    </xf>
    <xf numFmtId="0" fontId="76" fillId="13" borderId="0" xfId="0" applyFont="1" applyFill="1" applyBorder="1" applyAlignment="1">
      <alignment horizontal="right"/>
    </xf>
    <xf numFmtId="2" fontId="76" fillId="13" borderId="0" xfId="3" applyNumberFormat="1" applyFont="1" applyFill="1" applyBorder="1" applyAlignment="1">
      <alignment horizontal="right"/>
    </xf>
    <xf numFmtId="2" fontId="76" fillId="13" borderId="0" xfId="0" applyNumberFormat="1" applyFont="1" applyFill="1" applyBorder="1" applyAlignment="1">
      <alignment horizontal="right"/>
    </xf>
    <xf numFmtId="2" fontId="75" fillId="13" borderId="0" xfId="3" applyNumberFormat="1" applyFont="1" applyFill="1" applyBorder="1" applyAlignment="1">
      <alignment horizontal="right"/>
    </xf>
    <xf numFmtId="2" fontId="38" fillId="13" borderId="0" xfId="3" applyNumberFormat="1" applyFont="1" applyFill="1" applyBorder="1" applyAlignment="1">
      <alignment horizontal="right"/>
    </xf>
    <xf numFmtId="0" fontId="37" fillId="13" borderId="0" xfId="0" applyFont="1" applyFill="1" applyBorder="1" applyAlignment="1">
      <alignment horizontal="right"/>
    </xf>
    <xf numFmtId="0" fontId="40" fillId="13" borderId="0" xfId="0" applyFont="1" applyFill="1" applyAlignment="1">
      <alignment horizontal="left"/>
    </xf>
    <xf numFmtId="0" fontId="37" fillId="13" borderId="0" xfId="0" applyFont="1" applyFill="1" applyAlignment="1">
      <alignment horizontal="left"/>
    </xf>
    <xf numFmtId="0" fontId="107" fillId="0" borderId="13" xfId="0" applyFont="1" applyBorder="1"/>
    <xf numFmtId="0" fontId="0" fillId="0" borderId="14" xfId="0" applyBorder="1"/>
    <xf numFmtId="0" fontId="0" fillId="0" borderId="15" xfId="0" applyBorder="1"/>
    <xf numFmtId="0" fontId="0" fillId="0" borderId="16" xfId="0" applyBorder="1"/>
    <xf numFmtId="0" fontId="0" fillId="0" borderId="17" xfId="0" applyBorder="1"/>
    <xf numFmtId="0" fontId="0" fillId="0" borderId="18" xfId="0" applyBorder="1"/>
    <xf numFmtId="0" fontId="0" fillId="0" borderId="11" xfId="0" applyBorder="1"/>
    <xf numFmtId="0" fontId="0" fillId="0" borderId="19" xfId="0" applyBorder="1"/>
    <xf numFmtId="0" fontId="110" fillId="0" borderId="0" xfId="0" applyFont="1"/>
    <xf numFmtId="0" fontId="111" fillId="0" borderId="0" xfId="0" applyFont="1" applyBorder="1"/>
    <xf numFmtId="0" fontId="111" fillId="0" borderId="0" xfId="0" applyFont="1" applyBorder="1" applyAlignment="1">
      <alignment horizontal="right"/>
    </xf>
    <xf numFmtId="0" fontId="114" fillId="0" borderId="0" xfId="0" applyFont="1"/>
    <xf numFmtId="0" fontId="115" fillId="0" borderId="0" xfId="0" applyFont="1"/>
    <xf numFmtId="0" fontId="116" fillId="13" borderId="0" xfId="0" applyFont="1" applyFill="1"/>
    <xf numFmtId="0" fontId="117" fillId="13" borderId="0" xfId="0" applyFont="1" applyFill="1"/>
    <xf numFmtId="0" fontId="107" fillId="13" borderId="0" xfId="0" applyFont="1" applyFill="1"/>
    <xf numFmtId="0" fontId="107" fillId="13" borderId="0" xfId="0" applyFont="1" applyFill="1" applyBorder="1"/>
    <xf numFmtId="1" fontId="70" fillId="0" borderId="0" xfId="0" applyNumberFormat="1" applyFont="1" applyAlignment="1">
      <alignment horizontal="left"/>
    </xf>
    <xf numFmtId="0" fontId="113" fillId="13" borderId="0" xfId="0" applyFont="1" applyFill="1" applyAlignment="1">
      <alignment wrapText="1"/>
    </xf>
    <xf numFmtId="0" fontId="0" fillId="13" borderId="0" xfId="0" applyFill="1" applyAlignment="1">
      <alignment wrapText="1"/>
    </xf>
    <xf numFmtId="0" fontId="106" fillId="13" borderId="0" xfId="0" applyFont="1" applyFill="1" applyAlignment="1">
      <alignment wrapText="1"/>
    </xf>
    <xf numFmtId="0" fontId="106" fillId="0" borderId="0" xfId="0" applyFont="1" applyAlignment="1">
      <alignment wrapText="1"/>
    </xf>
    <xf numFmtId="0" fontId="118" fillId="13" borderId="0" xfId="0" applyFont="1" applyFill="1" applyAlignment="1">
      <alignment wrapText="1"/>
    </xf>
    <xf numFmtId="0" fontId="119" fillId="0" borderId="0" xfId="0" applyFont="1" applyAlignment="1">
      <alignment horizontal="center" vertical="center" readingOrder="1"/>
    </xf>
    <xf numFmtId="0" fontId="120" fillId="0" borderId="0" xfId="0" applyFont="1" applyAlignment="1">
      <alignment horizontal="center" vertical="center" readingOrder="1"/>
    </xf>
    <xf numFmtId="0" fontId="61" fillId="0" borderId="0" xfId="0" applyFont="1" applyFill="1" applyBorder="1" applyAlignment="1">
      <alignment horizontal="left"/>
    </xf>
    <xf numFmtId="9" fontId="3" fillId="0" borderId="0" xfId="1" applyFont="1" applyAlignment="1"/>
    <xf numFmtId="0" fontId="121" fillId="0" borderId="0" xfId="0" applyFont="1" applyFill="1" applyAlignment="1"/>
    <xf numFmtId="0" fontId="121" fillId="0" borderId="0" xfId="0" applyFont="1" applyFill="1" applyBorder="1" applyAlignment="1"/>
    <xf numFmtId="0" fontId="121" fillId="0" borderId="0" xfId="0" applyFont="1" applyBorder="1"/>
    <xf numFmtId="0" fontId="122" fillId="13" borderId="0" xfId="0" applyFont="1" applyFill="1" applyBorder="1"/>
    <xf numFmtId="9" fontId="99" fillId="13" borderId="0" xfId="1" applyFont="1" applyFill="1" applyBorder="1" applyAlignment="1" applyProtection="1">
      <protection locked="0"/>
    </xf>
    <xf numFmtId="9" fontId="99" fillId="13" borderId="0" xfId="1" applyFont="1" applyFill="1" applyBorder="1" applyAlignment="1" applyProtection="1"/>
    <xf numFmtId="0" fontId="123" fillId="0" borderId="0" xfId="0" applyFont="1"/>
    <xf numFmtId="0" fontId="59" fillId="0" borderId="0" xfId="0" applyFont="1" applyBorder="1"/>
    <xf numFmtId="0" fontId="59" fillId="0" borderId="5" xfId="0" applyFont="1" applyBorder="1"/>
    <xf numFmtId="0" fontId="59" fillId="0" borderId="10" xfId="0" applyFont="1" applyBorder="1"/>
    <xf numFmtId="0" fontId="59" fillId="0" borderId="2" xfId="0" applyFont="1" applyBorder="1"/>
    <xf numFmtId="2" fontId="3" fillId="0" borderId="5" xfId="0" applyNumberFormat="1" applyFont="1" applyBorder="1" applyAlignment="1">
      <alignment horizontal="left"/>
    </xf>
    <xf numFmtId="2" fontId="3" fillId="0" borderId="0" xfId="0" applyNumberFormat="1" applyFont="1" applyBorder="1" applyAlignment="1">
      <alignment horizontal="left"/>
    </xf>
    <xf numFmtId="10" fontId="105" fillId="33" borderId="0" xfId="1" applyNumberFormat="1" applyFont="1" applyFill="1"/>
    <xf numFmtId="0" fontId="105" fillId="33" borderId="0" xfId="0" applyFont="1" applyFill="1"/>
    <xf numFmtId="0" fontId="124" fillId="33" borderId="0" xfId="0" applyFont="1" applyFill="1" applyBorder="1"/>
    <xf numFmtId="164" fontId="97" fillId="0" borderId="20" xfId="1" applyNumberFormat="1" applyFont="1" applyBorder="1" applyAlignment="1" applyProtection="1">
      <alignment wrapText="1"/>
      <protection locked="0"/>
    </xf>
    <xf numFmtId="0" fontId="66" fillId="13" borderId="0" xfId="0" applyFont="1" applyFill="1" applyBorder="1"/>
    <xf numFmtId="0" fontId="77" fillId="13" borderId="0" xfId="0" applyFont="1" applyFill="1" applyBorder="1"/>
    <xf numFmtId="0" fontId="78" fillId="13" borderId="0" xfId="0" applyFont="1" applyFill="1" applyBorder="1"/>
    <xf numFmtId="0" fontId="0" fillId="13" borderId="0" xfId="0" applyFont="1" applyFill="1" applyBorder="1"/>
    <xf numFmtId="0" fontId="89" fillId="13" borderId="0" xfId="0" applyFont="1" applyFill="1" applyBorder="1"/>
    <xf numFmtId="2" fontId="125" fillId="0" borderId="0" xfId="3" applyNumberFormat="1" applyFont="1" applyBorder="1" applyAlignment="1">
      <alignment horizontal="right"/>
    </xf>
    <xf numFmtId="2" fontId="125" fillId="0" borderId="5" xfId="3" applyNumberFormat="1" applyFont="1" applyBorder="1" applyAlignment="1">
      <alignment horizontal="right"/>
    </xf>
    <xf numFmtId="2" fontId="125" fillId="0" borderId="0" xfId="3" applyNumberFormat="1" applyFont="1" applyBorder="1" applyAlignment="1">
      <alignment horizontal="left"/>
    </xf>
    <xf numFmtId="2" fontId="125" fillId="0" borderId="5" xfId="3" applyNumberFormat="1" applyFont="1" applyBorder="1" applyAlignment="1">
      <alignment horizontal="left"/>
    </xf>
    <xf numFmtId="2" fontId="125" fillId="0" borderId="10" xfId="3" applyNumberFormat="1" applyFont="1" applyBorder="1" applyAlignment="1">
      <alignment horizontal="right"/>
    </xf>
    <xf numFmtId="0" fontId="125" fillId="0" borderId="0" xfId="0" applyFont="1" applyBorder="1"/>
    <xf numFmtId="164" fontId="0" fillId="0" borderId="0" xfId="1" applyNumberFormat="1" applyFont="1"/>
    <xf numFmtId="0" fontId="126" fillId="0" borderId="0" xfId="0" applyFont="1" applyAlignment="1">
      <alignment wrapText="1"/>
    </xf>
    <xf numFmtId="10" fontId="126" fillId="0" borderId="0" xfId="1" applyNumberFormat="1" applyFont="1" applyAlignment="1">
      <alignment wrapText="1"/>
    </xf>
    <xf numFmtId="0" fontId="126" fillId="13" borderId="0" xfId="0" applyFont="1" applyFill="1" applyBorder="1" applyAlignment="1">
      <alignment wrapText="1"/>
    </xf>
    <xf numFmtId="9" fontId="126" fillId="13" borderId="0" xfId="1" applyFont="1" applyFill="1" applyBorder="1" applyAlignment="1">
      <alignment wrapText="1"/>
    </xf>
    <xf numFmtId="9" fontId="127" fillId="13" borderId="0" xfId="1" applyFont="1" applyFill="1" applyBorder="1" applyAlignment="1">
      <alignment wrapText="1"/>
    </xf>
    <xf numFmtId="9" fontId="126" fillId="0" borderId="0" xfId="1" applyFont="1" applyAlignment="1">
      <alignment wrapText="1"/>
    </xf>
    <xf numFmtId="10" fontId="126" fillId="0" borderId="0" xfId="0" applyNumberFormat="1" applyFont="1" applyAlignment="1">
      <alignment wrapText="1"/>
    </xf>
    <xf numFmtId="10" fontId="127" fillId="0" borderId="0" xfId="1" applyNumberFormat="1" applyFont="1" applyAlignment="1">
      <alignment wrapText="1"/>
    </xf>
    <xf numFmtId="10" fontId="127" fillId="0" borderId="0" xfId="0" applyNumberFormat="1" applyFont="1" applyAlignment="1">
      <alignment wrapText="1"/>
    </xf>
    <xf numFmtId="10" fontId="128" fillId="0" borderId="0" xfId="1" applyNumberFormat="1" applyFont="1" applyAlignment="1">
      <alignment wrapText="1"/>
    </xf>
    <xf numFmtId="10" fontId="129" fillId="0" borderId="0" xfId="1" applyNumberFormat="1" applyFont="1" applyAlignment="1">
      <alignment wrapText="1"/>
    </xf>
    <xf numFmtId="10" fontId="130" fillId="0" borderId="0" xfId="1" applyNumberFormat="1" applyFont="1" applyAlignment="1">
      <alignment wrapText="1"/>
    </xf>
    <xf numFmtId="10" fontId="130" fillId="0" borderId="0" xfId="0" applyNumberFormat="1" applyFont="1" applyAlignment="1">
      <alignment wrapText="1"/>
    </xf>
    <xf numFmtId="10" fontId="128" fillId="0" borderId="0" xfId="0" applyNumberFormat="1" applyFont="1" applyAlignment="1">
      <alignment wrapText="1"/>
    </xf>
    <xf numFmtId="9" fontId="128" fillId="13" borderId="0" xfId="1" applyFont="1" applyFill="1" applyBorder="1" applyAlignment="1">
      <alignment wrapText="1"/>
    </xf>
    <xf numFmtId="9" fontId="131" fillId="13" borderId="0" xfId="1" applyFont="1" applyFill="1" applyBorder="1" applyAlignment="1">
      <alignment wrapText="1"/>
    </xf>
    <xf numFmtId="10" fontId="128" fillId="0" borderId="0" xfId="1" applyNumberFormat="1" applyFont="1"/>
    <xf numFmtId="164" fontId="126" fillId="0" borderId="0" xfId="1" applyNumberFormat="1" applyFont="1" applyAlignment="1">
      <alignment wrapText="1"/>
    </xf>
    <xf numFmtId="9" fontId="127" fillId="0" borderId="0" xfId="1" applyFont="1" applyFill="1" applyBorder="1" applyAlignment="1">
      <alignment wrapText="1"/>
    </xf>
    <xf numFmtId="0" fontId="126" fillId="0" borderId="0" xfId="0" applyFont="1"/>
    <xf numFmtId="169" fontId="126" fillId="0" borderId="0" xfId="1" applyNumberFormat="1" applyFont="1"/>
    <xf numFmtId="10" fontId="126" fillId="0" borderId="0" xfId="1" applyNumberFormat="1" applyFont="1"/>
    <xf numFmtId="10" fontId="127" fillId="0" borderId="0" xfId="1" applyNumberFormat="1" applyFont="1"/>
    <xf numFmtId="164" fontId="128" fillId="0" borderId="0" xfId="1" applyNumberFormat="1" applyFont="1"/>
    <xf numFmtId="164" fontId="126" fillId="0" borderId="0" xfId="1" applyNumberFormat="1" applyFont="1"/>
    <xf numFmtId="10" fontId="130" fillId="0" borderId="0" xfId="1" applyNumberFormat="1" applyFont="1"/>
    <xf numFmtId="169" fontId="128" fillId="0" borderId="0" xfId="1" applyNumberFormat="1" applyFont="1"/>
    <xf numFmtId="9" fontId="126" fillId="0" borderId="0" xfId="1" applyFont="1"/>
    <xf numFmtId="164" fontId="97" fillId="0" borderId="0" xfId="1" applyNumberFormat="1" applyFont="1" applyAlignment="1">
      <alignment wrapText="1"/>
    </xf>
    <xf numFmtId="164" fontId="90" fillId="13" borderId="0" xfId="1" applyNumberFormat="1" applyFont="1" applyFill="1" applyBorder="1" applyAlignment="1">
      <alignment wrapText="1"/>
    </xf>
    <xf numFmtId="164" fontId="97" fillId="13" borderId="0" xfId="1" applyNumberFormat="1" applyFont="1" applyFill="1" applyBorder="1" applyAlignment="1">
      <alignment wrapText="1"/>
    </xf>
    <xf numFmtId="0" fontId="126" fillId="0" borderId="0" xfId="0" applyNumberFormat="1" applyFont="1"/>
    <xf numFmtId="0" fontId="126" fillId="0" borderId="0" xfId="1" applyNumberFormat="1" applyFont="1"/>
    <xf numFmtId="0" fontId="3" fillId="0" borderId="0" xfId="0" applyFont="1" applyFill="1" applyBorder="1" applyAlignment="1">
      <alignment wrapText="1"/>
    </xf>
    <xf numFmtId="9" fontId="90" fillId="0" borderId="0" xfId="0" applyNumberFormat="1" applyFont="1" applyAlignment="1">
      <alignment wrapText="1"/>
    </xf>
    <xf numFmtId="0" fontId="126" fillId="0" borderId="0" xfId="0" applyFont="1" applyFill="1"/>
    <xf numFmtId="0" fontId="126" fillId="0" borderId="0" xfId="0" applyNumberFormat="1" applyFont="1" applyBorder="1"/>
    <xf numFmtId="0" fontId="126" fillId="0" borderId="0" xfId="1" applyNumberFormat="1" applyFont="1" applyBorder="1"/>
    <xf numFmtId="0" fontId="126" fillId="0" borderId="0" xfId="0" applyFont="1" applyBorder="1"/>
    <xf numFmtId="9" fontId="3" fillId="0" borderId="0" xfId="1" applyFont="1" applyBorder="1" applyAlignment="1">
      <alignment horizontal="right" wrapText="1"/>
    </xf>
    <xf numFmtId="9" fontId="90" fillId="0" borderId="0" xfId="1" applyFont="1" applyBorder="1" applyAlignment="1">
      <alignment horizontal="right" wrapText="1"/>
    </xf>
    <xf numFmtId="164" fontId="3" fillId="0" borderId="0" xfId="1" applyNumberFormat="1" applyFont="1" applyBorder="1" applyAlignment="1">
      <alignment horizontal="right" wrapText="1"/>
    </xf>
    <xf numFmtId="164" fontId="97" fillId="0" borderId="0" xfId="1" applyNumberFormat="1" applyFont="1" applyBorder="1" applyAlignment="1">
      <alignment horizontal="right" wrapText="1"/>
    </xf>
    <xf numFmtId="164" fontId="90" fillId="0" borderId="0" xfId="1" applyNumberFormat="1" applyFont="1" applyBorder="1" applyAlignment="1">
      <alignment horizontal="right" wrapText="1"/>
    </xf>
    <xf numFmtId="9" fontId="104" fillId="0" borderId="0" xfId="1" applyFont="1" applyBorder="1" applyAlignment="1">
      <alignment horizontal="right" wrapText="1"/>
    </xf>
    <xf numFmtId="0" fontId="126" fillId="0" borderId="0" xfId="0" applyFont="1" applyFill="1" applyBorder="1"/>
    <xf numFmtId="9" fontId="3" fillId="0" borderId="0" xfId="0" applyNumberFormat="1" applyFont="1" applyBorder="1" applyAlignment="1">
      <alignment horizontal="right" wrapText="1"/>
    </xf>
    <xf numFmtId="9" fontId="96" fillId="0" borderId="0" xfId="1" applyFont="1" applyBorder="1" applyAlignment="1">
      <alignment horizontal="right" wrapText="1"/>
    </xf>
    <xf numFmtId="0" fontId="132" fillId="0" borderId="0" xfId="0" applyFont="1" applyFill="1" applyAlignment="1"/>
    <xf numFmtId="0" fontId="133" fillId="0" borderId="0" xfId="0" applyFont="1" applyAlignment="1">
      <alignment wrapText="1"/>
    </xf>
    <xf numFmtId="0" fontId="134" fillId="0" borderId="0" xfId="0" applyFont="1" applyAlignment="1">
      <alignment wrapText="1"/>
    </xf>
    <xf numFmtId="0" fontId="132" fillId="0" borderId="0" xfId="0" applyFont="1" applyFill="1" applyBorder="1" applyAlignment="1"/>
    <xf numFmtId="9" fontId="132" fillId="0" borderId="0" xfId="1" applyFont="1" applyFill="1" applyAlignment="1"/>
    <xf numFmtId="0" fontId="134" fillId="0" borderId="0" xfId="0" applyFont="1" applyAlignment="1"/>
    <xf numFmtId="0" fontId="133" fillId="13" borderId="13" xfId="0" applyFont="1" applyFill="1" applyBorder="1"/>
    <xf numFmtId="0" fontId="133" fillId="13" borderId="14" xfId="0" applyFont="1" applyFill="1" applyBorder="1"/>
    <xf numFmtId="0" fontId="133" fillId="0" borderId="0" xfId="0" applyFont="1" applyBorder="1" applyAlignment="1">
      <alignment wrapText="1"/>
    </xf>
    <xf numFmtId="0" fontId="133" fillId="13" borderId="16" xfId="0" applyFont="1" applyFill="1" applyBorder="1"/>
    <xf numFmtId="0" fontId="133" fillId="13" borderId="0" xfId="0" applyFont="1" applyFill="1" applyBorder="1"/>
    <xf numFmtId="0" fontId="135" fillId="13" borderId="0" xfId="0" applyFont="1" applyFill="1" applyBorder="1" applyAlignment="1">
      <alignment horizontal="right"/>
    </xf>
    <xf numFmtId="0" fontId="134" fillId="0" borderId="0" xfId="0" applyFont="1" applyBorder="1" applyAlignment="1"/>
    <xf numFmtId="9" fontId="133" fillId="0" borderId="0" xfId="0" applyNumberFormat="1" applyFont="1" applyAlignment="1">
      <alignment wrapText="1"/>
    </xf>
    <xf numFmtId="0" fontId="137" fillId="13" borderId="0" xfId="0" applyFont="1" applyFill="1" applyBorder="1"/>
    <xf numFmtId="0" fontId="132" fillId="0" borderId="0" xfId="0" applyFont="1" applyAlignment="1"/>
    <xf numFmtId="0" fontId="138" fillId="0" borderId="0" xfId="0" applyFont="1" applyAlignment="1"/>
    <xf numFmtId="0" fontId="133" fillId="0" borderId="0" xfId="0" applyFont="1" applyFill="1" applyBorder="1" applyAlignment="1">
      <alignment wrapText="1"/>
    </xf>
    <xf numFmtId="0" fontId="133" fillId="13" borderId="0" xfId="0" applyFont="1" applyFill="1" applyBorder="1" applyAlignment="1">
      <alignment wrapText="1"/>
    </xf>
    <xf numFmtId="1" fontId="133" fillId="13" borderId="0" xfId="0" applyNumberFormat="1" applyFont="1" applyFill="1" applyBorder="1" applyAlignment="1">
      <alignment wrapText="1"/>
    </xf>
    <xf numFmtId="0" fontId="132" fillId="13" borderId="0" xfId="0" applyFont="1" applyFill="1" applyBorder="1" applyAlignment="1">
      <alignment wrapText="1"/>
    </xf>
    <xf numFmtId="0" fontId="139" fillId="2" borderId="2" xfId="0" applyFont="1" applyFill="1" applyBorder="1" applyAlignment="1">
      <alignment horizontal="center"/>
    </xf>
    <xf numFmtId="0" fontId="140" fillId="13" borderId="0" xfId="0" applyFont="1" applyFill="1" applyBorder="1" applyAlignment="1">
      <alignment horizontal="center"/>
    </xf>
    <xf numFmtId="0" fontId="141" fillId="13" borderId="0" xfId="0" applyFont="1" applyFill="1" applyBorder="1" applyAlignment="1">
      <alignment horizontal="center"/>
    </xf>
    <xf numFmtId="1" fontId="139" fillId="2" borderId="5" xfId="0" applyNumberFormat="1" applyFont="1" applyFill="1" applyBorder="1" applyAlignment="1">
      <alignment wrapText="1"/>
    </xf>
    <xf numFmtId="1" fontId="140" fillId="13" borderId="0" xfId="0" applyNumberFormat="1" applyFont="1" applyFill="1" applyBorder="1" applyAlignment="1">
      <alignment wrapText="1"/>
    </xf>
    <xf numFmtId="0" fontId="143" fillId="0" borderId="0" xfId="0" applyFont="1" applyAlignment="1">
      <alignment horizontal="right" wrapText="1"/>
    </xf>
    <xf numFmtId="0" fontId="144" fillId="0" borderId="0" xfId="0" applyFont="1" applyAlignment="1">
      <alignment horizontal="center" wrapText="1"/>
    </xf>
    <xf numFmtId="9" fontId="133" fillId="0" borderId="0" xfId="1" applyFont="1" applyAlignment="1">
      <alignment wrapText="1"/>
    </xf>
    <xf numFmtId="0" fontId="134" fillId="13" borderId="0" xfId="0" applyFont="1" applyFill="1" applyBorder="1" applyAlignment="1">
      <alignment wrapText="1"/>
    </xf>
    <xf numFmtId="0" fontId="132" fillId="0" borderId="0" xfId="0" applyFont="1" applyAlignment="1">
      <alignment wrapText="1"/>
    </xf>
    <xf numFmtId="0" fontId="145" fillId="2" borderId="10" xfId="0" applyFont="1" applyFill="1" applyBorder="1" applyAlignment="1"/>
    <xf numFmtId="0" fontId="145" fillId="2" borderId="10" xfId="0" applyFont="1" applyFill="1" applyBorder="1" applyAlignment="1">
      <alignment horizontal="right"/>
    </xf>
    <xf numFmtId="0" fontId="133" fillId="2" borderId="10" xfId="0" applyFont="1" applyFill="1" applyBorder="1" applyAlignment="1">
      <alignment wrapText="1"/>
    </xf>
    <xf numFmtId="0" fontId="146" fillId="13" borderId="0" xfId="0" applyFont="1" applyFill="1" applyBorder="1" applyAlignment="1">
      <alignment wrapText="1"/>
    </xf>
    <xf numFmtId="0" fontId="147" fillId="13" borderId="0" xfId="0" applyFont="1" applyFill="1" applyBorder="1" applyAlignment="1">
      <alignment wrapText="1"/>
    </xf>
    <xf numFmtId="0" fontId="133" fillId="0" borderId="0" xfId="0" applyFont="1" applyAlignment="1"/>
    <xf numFmtId="0" fontId="150" fillId="0" borderId="0" xfId="0" applyFont="1" applyAlignment="1">
      <alignment horizontal="right" wrapText="1"/>
    </xf>
    <xf numFmtId="0" fontId="151" fillId="0" borderId="20" xfId="0" applyFont="1" applyBorder="1" applyAlignment="1" applyProtection="1">
      <alignment wrapText="1"/>
      <protection locked="0"/>
    </xf>
    <xf numFmtId="0" fontId="133" fillId="0" borderId="0" xfId="0" applyFont="1" applyAlignment="1">
      <alignment horizontal="right" wrapText="1"/>
    </xf>
    <xf numFmtId="10" fontId="146" fillId="13" borderId="0" xfId="1" applyNumberFormat="1" applyFont="1" applyFill="1" applyBorder="1" applyAlignment="1">
      <alignment wrapText="1"/>
    </xf>
    <xf numFmtId="10" fontId="147" fillId="13" borderId="0" xfId="1" applyNumberFormat="1" applyFont="1" applyFill="1" applyBorder="1" applyAlignment="1">
      <alignment wrapText="1"/>
    </xf>
    <xf numFmtId="10" fontId="133" fillId="0" borderId="0" xfId="1" applyNumberFormat="1" applyFont="1" applyAlignment="1">
      <alignment wrapText="1"/>
    </xf>
    <xf numFmtId="10" fontId="132" fillId="0" borderId="0" xfId="1" applyNumberFormat="1" applyFont="1" applyAlignment="1">
      <alignment wrapText="1"/>
    </xf>
    <xf numFmtId="10" fontId="134" fillId="0" borderId="0" xfId="1" applyNumberFormat="1" applyFont="1" applyAlignment="1">
      <alignment wrapText="1"/>
    </xf>
    <xf numFmtId="0" fontId="150" fillId="0" borderId="0" xfId="0" applyFont="1" applyAlignment="1">
      <alignment wrapText="1"/>
    </xf>
    <xf numFmtId="10" fontId="151" fillId="0" borderId="21" xfId="1" applyNumberFormat="1" applyFont="1" applyBorder="1" applyAlignment="1" applyProtection="1">
      <alignment wrapText="1"/>
      <protection locked="0"/>
    </xf>
    <xf numFmtId="0" fontId="132" fillId="0" borderId="0" xfId="1" applyNumberFormat="1" applyFont="1" applyAlignment="1">
      <alignment wrapText="1"/>
    </xf>
    <xf numFmtId="0" fontId="134" fillId="0" borderId="0" xfId="1" applyNumberFormat="1" applyFont="1" applyAlignment="1">
      <alignment wrapText="1"/>
    </xf>
    <xf numFmtId="9" fontId="132" fillId="0" borderId="0" xfId="1" applyFont="1" applyAlignment="1">
      <alignment wrapText="1"/>
    </xf>
    <xf numFmtId="2" fontId="150" fillId="0" borderId="0" xfId="0" applyNumberFormat="1" applyFont="1" applyAlignment="1">
      <alignment wrapText="1"/>
    </xf>
    <xf numFmtId="164" fontId="132" fillId="0" borderId="0" xfId="1" applyNumberFormat="1" applyFont="1" applyAlignment="1">
      <alignment wrapText="1"/>
    </xf>
    <xf numFmtId="164" fontId="134" fillId="0" borderId="0" xfId="1" applyNumberFormat="1" applyFont="1" applyAlignment="1">
      <alignment wrapText="1"/>
    </xf>
    <xf numFmtId="0" fontId="152" fillId="13" borderId="0" xfId="0" applyFont="1" applyFill="1" applyBorder="1" applyAlignment="1">
      <alignment wrapText="1"/>
    </xf>
    <xf numFmtId="0" fontId="153" fillId="2" borderId="10" xfId="0" applyFont="1" applyFill="1" applyBorder="1" applyAlignment="1"/>
    <xf numFmtId="9" fontId="155" fillId="0" borderId="20" xfId="1" applyFont="1" applyBorder="1" applyAlignment="1" applyProtection="1">
      <alignment horizontal="center" wrapText="1"/>
      <protection locked="0"/>
    </xf>
    <xf numFmtId="0" fontId="156" fillId="0" borderId="0" xfId="0" applyFont="1" applyAlignment="1"/>
    <xf numFmtId="0" fontId="133" fillId="25" borderId="10" xfId="0" applyFont="1" applyFill="1" applyBorder="1" applyAlignment="1">
      <alignment wrapText="1"/>
    </xf>
    <xf numFmtId="0" fontId="152" fillId="0" borderId="0" xfId="0" applyFont="1" applyAlignment="1">
      <alignment wrapText="1"/>
    </xf>
    <xf numFmtId="0" fontId="153" fillId="0" borderId="0" xfId="0" applyFont="1" applyFill="1" applyBorder="1" applyAlignment="1"/>
    <xf numFmtId="0" fontId="143" fillId="0" borderId="0" xfId="0" applyFont="1" applyFill="1" applyBorder="1" applyAlignment="1">
      <alignment horizontal="right"/>
    </xf>
    <xf numFmtId="0" fontId="143" fillId="0" borderId="0" xfId="0" applyFont="1" applyAlignment="1">
      <alignment horizontal="right"/>
    </xf>
    <xf numFmtId="1" fontId="133" fillId="0" borderId="0" xfId="0" applyNumberFormat="1" applyFont="1" applyAlignment="1">
      <alignment wrapText="1"/>
    </xf>
    <xf numFmtId="0" fontId="154" fillId="0" borderId="0" xfId="0" applyFont="1" applyAlignment="1">
      <alignment wrapText="1"/>
    </xf>
    <xf numFmtId="0" fontId="159" fillId="0" borderId="0" xfId="0" applyFont="1" applyAlignment="1">
      <alignment wrapText="1"/>
    </xf>
    <xf numFmtId="164" fontId="152" fillId="13" borderId="0" xfId="1" applyNumberFormat="1" applyFont="1" applyFill="1" applyBorder="1" applyAlignment="1">
      <alignment horizontal="center" wrapText="1"/>
    </xf>
    <xf numFmtId="10" fontId="152" fillId="13" borderId="0" xfId="1" applyNumberFormat="1" applyFont="1" applyFill="1" applyBorder="1" applyAlignment="1">
      <alignment wrapText="1"/>
    </xf>
    <xf numFmtId="9" fontId="152" fillId="13" borderId="0" xfId="1" applyFont="1" applyFill="1" applyBorder="1" applyAlignment="1">
      <alignment wrapText="1"/>
    </xf>
    <xf numFmtId="9" fontId="152" fillId="0" borderId="0" xfId="1" applyFont="1" applyAlignment="1">
      <alignment wrapText="1"/>
    </xf>
    <xf numFmtId="0" fontId="152" fillId="13" borderId="0" xfId="0" applyFont="1" applyFill="1" applyBorder="1" applyAlignment="1">
      <alignment horizontal="center" wrapText="1"/>
    </xf>
    <xf numFmtId="0" fontId="152" fillId="0" borderId="0" xfId="0" applyFont="1" applyFill="1" applyBorder="1" applyAlignment="1">
      <alignment wrapText="1"/>
    </xf>
    <xf numFmtId="0" fontId="161" fillId="13" borderId="0" xfId="0" applyFont="1" applyFill="1" applyBorder="1" applyAlignment="1">
      <alignment wrapText="1"/>
    </xf>
    <xf numFmtId="0" fontId="152" fillId="13" borderId="0" xfId="0" applyFont="1" applyFill="1" applyAlignment="1">
      <alignment wrapText="1"/>
    </xf>
    <xf numFmtId="0" fontId="133" fillId="13" borderId="0" xfId="0" applyFont="1" applyFill="1" applyAlignment="1">
      <alignment wrapText="1"/>
    </xf>
    <xf numFmtId="0" fontId="148" fillId="13" borderId="0" xfId="0" applyFont="1" applyFill="1" applyBorder="1" applyAlignment="1">
      <alignment wrapText="1"/>
    </xf>
    <xf numFmtId="9" fontId="162" fillId="13" borderId="0" xfId="1" applyFont="1" applyFill="1" applyBorder="1" applyAlignment="1">
      <alignment wrapText="1"/>
    </xf>
    <xf numFmtId="9" fontId="162" fillId="13" borderId="0" xfId="1" applyFont="1" applyFill="1" applyBorder="1" applyAlignment="1">
      <alignment horizontal="center" wrapText="1"/>
    </xf>
    <xf numFmtId="0" fontId="162" fillId="13" borderId="0" xfId="0" applyFont="1" applyFill="1" applyBorder="1" applyAlignment="1"/>
    <xf numFmtId="164" fontId="133" fillId="13" borderId="0" xfId="1" applyNumberFormat="1" applyFont="1" applyFill="1" applyBorder="1" applyAlignment="1">
      <alignment wrapText="1"/>
    </xf>
    <xf numFmtId="164" fontId="133" fillId="13" borderId="0" xfId="1" applyNumberFormat="1" applyFont="1" applyFill="1" applyBorder="1" applyAlignment="1">
      <alignment horizontal="center" wrapText="1"/>
    </xf>
    <xf numFmtId="10" fontId="133" fillId="13" borderId="0" xfId="1" applyNumberFormat="1" applyFont="1" applyFill="1" applyBorder="1" applyAlignment="1">
      <alignment wrapText="1"/>
    </xf>
    <xf numFmtId="164" fontId="133" fillId="13" borderId="0" xfId="0" applyNumberFormat="1" applyFont="1" applyFill="1" applyBorder="1" applyAlignment="1">
      <alignment wrapText="1"/>
    </xf>
    <xf numFmtId="10" fontId="133" fillId="13" borderId="0" xfId="0" applyNumberFormat="1" applyFont="1" applyFill="1" applyBorder="1" applyAlignment="1">
      <alignment wrapText="1"/>
    </xf>
    <xf numFmtId="0" fontId="133" fillId="13" borderId="0" xfId="0" applyFont="1" applyFill="1" applyBorder="1" applyAlignment="1">
      <alignment horizontal="center" wrapText="1"/>
    </xf>
    <xf numFmtId="9" fontId="133" fillId="13" borderId="0" xfId="1" applyFont="1" applyFill="1" applyBorder="1" applyAlignment="1">
      <alignment wrapText="1"/>
    </xf>
    <xf numFmtId="0" fontId="138" fillId="13" borderId="0" xfId="0" applyFont="1" applyFill="1" applyBorder="1" applyAlignment="1"/>
    <xf numFmtId="9" fontId="133" fillId="0" borderId="0" xfId="1" applyFont="1" applyFill="1" applyBorder="1" applyAlignment="1">
      <alignment wrapText="1"/>
    </xf>
    <xf numFmtId="164" fontId="133" fillId="0" borderId="0" xfId="1" applyNumberFormat="1" applyFont="1" applyBorder="1" applyAlignment="1">
      <alignment wrapText="1"/>
    </xf>
    <xf numFmtId="0" fontId="145" fillId="0" borderId="0" xfId="0" applyFont="1" applyFill="1" applyBorder="1" applyAlignment="1"/>
    <xf numFmtId="9" fontId="133" fillId="13" borderId="0" xfId="1" applyFont="1" applyFill="1" applyBorder="1" applyAlignment="1">
      <alignment horizontal="left" wrapText="1"/>
    </xf>
    <xf numFmtId="0" fontId="133" fillId="13" borderId="0" xfId="1" applyNumberFormat="1" applyFont="1" applyFill="1" applyBorder="1" applyAlignment="1">
      <alignment wrapText="1"/>
    </xf>
    <xf numFmtId="0" fontId="134" fillId="0" borderId="0" xfId="0" applyFont="1" applyBorder="1" applyAlignment="1">
      <alignment wrapText="1"/>
    </xf>
    <xf numFmtId="9" fontId="133" fillId="13" borderId="0" xfId="0" applyNumberFormat="1" applyFont="1" applyFill="1" applyBorder="1" applyAlignment="1">
      <alignment wrapText="1"/>
    </xf>
    <xf numFmtId="0" fontId="139" fillId="13" borderId="0" xfId="0" applyFont="1" applyFill="1" applyBorder="1" applyAlignment="1">
      <alignment horizontal="center"/>
    </xf>
    <xf numFmtId="0" fontId="142" fillId="13" borderId="0" xfId="0" applyFont="1" applyFill="1" applyBorder="1" applyAlignment="1">
      <alignment horizontal="center"/>
    </xf>
    <xf numFmtId="0" fontId="139" fillId="13" borderId="0" xfId="0" applyFont="1" applyFill="1" applyBorder="1" applyAlignment="1">
      <alignment wrapText="1"/>
    </xf>
    <xf numFmtId="1" fontId="139" fillId="13" borderId="0" xfId="0" applyNumberFormat="1" applyFont="1" applyFill="1" applyBorder="1" applyAlignment="1">
      <alignment wrapText="1"/>
    </xf>
    <xf numFmtId="1" fontId="142" fillId="13" borderId="0" xfId="0" applyNumberFormat="1" applyFont="1" applyFill="1" applyBorder="1" applyAlignment="1">
      <alignment wrapText="1"/>
    </xf>
    <xf numFmtId="0" fontId="138" fillId="13" borderId="0" xfId="0" applyFont="1" applyFill="1" applyBorder="1" applyAlignment="1">
      <alignment wrapText="1"/>
    </xf>
    <xf numFmtId="9" fontId="163" fillId="13" borderId="0" xfId="1" applyFont="1" applyFill="1" applyBorder="1" applyAlignment="1">
      <alignment horizontal="left" wrapText="1"/>
    </xf>
    <xf numFmtId="0" fontId="139" fillId="13" borderId="0" xfId="0" applyFont="1" applyFill="1" applyBorder="1" applyAlignment="1">
      <alignment horizontal="left" wrapText="1"/>
    </xf>
    <xf numFmtId="0" fontId="144" fillId="13" borderId="0" xfId="0" applyFont="1" applyFill="1" applyBorder="1" applyAlignment="1">
      <alignment wrapText="1"/>
    </xf>
    <xf numFmtId="9" fontId="163" fillId="13" borderId="0" xfId="0" applyNumberFormat="1" applyFont="1" applyFill="1" applyBorder="1" applyAlignment="1">
      <alignment horizontal="left" wrapText="1"/>
    </xf>
    <xf numFmtId="0" fontId="133" fillId="13" borderId="0" xfId="0" applyNumberFormat="1" applyFont="1" applyFill="1" applyBorder="1" applyAlignment="1">
      <alignment wrapText="1"/>
    </xf>
    <xf numFmtId="164" fontId="157" fillId="13" borderId="0" xfId="1" applyNumberFormat="1" applyFont="1" applyFill="1" applyBorder="1" applyAlignment="1">
      <alignment horizontal="left" wrapText="1"/>
    </xf>
    <xf numFmtId="164" fontId="133" fillId="13" borderId="0" xfId="1" applyNumberFormat="1" applyFont="1" applyFill="1" applyBorder="1" applyAlignment="1">
      <alignment horizontal="right" wrapText="1"/>
    </xf>
    <xf numFmtId="0" fontId="145" fillId="13" borderId="0" xfId="0" applyFont="1" applyFill="1" applyBorder="1" applyAlignment="1">
      <alignment wrapText="1"/>
    </xf>
    <xf numFmtId="0" fontId="139" fillId="13" borderId="0" xfId="0" applyNumberFormat="1" applyFont="1" applyFill="1" applyBorder="1" applyAlignment="1">
      <alignment wrapText="1"/>
    </xf>
    <xf numFmtId="0" fontId="145" fillId="13" borderId="0" xfId="0" applyFont="1" applyFill="1" applyBorder="1" applyAlignment="1"/>
    <xf numFmtId="0" fontId="142" fillId="13" borderId="0" xfId="0" applyFont="1" applyFill="1" applyBorder="1" applyAlignment="1">
      <alignment wrapText="1"/>
    </xf>
    <xf numFmtId="0" fontId="133" fillId="13" borderId="0" xfId="0" applyNumberFormat="1" applyFont="1" applyFill="1" applyBorder="1" applyAlignment="1">
      <alignment horizontal="left" wrapText="1"/>
    </xf>
    <xf numFmtId="0" fontId="157" fillId="13" borderId="0" xfId="0" applyFont="1" applyFill="1" applyBorder="1" applyAlignment="1">
      <alignment wrapText="1"/>
    </xf>
    <xf numFmtId="1" fontId="157" fillId="13" borderId="0" xfId="0" applyNumberFormat="1" applyFont="1" applyFill="1" applyBorder="1" applyAlignment="1">
      <alignment horizontal="right" wrapText="1"/>
    </xf>
    <xf numFmtId="9" fontId="157" fillId="13" borderId="0" xfId="1" applyFont="1" applyFill="1" applyBorder="1" applyAlignment="1">
      <alignment horizontal="left" wrapText="1"/>
    </xf>
    <xf numFmtId="0" fontId="134" fillId="0" borderId="0" xfId="0" applyFont="1" applyFill="1" applyBorder="1" applyAlignment="1">
      <alignment wrapText="1"/>
    </xf>
    <xf numFmtId="0" fontId="142" fillId="13" borderId="0" xfId="0" applyNumberFormat="1" applyFont="1" applyFill="1" applyBorder="1" applyAlignment="1">
      <alignment horizontal="left" wrapText="1"/>
    </xf>
    <xf numFmtId="164" fontId="163" fillId="13" borderId="0" xfId="1" applyNumberFormat="1" applyFont="1" applyFill="1" applyBorder="1" applyAlignment="1">
      <alignment horizontal="left" wrapText="1"/>
    </xf>
    <xf numFmtId="0" fontId="163" fillId="13" borderId="0" xfId="1" applyNumberFormat="1" applyFont="1" applyFill="1" applyBorder="1" applyAlignment="1">
      <alignment horizontal="left" wrapText="1"/>
    </xf>
    <xf numFmtId="9" fontId="164" fillId="13" borderId="0" xfId="1" applyFont="1" applyFill="1" applyBorder="1" applyAlignment="1">
      <alignment horizontal="left"/>
    </xf>
    <xf numFmtId="9" fontId="164" fillId="13" borderId="0" xfId="1" applyFont="1" applyFill="1" applyBorder="1" applyAlignment="1">
      <alignment wrapText="1"/>
    </xf>
    <xf numFmtId="9" fontId="142" fillId="13" borderId="0" xfId="1" applyFont="1" applyFill="1" applyBorder="1" applyAlignment="1">
      <alignment wrapText="1"/>
    </xf>
    <xf numFmtId="0" fontId="165" fillId="13" borderId="0" xfId="0" applyFont="1" applyFill="1" applyBorder="1" applyAlignment="1"/>
    <xf numFmtId="2" fontId="157" fillId="13" borderId="0" xfId="1" applyNumberFormat="1" applyFont="1" applyFill="1" applyBorder="1" applyAlignment="1">
      <alignment horizontal="left" wrapText="1"/>
    </xf>
    <xf numFmtId="1" fontId="133" fillId="13" borderId="0" xfId="1" applyNumberFormat="1" applyFont="1" applyFill="1" applyBorder="1" applyAlignment="1">
      <alignment wrapText="1"/>
    </xf>
    <xf numFmtId="0" fontId="138" fillId="0" borderId="0" xfId="0" applyFont="1" applyFill="1" applyBorder="1" applyAlignment="1">
      <alignment wrapText="1"/>
    </xf>
    <xf numFmtId="0" fontId="139" fillId="0" borderId="0" xfId="0" applyFont="1" applyFill="1" applyBorder="1" applyAlignment="1">
      <alignment wrapText="1"/>
    </xf>
    <xf numFmtId="9" fontId="145" fillId="0" borderId="0" xfId="1" applyFont="1" applyFill="1" applyBorder="1" applyAlignment="1">
      <alignment wrapText="1"/>
    </xf>
    <xf numFmtId="9" fontId="133" fillId="0" borderId="0" xfId="1" applyFont="1" applyFill="1" applyBorder="1" applyAlignment="1">
      <alignment horizontal="right" wrapText="1"/>
    </xf>
    <xf numFmtId="0" fontId="139" fillId="0" borderId="0" xfId="0" applyFont="1" applyFill="1" applyBorder="1" applyAlignment="1">
      <alignment horizontal="center" wrapText="1"/>
    </xf>
    <xf numFmtId="0" fontId="145" fillId="0" borderId="0" xfId="0" applyFont="1" applyFill="1" applyBorder="1" applyAlignment="1">
      <alignment horizontal="center" wrapText="1"/>
    </xf>
    <xf numFmtId="1" fontId="139" fillId="0" borderId="0" xfId="0" applyNumberFormat="1" applyFont="1" applyFill="1" applyBorder="1" applyAlignment="1">
      <alignment horizontal="right" wrapText="1"/>
    </xf>
    <xf numFmtId="0" fontId="139" fillId="0" borderId="0" xfId="0" applyFont="1" applyFill="1" applyBorder="1" applyAlignment="1">
      <alignment horizontal="left" wrapText="1"/>
    </xf>
    <xf numFmtId="0" fontId="167" fillId="0" borderId="0" xfId="0" applyFont="1" applyFill="1" applyBorder="1" applyAlignment="1">
      <alignment wrapText="1"/>
    </xf>
    <xf numFmtId="10" fontId="0" fillId="0" borderId="0" xfId="1" applyNumberFormat="1" applyFont="1" applyAlignment="1">
      <alignment vertical="center"/>
    </xf>
    <xf numFmtId="9" fontId="3" fillId="2" borderId="10" xfId="1" applyFont="1" applyFill="1" applyBorder="1" applyAlignment="1">
      <alignment wrapText="1"/>
    </xf>
    <xf numFmtId="9" fontId="96" fillId="2" borderId="10" xfId="1" applyFont="1" applyFill="1" applyBorder="1" applyAlignment="1">
      <alignment wrapText="1"/>
    </xf>
    <xf numFmtId="9" fontId="5" fillId="0" borderId="2" xfId="0" applyNumberFormat="1" applyFont="1" applyBorder="1" applyAlignment="1">
      <alignment horizontal="left" wrapText="1"/>
    </xf>
    <xf numFmtId="9" fontId="5" fillId="0" borderId="5" xfId="0" applyNumberFormat="1" applyFont="1" applyBorder="1" applyAlignment="1">
      <alignment horizontal="left" wrapText="1"/>
    </xf>
    <xf numFmtId="9" fontId="5" fillId="0" borderId="0" xfId="0" applyNumberFormat="1" applyFont="1" applyBorder="1" applyAlignment="1">
      <alignment horizontal="left" wrapText="1"/>
    </xf>
    <xf numFmtId="0" fontId="9" fillId="4" borderId="0" xfId="0" applyFont="1" applyFill="1" applyBorder="1"/>
    <xf numFmtId="0" fontId="96" fillId="13" borderId="0" xfId="0" applyFont="1" applyFill="1" applyBorder="1" applyAlignment="1">
      <alignment wrapText="1"/>
    </xf>
    <xf numFmtId="0" fontId="23" fillId="13" borderId="0" xfId="0" applyFont="1" applyFill="1" applyBorder="1"/>
    <xf numFmtId="0" fontId="14" fillId="13" borderId="0" xfId="0" applyFont="1" applyFill="1" applyBorder="1"/>
    <xf numFmtId="0" fontId="133" fillId="0" borderId="0" xfId="0" applyFont="1" applyBorder="1"/>
    <xf numFmtId="9" fontId="133" fillId="13" borderId="0" xfId="1" applyFont="1" applyFill="1" applyBorder="1"/>
    <xf numFmtId="0" fontId="133" fillId="0" borderId="14" xfId="0" applyFont="1" applyBorder="1" applyAlignment="1">
      <alignment wrapText="1"/>
    </xf>
    <xf numFmtId="0" fontId="133" fillId="0" borderId="15" xfId="0" applyFont="1" applyBorder="1" applyAlignment="1">
      <alignment wrapText="1"/>
    </xf>
    <xf numFmtId="0" fontId="133" fillId="0" borderId="17" xfId="0" applyFont="1" applyBorder="1" applyAlignment="1">
      <alignment wrapText="1"/>
    </xf>
    <xf numFmtId="0" fontId="133" fillId="0" borderId="18" xfId="0" applyFont="1" applyBorder="1" applyAlignment="1">
      <alignment wrapText="1"/>
    </xf>
    <xf numFmtId="0" fontId="133" fillId="0" borderId="11" xfId="0" applyFont="1" applyBorder="1" applyAlignment="1">
      <alignment wrapText="1"/>
    </xf>
    <xf numFmtId="0" fontId="133" fillId="0" borderId="11" xfId="0" applyFont="1" applyBorder="1" applyAlignment="1"/>
    <xf numFmtId="0" fontId="133" fillId="0" borderId="19" xfId="0" applyFont="1" applyBorder="1" applyAlignment="1">
      <alignment wrapText="1"/>
    </xf>
    <xf numFmtId="9" fontId="0" fillId="0" borderId="0" xfId="0" applyNumberFormat="1" applyBorder="1"/>
    <xf numFmtId="0" fontId="3" fillId="0" borderId="0" xfId="0" applyFont="1" applyFill="1" applyBorder="1" applyAlignment="1">
      <alignment wrapText="1"/>
    </xf>
    <xf numFmtId="164" fontId="132" fillId="13" borderId="0" xfId="1" applyNumberFormat="1" applyFont="1" applyFill="1" applyBorder="1" applyAlignment="1">
      <alignment wrapText="1"/>
    </xf>
    <xf numFmtId="164" fontId="132" fillId="13" borderId="0" xfId="1" applyNumberFormat="1" applyFont="1" applyFill="1" applyBorder="1" applyAlignment="1">
      <alignment horizontal="center" wrapText="1"/>
    </xf>
    <xf numFmtId="1" fontId="90" fillId="13" borderId="0" xfId="0" applyNumberFormat="1" applyFont="1" applyFill="1"/>
    <xf numFmtId="2" fontId="148" fillId="11" borderId="0" xfId="0" applyNumberFormat="1" applyFont="1" applyFill="1" applyBorder="1" applyAlignment="1" applyProtection="1">
      <alignment wrapText="1"/>
      <protection locked="0"/>
    </xf>
    <xf numFmtId="0" fontId="149" fillId="11" borderId="0" xfId="0" applyFont="1" applyFill="1" applyAlignment="1" applyProtection="1">
      <protection locked="0"/>
    </xf>
    <xf numFmtId="0" fontId="148" fillId="11" borderId="0" xfId="0" applyFont="1" applyFill="1" applyAlignment="1" applyProtection="1">
      <protection locked="0"/>
    </xf>
    <xf numFmtId="10" fontId="148" fillId="11" borderId="0" xfId="1" applyNumberFormat="1" applyFont="1" applyFill="1" applyAlignment="1" applyProtection="1">
      <alignment wrapText="1"/>
      <protection locked="0"/>
    </xf>
    <xf numFmtId="9" fontId="148" fillId="11" borderId="0" xfId="1" applyFont="1" applyFill="1" applyAlignment="1" applyProtection="1">
      <alignment wrapText="1"/>
      <protection locked="0"/>
    </xf>
    <xf numFmtId="0" fontId="133" fillId="0" borderId="0" xfId="0" applyFont="1" applyAlignment="1">
      <alignment horizontal="left" wrapText="1"/>
    </xf>
    <xf numFmtId="2" fontId="149" fillId="0" borderId="0" xfId="0" applyNumberFormat="1" applyFont="1" applyAlignment="1">
      <alignment horizontal="right" wrapText="1"/>
    </xf>
    <xf numFmtId="2" fontId="151" fillId="0" borderId="20" xfId="1" applyNumberFormat="1" applyFont="1" applyBorder="1" applyAlignment="1" applyProtection="1">
      <alignment wrapText="1"/>
      <protection locked="0"/>
    </xf>
    <xf numFmtId="1" fontId="126" fillId="0" borderId="0" xfId="1" applyNumberFormat="1" applyFont="1"/>
    <xf numFmtId="9" fontId="0" fillId="0" borderId="0" xfId="1" applyFont="1"/>
    <xf numFmtId="1" fontId="65" fillId="2" borderId="5" xfId="0" applyNumberFormat="1" applyFont="1" applyFill="1" applyBorder="1" applyAlignment="1">
      <alignment wrapText="1"/>
    </xf>
    <xf numFmtId="0" fontId="169" fillId="0" borderId="0" xfId="0" applyFont="1" applyAlignment="1">
      <alignment wrapText="1"/>
    </xf>
    <xf numFmtId="0" fontId="169" fillId="2" borderId="10" xfId="0" applyFont="1" applyFill="1" applyBorder="1" applyAlignment="1">
      <alignment wrapText="1"/>
    </xf>
    <xf numFmtId="10" fontId="169" fillId="0" borderId="0" xfId="1" applyNumberFormat="1" applyFont="1" applyAlignment="1">
      <alignment wrapText="1"/>
    </xf>
    <xf numFmtId="9" fontId="169" fillId="0" borderId="0" xfId="1" applyFont="1" applyAlignment="1">
      <alignment wrapText="1"/>
    </xf>
    <xf numFmtId="0" fontId="0" fillId="0" borderId="0" xfId="0" applyFill="1" applyBorder="1"/>
    <xf numFmtId="9" fontId="0" fillId="0" borderId="0" xfId="1" applyFont="1" applyBorder="1"/>
    <xf numFmtId="0" fontId="144" fillId="25" borderId="10" xfId="0" applyFont="1" applyFill="1" applyBorder="1" applyAlignment="1"/>
    <xf numFmtId="0" fontId="158" fillId="0" borderId="0" xfId="0" applyFont="1" applyAlignment="1">
      <alignment wrapText="1"/>
    </xf>
    <xf numFmtId="0" fontId="154" fillId="0" borderId="0" xfId="0" applyFont="1" applyAlignment="1">
      <alignment horizontal="left" vertical="center" readingOrder="1"/>
    </xf>
    <xf numFmtId="0" fontId="154" fillId="0" borderId="0" xfId="0" applyFont="1" applyAlignment="1">
      <alignment horizontal="left" wrapText="1"/>
    </xf>
    <xf numFmtId="0" fontId="51" fillId="13" borderId="0" xfId="0" applyFont="1" applyFill="1" applyBorder="1"/>
    <xf numFmtId="0" fontId="3" fillId="0" borderId="0" xfId="0" applyFont="1" applyFill="1" applyBorder="1" applyAlignment="1">
      <alignment wrapText="1"/>
    </xf>
    <xf numFmtId="0" fontId="170" fillId="0" borderId="0" xfId="0" applyFont="1"/>
    <xf numFmtId="9" fontId="97" fillId="0" borderId="0" xfId="1" applyFont="1" applyBorder="1" applyAlignment="1" applyProtection="1">
      <alignment wrapText="1"/>
      <protection locked="0"/>
    </xf>
    <xf numFmtId="164" fontId="0" fillId="0" borderId="20" xfId="1" applyNumberFormat="1" applyFont="1" applyBorder="1"/>
    <xf numFmtId="164" fontId="97" fillId="0" borderId="0" xfId="1" applyNumberFormat="1" applyFont="1" applyBorder="1" applyAlignment="1" applyProtection="1">
      <alignment wrapText="1"/>
      <protection locked="0"/>
    </xf>
    <xf numFmtId="9" fontId="7" fillId="0" borderId="0" xfId="1" applyFont="1" applyBorder="1" applyAlignment="1" applyProtection="1">
      <alignment wrapText="1"/>
      <protection locked="0"/>
    </xf>
    <xf numFmtId="164" fontId="97" fillId="0" borderId="21" xfId="1" applyNumberFormat="1" applyFont="1" applyBorder="1" applyAlignment="1" applyProtection="1">
      <alignment wrapText="1"/>
      <protection locked="0"/>
    </xf>
    <xf numFmtId="164" fontId="0" fillId="0" borderId="21" xfId="1" applyNumberFormat="1" applyFont="1" applyBorder="1"/>
    <xf numFmtId="0" fontId="0" fillId="31" borderId="0" xfId="0" applyFill="1"/>
    <xf numFmtId="0" fontId="0" fillId="34" borderId="0" xfId="0" applyFill="1"/>
    <xf numFmtId="9" fontId="1" fillId="0" borderId="0" xfId="1" applyFont="1" applyBorder="1"/>
    <xf numFmtId="10" fontId="1" fillId="0" borderId="0" xfId="0" applyNumberFormat="1" applyFont="1" applyBorder="1"/>
    <xf numFmtId="10" fontId="0" fillId="0" borderId="0" xfId="0" applyNumberFormat="1" applyBorder="1"/>
    <xf numFmtId="9" fontId="0" fillId="0" borderId="0" xfId="1" applyNumberFormat="1" applyFont="1"/>
    <xf numFmtId="164" fontId="0" fillId="0" borderId="0" xfId="1" applyNumberFormat="1" applyFont="1" applyFill="1"/>
    <xf numFmtId="9" fontId="3" fillId="0" borderId="0" xfId="0" applyNumberFormat="1" applyFont="1" applyFill="1" applyAlignment="1">
      <alignment wrapText="1"/>
    </xf>
    <xf numFmtId="9" fontId="97" fillId="0" borderId="0" xfId="1" applyFont="1" applyFill="1" applyAlignment="1">
      <alignment wrapText="1"/>
    </xf>
    <xf numFmtId="9" fontId="97" fillId="0" borderId="0" xfId="1" applyFont="1" applyFill="1" applyBorder="1" applyAlignment="1">
      <alignment wrapText="1"/>
    </xf>
    <xf numFmtId="0" fontId="1" fillId="0" borderId="0" xfId="0" applyFont="1"/>
    <xf numFmtId="9" fontId="0" fillId="0" borderId="0" xfId="0" applyNumberFormat="1"/>
    <xf numFmtId="10" fontId="0" fillId="0" borderId="0" xfId="0" applyNumberFormat="1"/>
    <xf numFmtId="0" fontId="0" fillId="0" borderId="20" xfId="0" applyBorder="1"/>
    <xf numFmtId="9" fontId="3" fillId="0" borderId="0" xfId="1" applyFont="1" applyBorder="1" applyAlignment="1" applyProtection="1">
      <alignment wrapText="1"/>
      <protection locked="0"/>
    </xf>
    <xf numFmtId="9" fontId="0" fillId="0" borderId="20" xfId="1" applyFont="1" applyBorder="1"/>
    <xf numFmtId="0" fontId="0" fillId="0" borderId="21" xfId="0" applyBorder="1"/>
    <xf numFmtId="9" fontId="0" fillId="0" borderId="21" xfId="1" applyFont="1" applyBorder="1"/>
    <xf numFmtId="10" fontId="97" fillId="0" borderId="0" xfId="1" applyNumberFormat="1" applyFont="1" applyBorder="1" applyAlignment="1" applyProtection="1">
      <alignment wrapText="1"/>
      <protection locked="0"/>
    </xf>
    <xf numFmtId="0" fontId="126" fillId="0" borderId="20" xfId="0" applyFont="1" applyBorder="1"/>
    <xf numFmtId="9" fontId="126" fillId="0" borderId="20" xfId="1" applyFont="1" applyBorder="1"/>
    <xf numFmtId="0" fontId="126" fillId="0" borderId="21" xfId="0" applyFont="1" applyBorder="1"/>
    <xf numFmtId="9" fontId="126" fillId="0" borderId="21" xfId="1" applyFont="1" applyBorder="1"/>
    <xf numFmtId="10" fontId="126" fillId="0" borderId="21" xfId="1" applyNumberFormat="1" applyFont="1" applyBorder="1"/>
    <xf numFmtId="0" fontId="1" fillId="13" borderId="0" xfId="0" applyFont="1" applyFill="1" applyAlignment="1">
      <alignment wrapText="1"/>
    </xf>
    <xf numFmtId="2" fontId="31" fillId="0" borderId="0" xfId="3" applyNumberFormat="1" applyFont="1" applyBorder="1" applyAlignment="1">
      <alignment horizontal="right"/>
    </xf>
    <xf numFmtId="2" fontId="42" fillId="0" borderId="0" xfId="3" applyNumberFormat="1" applyFont="1" applyBorder="1" applyAlignment="1">
      <alignment horizontal="left"/>
    </xf>
    <xf numFmtId="0" fontId="171" fillId="0" borderId="0" xfId="0" applyFont="1"/>
    <xf numFmtId="0" fontId="171" fillId="0" borderId="5" xfId="0" applyFont="1" applyBorder="1" applyAlignment="1">
      <alignment horizontal="right"/>
    </xf>
    <xf numFmtId="0" fontId="171" fillId="0" borderId="0" xfId="0" applyFont="1" applyAlignment="1">
      <alignment horizontal="right"/>
    </xf>
    <xf numFmtId="0" fontId="172" fillId="0" borderId="0" xfId="0" applyFont="1" applyBorder="1"/>
    <xf numFmtId="0" fontId="125" fillId="0" borderId="0" xfId="0" applyFont="1" applyAlignment="1">
      <alignment horizontal="right"/>
    </xf>
    <xf numFmtId="0" fontId="125" fillId="0" borderId="2" xfId="0" applyFont="1" applyBorder="1" applyAlignment="1">
      <alignment horizontal="right"/>
    </xf>
    <xf numFmtId="0" fontId="172" fillId="0" borderId="0" xfId="0" applyFont="1"/>
    <xf numFmtId="0" fontId="172" fillId="0" borderId="5" xfId="0" applyFont="1" applyBorder="1"/>
    <xf numFmtId="0" fontId="173" fillId="0" borderId="0" xfId="0" applyFont="1"/>
    <xf numFmtId="0" fontId="173" fillId="0" borderId="5" xfId="0" applyFont="1" applyBorder="1"/>
    <xf numFmtId="0" fontId="172" fillId="0" borderId="10" xfId="0" applyFont="1" applyBorder="1"/>
    <xf numFmtId="0" fontId="171" fillId="0" borderId="5" xfId="0" applyFont="1" applyBorder="1"/>
    <xf numFmtId="0" fontId="172" fillId="0" borderId="2" xfId="0" applyFont="1" applyBorder="1"/>
    <xf numFmtId="0" fontId="38" fillId="0" borderId="0" xfId="0" applyFont="1"/>
    <xf numFmtId="165" fontId="3" fillId="0" borderId="0" xfId="0" applyNumberFormat="1" applyFont="1" applyAlignment="1">
      <alignment horizontal="left"/>
    </xf>
    <xf numFmtId="0" fontId="174" fillId="0" borderId="0" xfId="0" applyFont="1"/>
    <xf numFmtId="10" fontId="132" fillId="0" borderId="0" xfId="1" applyNumberFormat="1" applyFont="1" applyFill="1" applyAlignment="1"/>
    <xf numFmtId="165" fontId="133" fillId="0" borderId="0" xfId="0" applyNumberFormat="1" applyFont="1" applyAlignment="1">
      <alignment wrapText="1"/>
    </xf>
    <xf numFmtId="0" fontId="3" fillId="0" borderId="0" xfId="0" applyFont="1" applyFill="1" applyBorder="1" applyAlignment="1">
      <alignment wrapText="1"/>
    </xf>
    <xf numFmtId="2" fontId="33" fillId="0" borderId="0" xfId="0" applyNumberFormat="1" applyFont="1" applyBorder="1" applyAlignment="1">
      <alignment horizontal="left" wrapText="1"/>
    </xf>
    <xf numFmtId="0" fontId="112" fillId="32" borderId="22" xfId="0" applyFont="1" applyFill="1" applyBorder="1" applyAlignment="1" applyProtection="1">
      <alignment horizontal="center"/>
      <protection locked="0"/>
    </xf>
    <xf numFmtId="0" fontId="112" fillId="32" borderId="23" xfId="0" applyFont="1" applyFill="1" applyBorder="1" applyAlignment="1" applyProtection="1">
      <alignment horizontal="center"/>
      <protection locked="0"/>
    </xf>
    <xf numFmtId="0" fontId="3" fillId="0" borderId="0" xfId="0" applyFont="1" applyAlignment="1">
      <alignment horizontal="left" wrapText="1"/>
    </xf>
    <xf numFmtId="0" fontId="166" fillId="13" borderId="0" xfId="0" applyFont="1" applyFill="1" applyBorder="1" applyAlignment="1">
      <alignment horizontal="left" wrapText="1"/>
    </xf>
    <xf numFmtId="9" fontId="136" fillId="11" borderId="0" xfId="1" applyFont="1" applyFill="1" applyBorder="1" applyAlignment="1" applyProtection="1">
      <alignment horizontal="center"/>
      <protection locked="0"/>
    </xf>
    <xf numFmtId="0" fontId="142" fillId="13" borderId="0" xfId="0" applyFont="1" applyFill="1" applyBorder="1" applyAlignment="1">
      <alignment horizontal="center" wrapText="1"/>
    </xf>
    <xf numFmtId="0" fontId="168" fillId="0" borderId="0" xfId="0" applyFont="1" applyAlignment="1">
      <alignment horizontal="left" wrapText="1"/>
    </xf>
    <xf numFmtId="0" fontId="160" fillId="0" borderId="0" xfId="0" applyFont="1" applyAlignment="1">
      <alignment horizontal="left" wrapText="1"/>
    </xf>
    <xf numFmtId="0" fontId="73" fillId="0" borderId="0" xfId="0" applyFont="1" applyBorder="1" applyAlignment="1">
      <alignment horizontal="left" wrapText="1"/>
    </xf>
    <xf numFmtId="0" fontId="73" fillId="0" borderId="0" xfId="0" applyFont="1" applyAlignment="1">
      <alignment horizontal="left" wrapText="1"/>
    </xf>
    <xf numFmtId="0" fontId="54" fillId="12" borderId="0" xfId="0" applyFont="1" applyFill="1" applyBorder="1" applyAlignment="1">
      <alignment horizontal="left" wrapText="1"/>
    </xf>
    <xf numFmtId="0" fontId="3" fillId="0" borderId="2" xfId="0" applyFont="1" applyBorder="1" applyAlignment="1">
      <alignment horizontal="left" wrapText="1"/>
    </xf>
    <xf numFmtId="0" fontId="54" fillId="13" borderId="0" xfId="0" applyFont="1" applyFill="1" applyBorder="1" applyAlignment="1">
      <alignment horizontal="left" wrapText="1"/>
    </xf>
    <xf numFmtId="0" fontId="81" fillId="0" borderId="0" xfId="0" applyFont="1" applyFill="1" applyBorder="1" applyAlignment="1">
      <alignment horizontal="left" wrapText="1"/>
    </xf>
    <xf numFmtId="0" fontId="7" fillId="0" borderId="0" xfId="0" applyFont="1" applyBorder="1" applyAlignment="1">
      <alignment horizontal="left" wrapText="1"/>
    </xf>
    <xf numFmtId="0" fontId="3" fillId="0" borderId="0" xfId="0" applyFont="1" applyFill="1" applyBorder="1" applyAlignment="1">
      <alignment wrapText="1"/>
    </xf>
    <xf numFmtId="0" fontId="37" fillId="0" borderId="0" xfId="0" applyFont="1" applyFill="1" applyAlignment="1">
      <alignment horizontal="left" wrapText="1"/>
    </xf>
    <xf numFmtId="164" fontId="0" fillId="0" borderId="0" xfId="1" applyNumberFormat="1" applyFont="1" applyBorder="1"/>
    <xf numFmtId="164" fontId="0" fillId="0" borderId="0" xfId="1" applyNumberFormat="1" applyFont="1" applyFill="1" applyBorder="1"/>
    <xf numFmtId="9" fontId="3" fillId="0" borderId="0" xfId="1" applyFont="1" applyBorder="1" applyAlignment="1">
      <alignment wrapText="1"/>
    </xf>
    <xf numFmtId="9" fontId="97" fillId="0" borderId="0" xfId="1" applyFont="1" applyBorder="1" applyAlignment="1">
      <alignment wrapText="1"/>
    </xf>
    <xf numFmtId="0" fontId="97" fillId="0" borderId="0" xfId="0" applyFont="1" applyBorder="1" applyAlignment="1" applyProtection="1">
      <alignment wrapText="1"/>
      <protection locked="0"/>
    </xf>
    <xf numFmtId="0" fontId="0" fillId="0" borderId="2" xfId="0" applyBorder="1"/>
    <xf numFmtId="0" fontId="3" fillId="0" borderId="0" xfId="0" applyFont="1" applyBorder="1" applyAlignment="1" applyProtection="1">
      <alignment wrapText="1"/>
      <protection locked="0"/>
    </xf>
    <xf numFmtId="0" fontId="3" fillId="0" borderId="20" xfId="0" applyFont="1" applyBorder="1" applyAlignment="1">
      <alignment wrapText="1"/>
    </xf>
    <xf numFmtId="0" fontId="104" fillId="13" borderId="0" xfId="0" applyFont="1" applyFill="1" applyBorder="1" applyAlignment="1">
      <alignment wrapText="1"/>
    </xf>
    <xf numFmtId="9" fontId="151" fillId="0" borderId="20" xfId="1" applyNumberFormat="1" applyFont="1" applyBorder="1" applyAlignment="1" applyProtection="1">
      <alignment wrapText="1"/>
      <protection locked="0"/>
    </xf>
    <xf numFmtId="9" fontId="133" fillId="0" borderId="0" xfId="1" applyNumberFormat="1" applyFont="1" applyAlignment="1">
      <alignment wrapText="1"/>
    </xf>
    <xf numFmtId="9" fontId="169" fillId="0" borderId="0" xfId="1" applyNumberFormat="1" applyFont="1" applyAlignment="1">
      <alignment wrapText="1"/>
    </xf>
    <xf numFmtId="0" fontId="132" fillId="0" borderId="0" xfId="0" applyFont="1" applyFill="1" applyBorder="1" applyAlignment="1">
      <alignment wrapText="1"/>
    </xf>
    <xf numFmtId="0" fontId="158" fillId="13" borderId="0" xfId="0" applyFont="1" applyFill="1" applyBorder="1" applyAlignment="1">
      <alignment wrapText="1"/>
    </xf>
    <xf numFmtId="0" fontId="132" fillId="13" borderId="0" xfId="0" applyFont="1" applyFill="1" applyBorder="1" applyAlignment="1"/>
  </cellXfs>
  <cellStyles count="779">
    <cellStyle name="Explanatory Text" xfId="4" xr:uid="{00000000-0005-0000-0000-000000000000}"/>
    <cellStyle name="Followed Hyperlink" xfId="6" builtinId="9" hidden="1"/>
    <cellStyle name="Followed Hyperlink" xfId="7" builtinId="9" hidden="1"/>
    <cellStyle name="Followed Hyperlink" xfId="8" builtinId="9" hidden="1"/>
    <cellStyle name="Followed Hyperlink" xfId="9" builtinId="9" hidden="1"/>
    <cellStyle name="Followed Hyperlink" xfId="10" builtinId="9" hidden="1"/>
    <cellStyle name="Followed Hyperlink" xfId="11" builtinId="9" hidden="1"/>
    <cellStyle name="Followed Hyperlink" xfId="12" builtinId="9" hidden="1"/>
    <cellStyle name="Followed Hyperlink" xfId="13" builtinId="9" hidden="1"/>
    <cellStyle name="Followed Hyperlink" xfId="14" builtinId="9" hidden="1"/>
    <cellStyle name="Followed Hyperlink" xfId="15" builtinId="9" hidden="1"/>
    <cellStyle name="Followed Hyperlink" xfId="16" builtinId="9" hidden="1"/>
    <cellStyle name="Followed Hyperlink" xfId="17" builtinId="9" hidden="1"/>
    <cellStyle name="Followed Hyperlink" xfId="18" builtinId="9" hidden="1"/>
    <cellStyle name="Followed Hyperlink" xfId="19" builtinId="9" hidden="1"/>
    <cellStyle name="Followed Hyperlink" xfId="20" builtinId="9" hidden="1"/>
    <cellStyle name="Followed Hyperlink" xfId="21" builtinId="9" hidden="1"/>
    <cellStyle name="Followed Hyperlink" xfId="22" builtinId="9" hidden="1"/>
    <cellStyle name="Followed Hyperlink" xfId="23" builtinId="9" hidden="1"/>
    <cellStyle name="Followed Hyperlink" xfId="24" builtinId="9" hidden="1"/>
    <cellStyle name="Followed Hyperlink" xfId="25" builtinId="9" hidden="1"/>
    <cellStyle name="Followed Hyperlink" xfId="26" builtinId="9" hidden="1"/>
    <cellStyle name="Followed Hyperlink" xfId="27" builtinId="9" hidden="1"/>
    <cellStyle name="Followed Hyperlink" xfId="28" builtinId="9" hidden="1"/>
    <cellStyle name="Followed Hyperlink" xfId="29" builtinId="9" hidden="1"/>
    <cellStyle name="Followed Hyperlink" xfId="30" builtinId="9" hidden="1"/>
    <cellStyle name="Followed Hyperlink" xfId="31" builtinId="9" hidden="1"/>
    <cellStyle name="Followed Hyperlink" xfId="32" builtinId="9" hidden="1"/>
    <cellStyle name="Followed Hyperlink" xfId="33" builtinId="9" hidden="1"/>
    <cellStyle name="Followed Hyperlink" xfId="34" builtinId="9" hidden="1"/>
    <cellStyle name="Followed Hyperlink" xfId="35" builtinId="9" hidden="1"/>
    <cellStyle name="Followed Hyperlink" xfId="36" builtinId="9" hidden="1"/>
    <cellStyle name="Followed Hyperlink" xfId="37" builtinId="9" hidden="1"/>
    <cellStyle name="Followed Hyperlink" xfId="38" builtinId="9" hidden="1"/>
    <cellStyle name="Followed Hyperlink" xfId="39" builtinId="9" hidden="1"/>
    <cellStyle name="Followed Hyperlink" xfId="40" builtinId="9" hidden="1"/>
    <cellStyle name="Followed Hyperlink" xfId="41" builtinId="9" hidden="1"/>
    <cellStyle name="Followed Hyperlink" xfId="42" builtinId="9" hidden="1"/>
    <cellStyle name="Followed Hyperlink" xfId="43" builtinId="9" hidden="1"/>
    <cellStyle name="Followed Hyperlink" xfId="44" builtinId="9" hidden="1"/>
    <cellStyle name="Followed Hyperlink" xfId="45" builtinId="9" hidden="1"/>
    <cellStyle name="Followed Hyperlink" xfId="46" builtinId="9" hidden="1"/>
    <cellStyle name="Followed Hyperlink" xfId="47" builtinId="9" hidden="1"/>
    <cellStyle name="Followed Hyperlink" xfId="48" builtinId="9" hidden="1"/>
    <cellStyle name="Followed Hyperlink" xfId="49" builtinId="9" hidden="1"/>
    <cellStyle name="Followed Hyperlink" xfId="50" builtinId="9" hidden="1"/>
    <cellStyle name="Followed Hyperlink" xfId="51" builtinId="9" hidden="1"/>
    <cellStyle name="Followed Hyperlink" xfId="52" builtinId="9" hidden="1"/>
    <cellStyle name="Followed Hyperlink" xfId="53" builtinId="9" hidden="1"/>
    <cellStyle name="Followed Hyperlink" xfId="54" builtinId="9" hidden="1"/>
    <cellStyle name="Followed Hyperlink" xfId="55" builtinId="9" hidden="1"/>
    <cellStyle name="Followed Hyperlink" xfId="56" builtinId="9" hidden="1"/>
    <cellStyle name="Followed Hyperlink" xfId="57" builtinId="9" hidden="1"/>
    <cellStyle name="Followed Hyperlink" xfId="58" builtinId="9" hidden="1"/>
    <cellStyle name="Followed Hyperlink" xfId="59" builtinId="9" hidden="1"/>
    <cellStyle name="Followed Hyperlink" xfId="60" builtinId="9" hidden="1"/>
    <cellStyle name="Followed Hyperlink" xfId="61" builtinId="9" hidden="1"/>
    <cellStyle name="Followed Hyperlink" xfId="62" builtinId="9" hidden="1"/>
    <cellStyle name="Followed Hyperlink" xfId="63" builtinId="9" hidden="1"/>
    <cellStyle name="Followed Hyperlink" xfId="64" builtinId="9" hidden="1"/>
    <cellStyle name="Followed Hyperlink" xfId="65" builtinId="9" hidden="1"/>
    <cellStyle name="Followed Hyperlink" xfId="66" builtinId="9" hidden="1"/>
    <cellStyle name="Followed Hyperlink" xfId="67" builtinId="9" hidden="1"/>
    <cellStyle name="Followed Hyperlink" xfId="68" builtinId="9" hidden="1"/>
    <cellStyle name="Followed Hyperlink" xfId="69" builtinId="9" hidden="1"/>
    <cellStyle name="Followed Hyperlink" xfId="70" builtinId="9" hidden="1"/>
    <cellStyle name="Followed Hyperlink" xfId="71" builtinId="9" hidden="1"/>
    <cellStyle name="Followed Hyperlink" xfId="72" builtinId="9" hidden="1"/>
    <cellStyle name="Followed Hyperlink" xfId="73" builtinId="9" hidden="1"/>
    <cellStyle name="Followed Hyperlink" xfId="74" builtinId="9" hidden="1"/>
    <cellStyle name="Followed Hyperlink" xfId="75" builtinId="9" hidden="1"/>
    <cellStyle name="Followed Hyperlink" xfId="76" builtinId="9" hidden="1"/>
    <cellStyle name="Followed Hyperlink" xfId="77" builtinId="9" hidden="1"/>
    <cellStyle name="Followed Hyperlink" xfId="78" builtinId="9" hidden="1"/>
    <cellStyle name="Followed Hyperlink" xfId="79" builtinId="9" hidden="1"/>
    <cellStyle name="Followed Hyperlink" xfId="80" builtinId="9" hidden="1"/>
    <cellStyle name="Followed Hyperlink" xfId="81" builtinId="9" hidden="1"/>
    <cellStyle name="Followed Hyperlink" xfId="82" builtinId="9" hidden="1"/>
    <cellStyle name="Followed Hyperlink" xfId="83" builtinId="9" hidden="1"/>
    <cellStyle name="Followed Hyperlink" xfId="84" builtinId="9" hidden="1"/>
    <cellStyle name="Followed Hyperlink" xfId="85" builtinId="9" hidden="1"/>
    <cellStyle name="Followed Hyperlink" xfId="86" builtinId="9" hidden="1"/>
    <cellStyle name="Followed Hyperlink" xfId="87" builtinId="9" hidden="1"/>
    <cellStyle name="Followed Hyperlink" xfId="88" builtinId="9" hidden="1"/>
    <cellStyle name="Followed Hyperlink" xfId="89" builtinId="9" hidden="1"/>
    <cellStyle name="Followed Hyperlink" xfId="90" builtinId="9" hidden="1"/>
    <cellStyle name="Followed Hyperlink" xfId="91" builtinId="9" hidden="1"/>
    <cellStyle name="Followed Hyperlink" xfId="92" builtinId="9" hidden="1"/>
    <cellStyle name="Followed Hyperlink" xfId="93" builtinId="9" hidden="1"/>
    <cellStyle name="Followed Hyperlink" xfId="94" builtinId="9" hidden="1"/>
    <cellStyle name="Followed Hyperlink" xfId="95" builtinId="9" hidden="1"/>
    <cellStyle name="Followed Hyperlink" xfId="96" builtinId="9" hidden="1"/>
    <cellStyle name="Followed Hyperlink" xfId="97" builtinId="9" hidden="1"/>
    <cellStyle name="Followed Hyperlink" xfId="98" builtinId="9" hidden="1"/>
    <cellStyle name="Followed Hyperlink" xfId="99" builtinId="9" hidden="1"/>
    <cellStyle name="Followed Hyperlink" xfId="100" builtinId="9" hidden="1"/>
    <cellStyle name="Followed Hyperlink" xfId="101" builtinId="9" hidden="1"/>
    <cellStyle name="Followed Hyperlink" xfId="102" builtinId="9" hidden="1"/>
    <cellStyle name="Followed Hyperlink" xfId="103" builtinId="9" hidden="1"/>
    <cellStyle name="Followed Hyperlink" xfId="104" builtinId="9" hidden="1"/>
    <cellStyle name="Followed Hyperlink" xfId="105" builtinId="9" hidden="1"/>
    <cellStyle name="Followed Hyperlink" xfId="106" builtinId="9" hidden="1"/>
    <cellStyle name="Followed Hyperlink" xfId="107" builtinId="9" hidden="1"/>
    <cellStyle name="Followed Hyperlink" xfId="108" builtinId="9" hidden="1"/>
    <cellStyle name="Followed Hyperlink" xfId="109" builtinId="9" hidden="1"/>
    <cellStyle name="Followed Hyperlink" xfId="110" builtinId="9" hidden="1"/>
    <cellStyle name="Followed Hyperlink" xfId="111" builtinId="9" hidden="1"/>
    <cellStyle name="Followed Hyperlink" xfId="112" builtinId="9" hidden="1"/>
    <cellStyle name="Followed Hyperlink" xfId="113" builtinId="9" hidden="1"/>
    <cellStyle name="Followed Hyperlink" xfId="114" builtinId="9" hidden="1"/>
    <cellStyle name="Followed Hyperlink" xfId="115" builtinId="9" hidden="1"/>
    <cellStyle name="Followed Hyperlink" xfId="116" builtinId="9" hidden="1"/>
    <cellStyle name="Followed Hyperlink" xfId="117" builtinId="9" hidden="1"/>
    <cellStyle name="Followed Hyperlink" xfId="118" builtinId="9" hidden="1"/>
    <cellStyle name="Followed Hyperlink" xfId="119" builtinId="9" hidden="1"/>
    <cellStyle name="Followed Hyperlink" xfId="120" builtinId="9" hidden="1"/>
    <cellStyle name="Followed Hyperlink" xfId="121" builtinId="9" hidden="1"/>
    <cellStyle name="Followed Hyperlink" xfId="122" builtinId="9" hidden="1"/>
    <cellStyle name="Followed Hyperlink" xfId="123" builtinId="9" hidden="1"/>
    <cellStyle name="Followed Hyperlink" xfId="124" builtinId="9" hidden="1"/>
    <cellStyle name="Followed Hyperlink" xfId="125" builtinId="9" hidden="1"/>
    <cellStyle name="Followed Hyperlink" xfId="126" builtinId="9" hidden="1"/>
    <cellStyle name="Followed Hyperlink" xfId="127" builtinId="9" hidden="1"/>
    <cellStyle name="Followed Hyperlink" xfId="128" builtinId="9" hidden="1"/>
    <cellStyle name="Followed Hyperlink" xfId="129" builtinId="9" hidden="1"/>
    <cellStyle name="Followed Hyperlink" xfId="130" builtinId="9" hidden="1"/>
    <cellStyle name="Followed Hyperlink" xfId="131" builtinId="9" hidden="1"/>
    <cellStyle name="Followed Hyperlink" xfId="132" builtinId="9" hidden="1"/>
    <cellStyle name="Followed Hyperlink" xfId="133" builtinId="9" hidden="1"/>
    <cellStyle name="Followed Hyperlink" xfId="134" builtinId="9" hidden="1"/>
    <cellStyle name="Followed Hyperlink" xfId="135" builtinId="9" hidden="1"/>
    <cellStyle name="Followed Hyperlink" xfId="136" builtinId="9" hidden="1"/>
    <cellStyle name="Followed Hyperlink" xfId="137" builtinId="9" hidden="1"/>
    <cellStyle name="Followed Hyperlink" xfId="138" builtinId="9" hidden="1"/>
    <cellStyle name="Followed Hyperlink" xfId="139" builtinId="9" hidden="1"/>
    <cellStyle name="Followed Hyperlink" xfId="140" builtinId="9" hidden="1"/>
    <cellStyle name="Followed Hyperlink" xfId="141" builtinId="9" hidden="1"/>
    <cellStyle name="Followed Hyperlink" xfId="142" builtinId="9" hidden="1"/>
    <cellStyle name="Followed Hyperlink" xfId="143" builtinId="9" hidden="1"/>
    <cellStyle name="Followed Hyperlink" xfId="144" builtinId="9" hidden="1"/>
    <cellStyle name="Followed Hyperlink" xfId="145" builtinId="9" hidden="1"/>
    <cellStyle name="Followed Hyperlink" xfId="146" builtinId="9" hidden="1"/>
    <cellStyle name="Followed Hyperlink" xfId="147" builtinId="9" hidden="1"/>
    <cellStyle name="Followed Hyperlink" xfId="148" builtinId="9" hidden="1"/>
    <cellStyle name="Followed Hyperlink" xfId="149" builtinId="9" hidden="1"/>
    <cellStyle name="Followed Hyperlink" xfId="150" builtinId="9" hidden="1"/>
    <cellStyle name="Followed Hyperlink" xfId="151" builtinId="9" hidden="1"/>
    <cellStyle name="Followed Hyperlink" xfId="152" builtinId="9" hidden="1"/>
    <cellStyle name="Followed Hyperlink" xfId="153" builtinId="9" hidden="1"/>
    <cellStyle name="Followed Hyperlink" xfId="154" builtinId="9" hidden="1"/>
    <cellStyle name="Followed Hyperlink" xfId="155" builtinId="9" hidden="1"/>
    <cellStyle name="Followed Hyperlink" xfId="156" builtinId="9" hidden="1"/>
    <cellStyle name="Followed Hyperlink" xfId="157" builtinId="9" hidden="1"/>
    <cellStyle name="Followed Hyperlink" xfId="158" builtinId="9" hidden="1"/>
    <cellStyle name="Followed Hyperlink" xfId="159" builtinId="9" hidden="1"/>
    <cellStyle name="Followed Hyperlink" xfId="160" builtinId="9" hidden="1"/>
    <cellStyle name="Followed Hyperlink" xfId="161" builtinId="9" hidden="1"/>
    <cellStyle name="Followed Hyperlink" xfId="162" builtinId="9" hidden="1"/>
    <cellStyle name="Followed Hyperlink" xfId="163" builtinId="9" hidden="1"/>
    <cellStyle name="Followed Hyperlink" xfId="164" builtinId="9" hidden="1"/>
    <cellStyle name="Followed Hyperlink" xfId="165" builtinId="9" hidden="1"/>
    <cellStyle name="Followed Hyperlink" xfId="166" builtinId="9" hidden="1"/>
    <cellStyle name="Followed Hyperlink" xfId="167" builtinId="9" hidden="1"/>
    <cellStyle name="Followed Hyperlink" xfId="168" builtinId="9" hidden="1"/>
    <cellStyle name="Followed Hyperlink" xfId="169" builtinId="9" hidden="1"/>
    <cellStyle name="Followed Hyperlink" xfId="170" builtinId="9" hidden="1"/>
    <cellStyle name="Followed Hyperlink" xfId="171" builtinId="9" hidden="1"/>
    <cellStyle name="Followed Hyperlink" xfId="172" builtinId="9" hidden="1"/>
    <cellStyle name="Followed Hyperlink" xfId="173" builtinId="9" hidden="1"/>
    <cellStyle name="Followed Hyperlink" xfId="174" builtinId="9" hidden="1"/>
    <cellStyle name="Followed Hyperlink" xfId="175" builtinId="9" hidden="1"/>
    <cellStyle name="Followed Hyperlink" xfId="176" builtinId="9" hidden="1"/>
    <cellStyle name="Followed Hyperlink" xfId="177" builtinId="9" hidden="1"/>
    <cellStyle name="Followed Hyperlink" xfId="178" builtinId="9" hidden="1"/>
    <cellStyle name="Followed Hyperlink" xfId="179" builtinId="9" hidden="1"/>
    <cellStyle name="Followed Hyperlink" xfId="180" builtinId="9" hidden="1"/>
    <cellStyle name="Followed Hyperlink" xfId="181" builtinId="9" hidden="1"/>
    <cellStyle name="Followed Hyperlink" xfId="182" builtinId="9" hidden="1"/>
    <cellStyle name="Followed Hyperlink" xfId="183" builtinId="9" hidden="1"/>
    <cellStyle name="Followed Hyperlink" xfId="184" builtinId="9" hidden="1"/>
    <cellStyle name="Followed Hyperlink" xfId="185" builtinId="9" hidden="1"/>
    <cellStyle name="Followed Hyperlink" xfId="186" builtinId="9" hidden="1"/>
    <cellStyle name="Followed Hyperlink" xfId="187" builtinId="9" hidden="1"/>
    <cellStyle name="Followed Hyperlink" xfId="188" builtinId="9" hidden="1"/>
    <cellStyle name="Followed Hyperlink" xfId="189" builtinId="9" hidden="1"/>
    <cellStyle name="Followed Hyperlink" xfId="190" builtinId="9" hidden="1"/>
    <cellStyle name="Followed Hyperlink" xfId="191" builtinId="9" hidden="1"/>
    <cellStyle name="Followed Hyperlink" xfId="192" builtinId="9" hidden="1"/>
    <cellStyle name="Followed Hyperlink" xfId="193" builtinId="9" hidden="1"/>
    <cellStyle name="Followed Hyperlink" xfId="194" builtinId="9" hidden="1"/>
    <cellStyle name="Followed Hyperlink" xfId="195" builtinId="9" hidden="1"/>
    <cellStyle name="Followed Hyperlink" xfId="196" builtinId="9" hidden="1"/>
    <cellStyle name="Followed Hyperlink" xfId="197" builtinId="9" hidden="1"/>
    <cellStyle name="Followed Hyperlink" xfId="198" builtinId="9" hidden="1"/>
    <cellStyle name="Followed Hyperlink" xfId="199" builtinId="9" hidden="1"/>
    <cellStyle name="Followed Hyperlink" xfId="200" builtinId="9" hidden="1"/>
    <cellStyle name="Followed Hyperlink" xfId="201" builtinId="9" hidden="1"/>
    <cellStyle name="Followed Hyperlink" xfId="202" builtinId="9" hidden="1"/>
    <cellStyle name="Followed Hyperlink" xfId="203" builtinId="9" hidden="1"/>
    <cellStyle name="Followed Hyperlink" xfId="204" builtinId="9" hidden="1"/>
    <cellStyle name="Followed Hyperlink" xfId="205" builtinId="9" hidden="1"/>
    <cellStyle name="Followed Hyperlink" xfId="206" builtinId="9" hidden="1"/>
    <cellStyle name="Followed Hyperlink" xfId="207" builtinId="9" hidden="1"/>
    <cellStyle name="Followed Hyperlink" xfId="208" builtinId="9" hidden="1"/>
    <cellStyle name="Followed Hyperlink" xfId="209" builtinId="9" hidden="1"/>
    <cellStyle name="Followed Hyperlink" xfId="210" builtinId="9" hidden="1"/>
    <cellStyle name="Followed Hyperlink" xfId="211" builtinId="9" hidden="1"/>
    <cellStyle name="Followed Hyperlink" xfId="212" builtinId="9" hidden="1"/>
    <cellStyle name="Followed Hyperlink" xfId="213" builtinId="9" hidden="1"/>
    <cellStyle name="Followed Hyperlink" xfId="214" builtinId="9" hidden="1"/>
    <cellStyle name="Followed Hyperlink" xfId="215" builtinId="9" hidden="1"/>
    <cellStyle name="Followed Hyperlink" xfId="216" builtinId="9" hidden="1"/>
    <cellStyle name="Followed Hyperlink" xfId="217" builtinId="9" hidden="1"/>
    <cellStyle name="Followed Hyperlink" xfId="218" builtinId="9" hidden="1"/>
    <cellStyle name="Followed Hyperlink" xfId="219" builtinId="9" hidden="1"/>
    <cellStyle name="Followed Hyperlink" xfId="220" builtinId="9" hidden="1"/>
    <cellStyle name="Followed Hyperlink" xfId="221" builtinId="9" hidden="1"/>
    <cellStyle name="Followed Hyperlink" xfId="222" builtinId="9" hidden="1"/>
    <cellStyle name="Followed Hyperlink" xfId="223" builtinId="9" hidden="1"/>
    <cellStyle name="Followed Hyperlink" xfId="224" builtinId="9" hidden="1"/>
    <cellStyle name="Followed Hyperlink" xfId="225" builtinId="9" hidden="1"/>
    <cellStyle name="Followed Hyperlink" xfId="226" builtinId="9" hidden="1"/>
    <cellStyle name="Followed Hyperlink" xfId="227" builtinId="9" hidden="1"/>
    <cellStyle name="Followed Hyperlink" xfId="228" builtinId="9" hidden="1"/>
    <cellStyle name="Followed Hyperlink" xfId="229" builtinId="9" hidden="1"/>
    <cellStyle name="Followed Hyperlink" xfId="230" builtinId="9" hidden="1"/>
    <cellStyle name="Followed Hyperlink" xfId="231" builtinId="9" hidden="1"/>
    <cellStyle name="Followed Hyperlink" xfId="232" builtinId="9" hidden="1"/>
    <cellStyle name="Followed Hyperlink" xfId="233" builtinId="9" hidden="1"/>
    <cellStyle name="Followed Hyperlink" xfId="234" builtinId="9" hidden="1"/>
    <cellStyle name="Followed Hyperlink" xfId="235" builtinId="9" hidden="1"/>
    <cellStyle name="Followed Hyperlink" xfId="236" builtinId="9" hidden="1"/>
    <cellStyle name="Followed Hyperlink" xfId="237" builtinId="9" hidden="1"/>
    <cellStyle name="Followed Hyperlink" xfId="238" builtinId="9" hidden="1"/>
    <cellStyle name="Followed Hyperlink" xfId="239" builtinId="9" hidden="1"/>
    <cellStyle name="Followed Hyperlink" xfId="240" builtinId="9" hidden="1"/>
    <cellStyle name="Followed Hyperlink" xfId="241" builtinId="9" hidden="1"/>
    <cellStyle name="Followed Hyperlink" xfId="242" builtinId="9" hidden="1"/>
    <cellStyle name="Followed Hyperlink" xfId="243" builtinId="9" hidden="1"/>
    <cellStyle name="Followed Hyperlink" xfId="244" builtinId="9" hidden="1"/>
    <cellStyle name="Followed Hyperlink" xfId="245" builtinId="9" hidden="1"/>
    <cellStyle name="Followed Hyperlink" xfId="246" builtinId="9" hidden="1"/>
    <cellStyle name="Followed Hyperlink" xfId="247" builtinId="9" hidden="1"/>
    <cellStyle name="Followed Hyperlink" xfId="248" builtinId="9" hidden="1"/>
    <cellStyle name="Followed Hyperlink" xfId="249" builtinId="9" hidden="1"/>
    <cellStyle name="Followed Hyperlink" xfId="250" builtinId="9" hidden="1"/>
    <cellStyle name="Followed Hyperlink" xfId="251" builtinId="9" hidden="1"/>
    <cellStyle name="Followed Hyperlink" xfId="252" builtinId="9" hidden="1"/>
    <cellStyle name="Followed Hyperlink" xfId="253" builtinId="9" hidden="1"/>
    <cellStyle name="Followed Hyperlink" xfId="254" builtinId="9" hidden="1"/>
    <cellStyle name="Followed Hyperlink" xfId="255" builtinId="9" hidden="1"/>
    <cellStyle name="Followed Hyperlink" xfId="256" builtinId="9" hidden="1"/>
    <cellStyle name="Followed Hyperlink" xfId="257" builtinId="9" hidden="1"/>
    <cellStyle name="Followed Hyperlink" xfId="258" builtinId="9" hidden="1"/>
    <cellStyle name="Followed Hyperlink" xfId="259" builtinId="9" hidden="1"/>
    <cellStyle name="Followed Hyperlink" xfId="260" builtinId="9" hidden="1"/>
    <cellStyle name="Followed Hyperlink" xfId="261" builtinId="9" hidden="1"/>
    <cellStyle name="Followed Hyperlink" xfId="262" builtinId="9" hidden="1"/>
    <cellStyle name="Followed Hyperlink" xfId="263" builtinId="9" hidden="1"/>
    <cellStyle name="Followed Hyperlink" xfId="264" builtinId="9" hidden="1"/>
    <cellStyle name="Followed Hyperlink" xfId="265" builtinId="9" hidden="1"/>
    <cellStyle name="Followed Hyperlink" xfId="266" builtinId="9" hidden="1"/>
    <cellStyle name="Followed Hyperlink" xfId="267" builtinId="9" hidden="1"/>
    <cellStyle name="Followed Hyperlink" xfId="268" builtinId="9" hidden="1"/>
    <cellStyle name="Followed Hyperlink" xfId="269" builtinId="9" hidden="1"/>
    <cellStyle name="Followed Hyperlink" xfId="270" builtinId="9" hidden="1"/>
    <cellStyle name="Followed Hyperlink" xfId="271" builtinId="9" hidden="1"/>
    <cellStyle name="Followed Hyperlink" xfId="272" builtinId="9" hidden="1"/>
    <cellStyle name="Followed Hyperlink" xfId="273" builtinId="9" hidden="1"/>
    <cellStyle name="Followed Hyperlink" xfId="274" builtinId="9" hidden="1"/>
    <cellStyle name="Followed Hyperlink" xfId="275" builtinId="9" hidden="1"/>
    <cellStyle name="Followed Hyperlink" xfId="276" builtinId="9" hidden="1"/>
    <cellStyle name="Followed Hyperlink" xfId="277" builtinId="9" hidden="1"/>
    <cellStyle name="Followed Hyperlink" xfId="278" builtinId="9" hidden="1"/>
    <cellStyle name="Followed Hyperlink" xfId="279" builtinId="9" hidden="1"/>
    <cellStyle name="Followed Hyperlink" xfId="280" builtinId="9" hidden="1"/>
    <cellStyle name="Followed Hyperlink" xfId="281" builtinId="9" hidden="1"/>
    <cellStyle name="Followed Hyperlink" xfId="282" builtinId="9" hidden="1"/>
    <cellStyle name="Followed Hyperlink" xfId="283" builtinId="9" hidden="1"/>
    <cellStyle name="Followed Hyperlink" xfId="284" builtinId="9" hidden="1"/>
    <cellStyle name="Followed Hyperlink" xfId="285" builtinId="9" hidden="1"/>
    <cellStyle name="Followed Hyperlink" xfId="286" builtinId="9" hidden="1"/>
    <cellStyle name="Followed Hyperlink" xfId="287" builtinId="9" hidden="1"/>
    <cellStyle name="Followed Hyperlink" xfId="288" builtinId="9" hidden="1"/>
    <cellStyle name="Followed Hyperlink" xfId="289" builtinId="9" hidden="1"/>
    <cellStyle name="Followed Hyperlink" xfId="290" builtinId="9" hidden="1"/>
    <cellStyle name="Followed Hyperlink" xfId="291" builtinId="9" hidden="1"/>
    <cellStyle name="Followed Hyperlink" xfId="292" builtinId="9" hidden="1"/>
    <cellStyle name="Followed Hyperlink" xfId="293" builtinId="9" hidden="1"/>
    <cellStyle name="Followed Hyperlink" xfId="294" builtinId="9" hidden="1"/>
    <cellStyle name="Followed Hyperlink" xfId="295" builtinId="9" hidden="1"/>
    <cellStyle name="Followed Hyperlink" xfId="296" builtinId="9" hidden="1"/>
    <cellStyle name="Followed Hyperlink" xfId="297" builtinId="9" hidden="1"/>
    <cellStyle name="Followed Hyperlink" xfId="298" builtinId="9" hidden="1"/>
    <cellStyle name="Followed Hyperlink" xfId="299" builtinId="9" hidden="1"/>
    <cellStyle name="Followed Hyperlink" xfId="300" builtinId="9" hidden="1"/>
    <cellStyle name="Followed Hyperlink" xfId="301" builtinId="9" hidden="1"/>
    <cellStyle name="Followed Hyperlink" xfId="302" builtinId="9" hidden="1"/>
    <cellStyle name="Followed Hyperlink" xfId="303" builtinId="9" hidden="1"/>
    <cellStyle name="Followed Hyperlink" xfId="304" builtinId="9" hidden="1"/>
    <cellStyle name="Followed Hyperlink" xfId="305" builtinId="9" hidden="1"/>
    <cellStyle name="Followed Hyperlink" xfId="306" builtinId="9" hidden="1"/>
    <cellStyle name="Followed Hyperlink" xfId="307" builtinId="9" hidden="1"/>
    <cellStyle name="Followed Hyperlink" xfId="308" builtinId="9" hidden="1"/>
    <cellStyle name="Followed Hyperlink" xfId="309" builtinId="9" hidden="1"/>
    <cellStyle name="Followed Hyperlink" xfId="310" builtinId="9" hidden="1"/>
    <cellStyle name="Followed Hyperlink" xfId="311" builtinId="9" hidden="1"/>
    <cellStyle name="Followed Hyperlink" xfId="312" builtinId="9" hidden="1"/>
    <cellStyle name="Followed Hyperlink" xfId="313" builtinId="9" hidden="1"/>
    <cellStyle name="Followed Hyperlink" xfId="314" builtinId="9" hidden="1"/>
    <cellStyle name="Followed Hyperlink" xfId="315" builtinId="9" hidden="1"/>
    <cellStyle name="Followed Hyperlink" xfId="316" builtinId="9" hidden="1"/>
    <cellStyle name="Followed Hyperlink" xfId="317" builtinId="9" hidden="1"/>
    <cellStyle name="Followed Hyperlink" xfId="318" builtinId="9" hidden="1"/>
    <cellStyle name="Followed Hyperlink" xfId="319" builtinId="9" hidden="1"/>
    <cellStyle name="Followed Hyperlink" xfId="320" builtinId="9" hidden="1"/>
    <cellStyle name="Followed Hyperlink" xfId="321" builtinId="9" hidden="1"/>
    <cellStyle name="Followed Hyperlink" xfId="322" builtinId="9" hidden="1"/>
    <cellStyle name="Followed Hyperlink" xfId="323" builtinId="9" hidden="1"/>
    <cellStyle name="Followed Hyperlink" xfId="324" builtinId="9" hidden="1"/>
    <cellStyle name="Followed Hyperlink" xfId="325" builtinId="9" hidden="1"/>
    <cellStyle name="Followed Hyperlink" xfId="326" builtinId="9" hidden="1"/>
    <cellStyle name="Followed Hyperlink" xfId="327" builtinId="9" hidden="1"/>
    <cellStyle name="Followed Hyperlink" xfId="328" builtinId="9" hidden="1"/>
    <cellStyle name="Followed Hyperlink" xfId="329" builtinId="9" hidden="1"/>
    <cellStyle name="Followed Hyperlink" xfId="330" builtinId="9" hidden="1"/>
    <cellStyle name="Followed Hyperlink" xfId="331" builtinId="9" hidden="1"/>
    <cellStyle name="Followed Hyperlink" xfId="332" builtinId="9" hidden="1"/>
    <cellStyle name="Followed Hyperlink" xfId="333" builtinId="9" hidden="1"/>
    <cellStyle name="Followed Hyperlink" xfId="334" builtinId="9" hidden="1"/>
    <cellStyle name="Followed Hyperlink" xfId="335" builtinId="9" hidden="1"/>
    <cellStyle name="Followed Hyperlink" xfId="336" builtinId="9" hidden="1"/>
    <cellStyle name="Followed Hyperlink" xfId="337" builtinId="9" hidden="1"/>
    <cellStyle name="Followed Hyperlink" xfId="338" builtinId="9" hidden="1"/>
    <cellStyle name="Followed Hyperlink" xfId="339" builtinId="9" hidden="1"/>
    <cellStyle name="Followed Hyperlink" xfId="340" builtinId="9" hidden="1"/>
    <cellStyle name="Followed Hyperlink" xfId="341" builtinId="9" hidden="1"/>
    <cellStyle name="Followed Hyperlink" xfId="342" builtinId="9" hidden="1"/>
    <cellStyle name="Followed Hyperlink" xfId="343" builtinId="9" hidden="1"/>
    <cellStyle name="Followed Hyperlink" xfId="344" builtinId="9" hidden="1"/>
    <cellStyle name="Followed Hyperlink" xfId="345" builtinId="9" hidden="1"/>
    <cellStyle name="Followed Hyperlink" xfId="346" builtinId="9" hidden="1"/>
    <cellStyle name="Followed Hyperlink" xfId="347" builtinId="9" hidden="1"/>
    <cellStyle name="Followed Hyperlink" xfId="348" builtinId="9" hidden="1"/>
    <cellStyle name="Followed Hyperlink" xfId="349" builtinId="9" hidden="1"/>
    <cellStyle name="Followed Hyperlink" xfId="350" builtinId="9" hidden="1"/>
    <cellStyle name="Followed Hyperlink" xfId="351" builtinId="9" hidden="1"/>
    <cellStyle name="Followed Hyperlink" xfId="352" builtinId="9" hidden="1"/>
    <cellStyle name="Followed Hyperlink" xfId="353" builtinId="9" hidden="1"/>
    <cellStyle name="Followed Hyperlink" xfId="354" builtinId="9" hidden="1"/>
    <cellStyle name="Followed Hyperlink" xfId="355" builtinId="9" hidden="1"/>
    <cellStyle name="Followed Hyperlink" xfId="356" builtinId="9" hidden="1"/>
    <cellStyle name="Followed Hyperlink" xfId="357" builtinId="9" hidden="1"/>
    <cellStyle name="Followed Hyperlink" xfId="358" builtinId="9" hidden="1"/>
    <cellStyle name="Followed Hyperlink" xfId="359" builtinId="9" hidden="1"/>
    <cellStyle name="Followed Hyperlink" xfId="360" builtinId="9" hidden="1"/>
    <cellStyle name="Followed Hyperlink" xfId="361" builtinId="9" hidden="1"/>
    <cellStyle name="Followed Hyperlink" xfId="362" builtinId="9" hidden="1"/>
    <cellStyle name="Followed Hyperlink" xfId="363" builtinId="9" hidden="1"/>
    <cellStyle name="Followed Hyperlink" xfId="364" builtinId="9" hidden="1"/>
    <cellStyle name="Followed Hyperlink" xfId="365" builtinId="9" hidden="1"/>
    <cellStyle name="Followed Hyperlink" xfId="366" builtinId="9" hidden="1"/>
    <cellStyle name="Followed Hyperlink" xfId="367" builtinId="9" hidden="1"/>
    <cellStyle name="Followed Hyperlink" xfId="368" builtinId="9" hidden="1"/>
    <cellStyle name="Followed Hyperlink" xfId="369" builtinId="9" hidden="1"/>
    <cellStyle name="Followed Hyperlink" xfId="370" builtinId="9" hidden="1"/>
    <cellStyle name="Followed Hyperlink" xfId="371" builtinId="9" hidden="1"/>
    <cellStyle name="Followed Hyperlink" xfId="372" builtinId="9" hidden="1"/>
    <cellStyle name="Followed Hyperlink" xfId="373" builtinId="9" hidden="1"/>
    <cellStyle name="Followed Hyperlink" xfId="374" builtinId="9" hidden="1"/>
    <cellStyle name="Followed Hyperlink" xfId="375" builtinId="9" hidden="1"/>
    <cellStyle name="Followed Hyperlink" xfId="376" builtinId="9" hidden="1"/>
    <cellStyle name="Followed Hyperlink" xfId="377" builtinId="9" hidden="1"/>
    <cellStyle name="Followed Hyperlink" xfId="378" builtinId="9" hidden="1"/>
    <cellStyle name="Followed Hyperlink" xfId="379" builtinId="9" hidden="1"/>
    <cellStyle name="Followed Hyperlink" xfId="380" builtinId="9" hidden="1"/>
    <cellStyle name="Followed Hyperlink" xfId="381" builtinId="9" hidden="1"/>
    <cellStyle name="Followed Hyperlink" xfId="382" builtinId="9" hidden="1"/>
    <cellStyle name="Followed Hyperlink" xfId="383" builtinId="9" hidden="1"/>
    <cellStyle name="Followed Hyperlink" xfId="384" builtinId="9" hidden="1"/>
    <cellStyle name="Followed Hyperlink" xfId="385" builtinId="9" hidden="1"/>
    <cellStyle name="Followed Hyperlink" xfId="386" builtinId="9" hidden="1"/>
    <cellStyle name="Followed Hyperlink" xfId="387" builtinId="9" hidden="1"/>
    <cellStyle name="Followed Hyperlink" xfId="388" builtinId="9" hidden="1"/>
    <cellStyle name="Followed Hyperlink" xfId="389" builtinId="9" hidden="1"/>
    <cellStyle name="Followed Hyperlink" xfId="390" builtinId="9" hidden="1"/>
    <cellStyle name="Followed Hyperlink" xfId="391" builtinId="9" hidden="1"/>
    <cellStyle name="Followed Hyperlink" xfId="392" builtinId="9" hidden="1"/>
    <cellStyle name="Followed Hyperlink" xfId="393" builtinId="9" hidden="1"/>
    <cellStyle name="Followed Hyperlink" xfId="394" builtinId="9" hidden="1"/>
    <cellStyle name="Followed Hyperlink" xfId="395" builtinId="9" hidden="1"/>
    <cellStyle name="Followed Hyperlink" xfId="396" builtinId="9" hidden="1"/>
    <cellStyle name="Followed Hyperlink" xfId="397" builtinId="9" hidden="1"/>
    <cellStyle name="Followed Hyperlink" xfId="398" builtinId="9" hidden="1"/>
    <cellStyle name="Followed Hyperlink" xfId="399" builtinId="9" hidden="1"/>
    <cellStyle name="Followed Hyperlink" xfId="400" builtinId="9" hidden="1"/>
    <cellStyle name="Followed Hyperlink" xfId="401" builtinId="9" hidden="1"/>
    <cellStyle name="Followed Hyperlink" xfId="402" builtinId="9" hidden="1"/>
    <cellStyle name="Followed Hyperlink" xfId="403" builtinId="9" hidden="1"/>
    <cellStyle name="Followed Hyperlink" xfId="404" builtinId="9" hidden="1"/>
    <cellStyle name="Followed Hyperlink" xfId="405" builtinId="9" hidden="1"/>
    <cellStyle name="Followed Hyperlink" xfId="406" builtinId="9" hidden="1"/>
    <cellStyle name="Followed Hyperlink" xfId="407" builtinId="9" hidden="1"/>
    <cellStyle name="Followed Hyperlink" xfId="408" builtinId="9" hidden="1"/>
    <cellStyle name="Followed Hyperlink" xfId="409" builtinId="9" hidden="1"/>
    <cellStyle name="Followed Hyperlink" xfId="410" builtinId="9" hidden="1"/>
    <cellStyle name="Followed Hyperlink" xfId="411" builtinId="9" hidden="1"/>
    <cellStyle name="Followed Hyperlink" xfId="412" builtinId="9" hidden="1"/>
    <cellStyle name="Followed Hyperlink" xfId="413" builtinId="9" hidden="1"/>
    <cellStyle name="Followed Hyperlink" xfId="414" builtinId="9" hidden="1"/>
    <cellStyle name="Followed Hyperlink" xfId="415" builtinId="9" hidden="1"/>
    <cellStyle name="Followed Hyperlink" xfId="416" builtinId="9" hidden="1"/>
    <cellStyle name="Followed Hyperlink" xfId="417" builtinId="9" hidden="1"/>
    <cellStyle name="Followed Hyperlink" xfId="418" builtinId="9" hidden="1"/>
    <cellStyle name="Followed Hyperlink" xfId="419" builtinId="9" hidden="1"/>
    <cellStyle name="Followed Hyperlink" xfId="420" builtinId="9" hidden="1"/>
    <cellStyle name="Followed Hyperlink" xfId="421" builtinId="9" hidden="1"/>
    <cellStyle name="Followed Hyperlink" xfId="422" builtinId="9" hidden="1"/>
    <cellStyle name="Followed Hyperlink" xfId="423" builtinId="9" hidden="1"/>
    <cellStyle name="Followed Hyperlink" xfId="424" builtinId="9" hidden="1"/>
    <cellStyle name="Followed Hyperlink" xfId="425" builtinId="9" hidden="1"/>
    <cellStyle name="Followed Hyperlink" xfId="426" builtinId="9" hidden="1"/>
    <cellStyle name="Followed Hyperlink" xfId="427" builtinId="9" hidden="1"/>
    <cellStyle name="Followed Hyperlink" xfId="428" builtinId="9" hidden="1"/>
    <cellStyle name="Followed Hyperlink" xfId="429" builtinId="9" hidden="1"/>
    <cellStyle name="Followed Hyperlink" xfId="430" builtinId="9" hidden="1"/>
    <cellStyle name="Followed Hyperlink" xfId="431" builtinId="9" hidden="1"/>
    <cellStyle name="Followed Hyperlink" xfId="432" builtinId="9" hidden="1"/>
    <cellStyle name="Followed Hyperlink" xfId="433" builtinId="9" hidden="1"/>
    <cellStyle name="Followed Hyperlink" xfId="434" builtinId="9" hidden="1"/>
    <cellStyle name="Followed Hyperlink" xfId="435" builtinId="9" hidden="1"/>
    <cellStyle name="Followed Hyperlink" xfId="436" builtinId="9" hidden="1"/>
    <cellStyle name="Followed Hyperlink" xfId="437" builtinId="9" hidden="1"/>
    <cellStyle name="Followed Hyperlink" xfId="438" builtinId="9" hidden="1"/>
    <cellStyle name="Followed Hyperlink" xfId="439" builtinId="9" hidden="1"/>
    <cellStyle name="Followed Hyperlink" xfId="440" builtinId="9" hidden="1"/>
    <cellStyle name="Followed Hyperlink" xfId="441" builtinId="9" hidden="1"/>
    <cellStyle name="Followed Hyperlink" xfId="442" builtinId="9" hidden="1"/>
    <cellStyle name="Followed Hyperlink" xfId="443" builtinId="9" hidden="1"/>
    <cellStyle name="Followed Hyperlink" xfId="444" builtinId="9" hidden="1"/>
    <cellStyle name="Followed Hyperlink" xfId="445" builtinId="9" hidden="1"/>
    <cellStyle name="Followed Hyperlink" xfId="446" builtinId="9" hidden="1"/>
    <cellStyle name="Followed Hyperlink" xfId="447" builtinId="9" hidden="1"/>
    <cellStyle name="Followed Hyperlink" xfId="448" builtinId="9" hidden="1"/>
    <cellStyle name="Followed Hyperlink" xfId="449" builtinId="9" hidden="1"/>
    <cellStyle name="Followed Hyperlink" xfId="450" builtinId="9" hidden="1"/>
    <cellStyle name="Followed Hyperlink" xfId="451" builtinId="9" hidden="1"/>
    <cellStyle name="Followed Hyperlink" xfId="452" builtinId="9" hidden="1"/>
    <cellStyle name="Followed Hyperlink" xfId="453" builtinId="9" hidden="1"/>
    <cellStyle name="Followed Hyperlink" xfId="454" builtinId="9" hidden="1"/>
    <cellStyle name="Followed Hyperlink" xfId="455" builtinId="9" hidden="1"/>
    <cellStyle name="Followed Hyperlink" xfId="456" builtinId="9" hidden="1"/>
    <cellStyle name="Followed Hyperlink" xfId="457" builtinId="9" hidden="1"/>
    <cellStyle name="Followed Hyperlink" xfId="458" builtinId="9" hidden="1"/>
    <cellStyle name="Followed Hyperlink" xfId="459" builtinId="9" hidden="1"/>
    <cellStyle name="Followed Hyperlink" xfId="460" builtinId="9" hidden="1"/>
    <cellStyle name="Followed Hyperlink" xfId="461" builtinId="9" hidden="1"/>
    <cellStyle name="Followed Hyperlink" xfId="462" builtinId="9" hidden="1"/>
    <cellStyle name="Followed Hyperlink" xfId="463" builtinId="9" hidden="1"/>
    <cellStyle name="Followed Hyperlink" xfId="464" builtinId="9" hidden="1"/>
    <cellStyle name="Followed Hyperlink" xfId="465" builtinId="9" hidden="1"/>
    <cellStyle name="Followed Hyperlink" xfId="466" builtinId="9" hidden="1"/>
    <cellStyle name="Followed Hyperlink" xfId="467" builtinId="9" hidden="1"/>
    <cellStyle name="Followed Hyperlink" xfId="468" builtinId="9" hidden="1"/>
    <cellStyle name="Followed Hyperlink" xfId="469" builtinId="9" hidden="1"/>
    <cellStyle name="Followed Hyperlink" xfId="470" builtinId="9" hidden="1"/>
    <cellStyle name="Followed Hyperlink" xfId="471" builtinId="9" hidden="1"/>
    <cellStyle name="Followed Hyperlink" xfId="472" builtinId="9" hidden="1"/>
    <cellStyle name="Followed Hyperlink" xfId="473" builtinId="9" hidden="1"/>
    <cellStyle name="Followed Hyperlink" xfId="474" builtinId="9" hidden="1"/>
    <cellStyle name="Followed Hyperlink" xfId="475" builtinId="9" hidden="1"/>
    <cellStyle name="Followed Hyperlink" xfId="476" builtinId="9" hidden="1"/>
    <cellStyle name="Followed Hyperlink" xfId="477" builtinId="9" hidden="1"/>
    <cellStyle name="Followed Hyperlink" xfId="478" builtinId="9" hidden="1"/>
    <cellStyle name="Followed Hyperlink" xfId="479" builtinId="9" hidden="1"/>
    <cellStyle name="Followed Hyperlink" xfId="480" builtinId="9" hidden="1"/>
    <cellStyle name="Followed Hyperlink" xfId="481" builtinId="9" hidden="1"/>
    <cellStyle name="Followed Hyperlink" xfId="482" builtinId="9" hidden="1"/>
    <cellStyle name="Followed Hyperlink" xfId="483" builtinId="9" hidden="1"/>
    <cellStyle name="Followed Hyperlink" xfId="484" builtinId="9" hidden="1"/>
    <cellStyle name="Followed Hyperlink" xfId="485" builtinId="9" hidden="1"/>
    <cellStyle name="Followed Hyperlink" xfId="486" builtinId="9" hidden="1"/>
    <cellStyle name="Followed Hyperlink" xfId="487" builtinId="9" hidden="1"/>
    <cellStyle name="Followed Hyperlink" xfId="488" builtinId="9" hidden="1"/>
    <cellStyle name="Followed Hyperlink" xfId="489" builtinId="9" hidden="1"/>
    <cellStyle name="Followed Hyperlink" xfId="490" builtinId="9" hidden="1"/>
    <cellStyle name="Followed Hyperlink" xfId="491" builtinId="9" hidden="1"/>
    <cellStyle name="Followed Hyperlink" xfId="492" builtinId="9" hidden="1"/>
    <cellStyle name="Followed Hyperlink" xfId="493" builtinId="9" hidden="1"/>
    <cellStyle name="Followed Hyperlink" xfId="494" builtinId="9" hidden="1"/>
    <cellStyle name="Followed Hyperlink" xfId="495" builtinId="9" hidden="1"/>
    <cellStyle name="Followed Hyperlink" xfId="496" builtinId="9" hidden="1"/>
    <cellStyle name="Followed Hyperlink" xfId="497" builtinId="9" hidden="1"/>
    <cellStyle name="Followed Hyperlink" xfId="498" builtinId="9" hidden="1"/>
    <cellStyle name="Followed Hyperlink" xfId="499" builtinId="9" hidden="1"/>
    <cellStyle name="Followed Hyperlink" xfId="500" builtinId="9" hidden="1"/>
    <cellStyle name="Followed Hyperlink" xfId="501" builtinId="9" hidden="1"/>
    <cellStyle name="Followed Hyperlink" xfId="502" builtinId="9" hidden="1"/>
    <cellStyle name="Followed Hyperlink" xfId="503" builtinId="9" hidden="1"/>
    <cellStyle name="Followed Hyperlink" xfId="504" builtinId="9" hidden="1"/>
    <cellStyle name="Followed Hyperlink" xfId="505" builtinId="9" hidden="1"/>
    <cellStyle name="Followed Hyperlink" xfId="506" builtinId="9" hidden="1"/>
    <cellStyle name="Followed Hyperlink" xfId="507" builtinId="9" hidden="1"/>
    <cellStyle name="Followed Hyperlink" xfId="508" builtinId="9" hidden="1"/>
    <cellStyle name="Followed Hyperlink" xfId="509" builtinId="9" hidden="1"/>
    <cellStyle name="Followed Hyperlink" xfId="510" builtinId="9" hidden="1"/>
    <cellStyle name="Followed Hyperlink" xfId="511" builtinId="9" hidden="1"/>
    <cellStyle name="Followed Hyperlink" xfId="512" builtinId="9" hidden="1"/>
    <cellStyle name="Followed Hyperlink" xfId="513" builtinId="9" hidden="1"/>
    <cellStyle name="Followed Hyperlink" xfId="514" builtinId="9" hidden="1"/>
    <cellStyle name="Followed Hyperlink" xfId="515" builtinId="9" hidden="1"/>
    <cellStyle name="Followed Hyperlink" xfId="516" builtinId="9" hidden="1"/>
    <cellStyle name="Followed Hyperlink" xfId="517" builtinId="9" hidden="1"/>
    <cellStyle name="Followed Hyperlink" xfId="518" builtinId="9" hidden="1"/>
    <cellStyle name="Followed Hyperlink" xfId="519" builtinId="9" hidden="1"/>
    <cellStyle name="Followed Hyperlink" xfId="520" builtinId="9" hidden="1"/>
    <cellStyle name="Followed Hyperlink" xfId="521" builtinId="9" hidden="1"/>
    <cellStyle name="Followed Hyperlink" xfId="522" builtinId="9" hidden="1"/>
    <cellStyle name="Followed Hyperlink" xfId="523" builtinId="9" hidden="1"/>
    <cellStyle name="Followed Hyperlink" xfId="524" builtinId="9" hidden="1"/>
    <cellStyle name="Followed Hyperlink" xfId="525" builtinId="9" hidden="1"/>
    <cellStyle name="Followed Hyperlink" xfId="526" builtinId="9" hidden="1"/>
    <cellStyle name="Followed Hyperlink" xfId="527" builtinId="9" hidden="1"/>
    <cellStyle name="Followed Hyperlink" xfId="528" builtinId="9" hidden="1"/>
    <cellStyle name="Followed Hyperlink" xfId="529" builtinId="9" hidden="1"/>
    <cellStyle name="Followed Hyperlink" xfId="530" builtinId="9" hidden="1"/>
    <cellStyle name="Followed Hyperlink" xfId="531" builtinId="9" hidden="1"/>
    <cellStyle name="Followed Hyperlink" xfId="532" builtinId="9" hidden="1"/>
    <cellStyle name="Followed Hyperlink" xfId="533" builtinId="9" hidden="1"/>
    <cellStyle name="Followed Hyperlink" xfId="534" builtinId="9" hidden="1"/>
    <cellStyle name="Followed Hyperlink" xfId="535" builtinId="9" hidden="1"/>
    <cellStyle name="Followed Hyperlink" xfId="536" builtinId="9" hidden="1"/>
    <cellStyle name="Followed Hyperlink" xfId="537" builtinId="9" hidden="1"/>
    <cellStyle name="Followed Hyperlink" xfId="538" builtinId="9" hidden="1"/>
    <cellStyle name="Followed Hyperlink" xfId="539" builtinId="9" hidden="1"/>
    <cellStyle name="Followed Hyperlink" xfId="540" builtinId="9" hidden="1"/>
    <cellStyle name="Followed Hyperlink" xfId="541" builtinId="9" hidden="1"/>
    <cellStyle name="Followed Hyperlink" xfId="542" builtinId="9" hidden="1"/>
    <cellStyle name="Followed Hyperlink" xfId="543" builtinId="9" hidden="1"/>
    <cellStyle name="Followed Hyperlink" xfId="544" builtinId="9" hidden="1"/>
    <cellStyle name="Followed Hyperlink" xfId="545" builtinId="9" hidden="1"/>
    <cellStyle name="Followed Hyperlink" xfId="546" builtinId="9" hidden="1"/>
    <cellStyle name="Followed Hyperlink" xfId="547" builtinId="9" hidden="1"/>
    <cellStyle name="Followed Hyperlink" xfId="548" builtinId="9" hidden="1"/>
    <cellStyle name="Followed Hyperlink" xfId="549" builtinId="9" hidden="1"/>
    <cellStyle name="Followed Hyperlink" xfId="550" builtinId="9" hidden="1"/>
    <cellStyle name="Followed Hyperlink" xfId="551" builtinId="9" hidden="1"/>
    <cellStyle name="Followed Hyperlink" xfId="552" builtinId="9" hidden="1"/>
    <cellStyle name="Followed Hyperlink" xfId="553" builtinId="9" hidden="1"/>
    <cellStyle name="Followed Hyperlink" xfId="554" builtinId="9" hidden="1"/>
    <cellStyle name="Followed Hyperlink" xfId="555" builtinId="9" hidden="1"/>
    <cellStyle name="Followed Hyperlink" xfId="556" builtinId="9" hidden="1"/>
    <cellStyle name="Followed Hyperlink" xfId="557" builtinId="9" hidden="1"/>
    <cellStyle name="Followed Hyperlink" xfId="558" builtinId="9" hidden="1"/>
    <cellStyle name="Followed Hyperlink" xfId="559" builtinId="9" hidden="1"/>
    <cellStyle name="Followed Hyperlink" xfId="560" builtinId="9" hidden="1"/>
    <cellStyle name="Followed Hyperlink" xfId="561" builtinId="9" hidden="1"/>
    <cellStyle name="Followed Hyperlink" xfId="562" builtinId="9" hidden="1"/>
    <cellStyle name="Followed Hyperlink" xfId="563" builtinId="9" hidden="1"/>
    <cellStyle name="Followed Hyperlink" xfId="564" builtinId="9" hidden="1"/>
    <cellStyle name="Followed Hyperlink" xfId="565" builtinId="9" hidden="1"/>
    <cellStyle name="Followed Hyperlink" xfId="566" builtinId="9" hidden="1"/>
    <cellStyle name="Followed Hyperlink" xfId="567" builtinId="9" hidden="1"/>
    <cellStyle name="Followed Hyperlink" xfId="568" builtinId="9" hidden="1"/>
    <cellStyle name="Followed Hyperlink" xfId="569" builtinId="9" hidden="1"/>
    <cellStyle name="Followed Hyperlink" xfId="570" builtinId="9" hidden="1"/>
    <cellStyle name="Followed Hyperlink" xfId="571" builtinId="9" hidden="1"/>
    <cellStyle name="Followed Hyperlink" xfId="572" builtinId="9" hidden="1"/>
    <cellStyle name="Followed Hyperlink" xfId="573" builtinId="9" hidden="1"/>
    <cellStyle name="Followed Hyperlink" xfId="574" builtinId="9" hidden="1"/>
    <cellStyle name="Followed Hyperlink" xfId="575" builtinId="9" hidden="1"/>
    <cellStyle name="Followed Hyperlink" xfId="576" builtinId="9" hidden="1"/>
    <cellStyle name="Followed Hyperlink" xfId="577" builtinId="9" hidden="1"/>
    <cellStyle name="Followed Hyperlink" xfId="578" builtinId="9" hidden="1"/>
    <cellStyle name="Followed Hyperlink" xfId="579" builtinId="9" hidden="1"/>
    <cellStyle name="Followed Hyperlink" xfId="580" builtinId="9" hidden="1"/>
    <cellStyle name="Followed Hyperlink" xfId="581" builtinId="9" hidden="1"/>
    <cellStyle name="Followed Hyperlink" xfId="582" builtinId="9" hidden="1"/>
    <cellStyle name="Followed Hyperlink" xfId="583" builtinId="9" hidden="1"/>
    <cellStyle name="Followed Hyperlink" xfId="584" builtinId="9" hidden="1"/>
    <cellStyle name="Followed Hyperlink" xfId="585" builtinId="9" hidden="1"/>
    <cellStyle name="Followed Hyperlink" xfId="586" builtinId="9" hidden="1"/>
    <cellStyle name="Followed Hyperlink" xfId="587" builtinId="9" hidden="1"/>
    <cellStyle name="Followed Hyperlink" xfId="588" builtinId="9" hidden="1"/>
    <cellStyle name="Followed Hyperlink" xfId="589" builtinId="9" hidden="1"/>
    <cellStyle name="Followed Hyperlink" xfId="590" builtinId="9" hidden="1"/>
    <cellStyle name="Followed Hyperlink" xfId="591" builtinId="9" hidden="1"/>
    <cellStyle name="Followed Hyperlink" xfId="592" builtinId="9" hidden="1"/>
    <cellStyle name="Followed Hyperlink" xfId="593" builtinId="9" hidden="1"/>
    <cellStyle name="Followed Hyperlink" xfId="594" builtinId="9" hidden="1"/>
    <cellStyle name="Followed Hyperlink" xfId="595" builtinId="9" hidden="1"/>
    <cellStyle name="Followed Hyperlink" xfId="596" builtinId="9" hidden="1"/>
    <cellStyle name="Followed Hyperlink" xfId="597" builtinId="9" hidden="1"/>
    <cellStyle name="Followed Hyperlink" xfId="598" builtinId="9" hidden="1"/>
    <cellStyle name="Followed Hyperlink" xfId="599" builtinId="9" hidden="1"/>
    <cellStyle name="Followed Hyperlink" xfId="600" builtinId="9" hidden="1"/>
    <cellStyle name="Followed Hyperlink" xfId="601" builtinId="9" hidden="1"/>
    <cellStyle name="Followed Hyperlink" xfId="602" builtinId="9" hidden="1"/>
    <cellStyle name="Followed Hyperlink" xfId="603" builtinId="9" hidden="1"/>
    <cellStyle name="Followed Hyperlink" xfId="604" builtinId="9" hidden="1"/>
    <cellStyle name="Followed Hyperlink" xfId="605" builtinId="9" hidden="1"/>
    <cellStyle name="Followed Hyperlink" xfId="606" builtinId="9" hidden="1"/>
    <cellStyle name="Followed Hyperlink" xfId="607" builtinId="9" hidden="1"/>
    <cellStyle name="Followed Hyperlink" xfId="608" builtinId="9" hidden="1"/>
    <cellStyle name="Followed Hyperlink" xfId="609" builtinId="9" hidden="1"/>
    <cellStyle name="Followed Hyperlink" xfId="610" builtinId="9" hidden="1"/>
    <cellStyle name="Followed Hyperlink" xfId="611" builtinId="9" hidden="1"/>
    <cellStyle name="Followed Hyperlink" xfId="612" builtinId="9" hidden="1"/>
    <cellStyle name="Followed Hyperlink" xfId="613" builtinId="9" hidden="1"/>
    <cellStyle name="Followed Hyperlink" xfId="614" builtinId="9" hidden="1"/>
    <cellStyle name="Followed Hyperlink" xfId="615" builtinId="9" hidden="1"/>
    <cellStyle name="Followed Hyperlink" xfId="616" builtinId="9" hidden="1"/>
    <cellStyle name="Followed Hyperlink" xfId="617" builtinId="9" hidden="1"/>
    <cellStyle name="Followed Hyperlink" xfId="618" builtinId="9" hidden="1"/>
    <cellStyle name="Followed Hyperlink" xfId="619" builtinId="9" hidden="1"/>
    <cellStyle name="Followed Hyperlink" xfId="620" builtinId="9" hidden="1"/>
    <cellStyle name="Followed Hyperlink" xfId="621" builtinId="9" hidden="1"/>
    <cellStyle name="Followed Hyperlink" xfId="622" builtinId="9" hidden="1"/>
    <cellStyle name="Followed Hyperlink" xfId="623" builtinId="9" hidden="1"/>
    <cellStyle name="Followed Hyperlink" xfId="624" builtinId="9" hidden="1"/>
    <cellStyle name="Followed Hyperlink" xfId="625" builtinId="9" hidden="1"/>
    <cellStyle name="Followed Hyperlink" xfId="626" builtinId="9" hidden="1"/>
    <cellStyle name="Followed Hyperlink" xfId="627" builtinId="9" hidden="1"/>
    <cellStyle name="Followed Hyperlink" xfId="628" builtinId="9" hidden="1"/>
    <cellStyle name="Followed Hyperlink" xfId="629" builtinId="9" hidden="1"/>
    <cellStyle name="Followed Hyperlink" xfId="630" builtinId="9" hidden="1"/>
    <cellStyle name="Followed Hyperlink" xfId="631" builtinId="9" hidden="1"/>
    <cellStyle name="Followed Hyperlink" xfId="632" builtinId="9" hidden="1"/>
    <cellStyle name="Followed Hyperlink" xfId="633" builtinId="9" hidden="1"/>
    <cellStyle name="Followed Hyperlink" xfId="634" builtinId="9" hidden="1"/>
    <cellStyle name="Followed Hyperlink" xfId="635" builtinId="9" hidden="1"/>
    <cellStyle name="Followed Hyperlink" xfId="636" builtinId="9" hidden="1"/>
    <cellStyle name="Followed Hyperlink" xfId="637" builtinId="9" hidden="1"/>
    <cellStyle name="Followed Hyperlink" xfId="638" builtinId="9" hidden="1"/>
    <cellStyle name="Followed Hyperlink" xfId="639" builtinId="9" hidden="1"/>
    <cellStyle name="Followed Hyperlink" xfId="640" builtinId="9" hidden="1"/>
    <cellStyle name="Followed Hyperlink" xfId="641" builtinId="9" hidden="1"/>
    <cellStyle name="Followed Hyperlink" xfId="642" builtinId="9" hidden="1"/>
    <cellStyle name="Followed Hyperlink" xfId="643" builtinId="9" hidden="1"/>
    <cellStyle name="Followed Hyperlink" xfId="644" builtinId="9" hidden="1"/>
    <cellStyle name="Followed Hyperlink" xfId="645" builtinId="9" hidden="1"/>
    <cellStyle name="Followed Hyperlink" xfId="646" builtinId="9" hidden="1"/>
    <cellStyle name="Followed Hyperlink" xfId="647" builtinId="9" hidden="1"/>
    <cellStyle name="Followed Hyperlink" xfId="648" builtinId="9" hidden="1"/>
    <cellStyle name="Followed Hyperlink" xfId="649" builtinId="9" hidden="1"/>
    <cellStyle name="Followed Hyperlink" xfId="650" builtinId="9" hidden="1"/>
    <cellStyle name="Followed Hyperlink" xfId="651" builtinId="9" hidden="1"/>
    <cellStyle name="Followed Hyperlink" xfId="652" builtinId="9" hidden="1"/>
    <cellStyle name="Followed Hyperlink" xfId="653" builtinId="9" hidden="1"/>
    <cellStyle name="Followed Hyperlink" xfId="654" builtinId="9" hidden="1"/>
    <cellStyle name="Followed Hyperlink" xfId="655" builtinId="9" hidden="1"/>
    <cellStyle name="Followed Hyperlink" xfId="656" builtinId="9" hidden="1"/>
    <cellStyle name="Followed Hyperlink" xfId="657" builtinId="9" hidden="1"/>
    <cellStyle name="Followed Hyperlink" xfId="658" builtinId="9" hidden="1"/>
    <cellStyle name="Followed Hyperlink" xfId="659" builtinId="9" hidden="1"/>
    <cellStyle name="Followed Hyperlink" xfId="660" builtinId="9" hidden="1"/>
    <cellStyle name="Followed Hyperlink" xfId="661" builtinId="9" hidden="1"/>
    <cellStyle name="Followed Hyperlink" xfId="662" builtinId="9" hidden="1"/>
    <cellStyle name="Followed Hyperlink" xfId="663" builtinId="9" hidden="1"/>
    <cellStyle name="Followed Hyperlink" xfId="664" builtinId="9" hidden="1"/>
    <cellStyle name="Followed Hyperlink" xfId="665" builtinId="9" hidden="1"/>
    <cellStyle name="Followed Hyperlink" xfId="666" builtinId="9" hidden="1"/>
    <cellStyle name="Followed Hyperlink" xfId="667" builtinId="9" hidden="1"/>
    <cellStyle name="Followed Hyperlink" xfId="668" builtinId="9" hidden="1"/>
    <cellStyle name="Followed Hyperlink" xfId="669" builtinId="9" hidden="1"/>
    <cellStyle name="Followed Hyperlink" xfId="670" builtinId="9" hidden="1"/>
    <cellStyle name="Followed Hyperlink" xfId="671" builtinId="9" hidden="1"/>
    <cellStyle name="Followed Hyperlink" xfId="672" builtinId="9" hidden="1"/>
    <cellStyle name="Followed Hyperlink" xfId="673" builtinId="9" hidden="1"/>
    <cellStyle name="Followed Hyperlink" xfId="674" builtinId="9" hidden="1"/>
    <cellStyle name="Followed Hyperlink" xfId="675" builtinId="9" hidden="1"/>
    <cellStyle name="Followed Hyperlink" xfId="676" builtinId="9" hidden="1"/>
    <cellStyle name="Followed Hyperlink" xfId="677" builtinId="9" hidden="1"/>
    <cellStyle name="Followed Hyperlink" xfId="678" builtinId="9" hidden="1"/>
    <cellStyle name="Followed Hyperlink" xfId="679" builtinId="9" hidden="1"/>
    <cellStyle name="Followed Hyperlink" xfId="680" builtinId="9" hidden="1"/>
    <cellStyle name="Followed Hyperlink" xfId="681" builtinId="9" hidden="1"/>
    <cellStyle name="Followed Hyperlink" xfId="682" builtinId="9" hidden="1"/>
    <cellStyle name="Followed Hyperlink" xfId="683" builtinId="9" hidden="1"/>
    <cellStyle name="Followed Hyperlink" xfId="684" builtinId="9" hidden="1"/>
    <cellStyle name="Followed Hyperlink" xfId="685" builtinId="9" hidden="1"/>
    <cellStyle name="Followed Hyperlink" xfId="686" builtinId="9" hidden="1"/>
    <cellStyle name="Followed Hyperlink" xfId="687" builtinId="9" hidden="1"/>
    <cellStyle name="Followed Hyperlink" xfId="688" builtinId="9" hidden="1"/>
    <cellStyle name="Followed Hyperlink" xfId="689" builtinId="9" hidden="1"/>
    <cellStyle name="Followed Hyperlink" xfId="690" builtinId="9" hidden="1"/>
    <cellStyle name="Followed Hyperlink" xfId="691" builtinId="9" hidden="1"/>
    <cellStyle name="Followed Hyperlink" xfId="692" builtinId="9" hidden="1"/>
    <cellStyle name="Followed Hyperlink" xfId="693" builtinId="9" hidden="1"/>
    <cellStyle name="Followed Hyperlink" xfId="694" builtinId="9" hidden="1"/>
    <cellStyle name="Followed Hyperlink" xfId="695" builtinId="9" hidden="1"/>
    <cellStyle name="Followed Hyperlink" xfId="696" builtinId="9" hidden="1"/>
    <cellStyle name="Followed Hyperlink" xfId="697" builtinId="9" hidden="1"/>
    <cellStyle name="Followed Hyperlink" xfId="698" builtinId="9" hidden="1"/>
    <cellStyle name="Followed Hyperlink" xfId="699" builtinId="9" hidden="1"/>
    <cellStyle name="Followed Hyperlink" xfId="700" builtinId="9" hidden="1"/>
    <cellStyle name="Followed Hyperlink" xfId="701" builtinId="9" hidden="1"/>
    <cellStyle name="Followed Hyperlink" xfId="702" builtinId="9" hidden="1"/>
    <cellStyle name="Followed Hyperlink" xfId="703" builtinId="9" hidden="1"/>
    <cellStyle name="Followed Hyperlink" xfId="704" builtinId="9" hidden="1"/>
    <cellStyle name="Followed Hyperlink" xfId="705" builtinId="9" hidden="1"/>
    <cellStyle name="Followed Hyperlink" xfId="706" builtinId="9" hidden="1"/>
    <cellStyle name="Followed Hyperlink" xfId="707" builtinId="9" hidden="1"/>
    <cellStyle name="Followed Hyperlink" xfId="708" builtinId="9" hidden="1"/>
    <cellStyle name="Followed Hyperlink" xfId="709" builtinId="9" hidden="1"/>
    <cellStyle name="Followed Hyperlink" xfId="710" builtinId="9" hidden="1"/>
    <cellStyle name="Followed Hyperlink" xfId="711" builtinId="9" hidden="1"/>
    <cellStyle name="Followed Hyperlink" xfId="712" builtinId="9" hidden="1"/>
    <cellStyle name="Followed Hyperlink" xfId="713" builtinId="9" hidden="1"/>
    <cellStyle name="Followed Hyperlink" xfId="714" builtinId="9" hidden="1"/>
    <cellStyle name="Followed Hyperlink" xfId="715" builtinId="9" hidden="1"/>
    <cellStyle name="Followed Hyperlink" xfId="716" builtinId="9" hidden="1"/>
    <cellStyle name="Followed Hyperlink" xfId="717" builtinId="9" hidden="1"/>
    <cellStyle name="Followed Hyperlink" xfId="718" builtinId="9" hidden="1"/>
    <cellStyle name="Followed Hyperlink" xfId="719" builtinId="9" hidden="1"/>
    <cellStyle name="Followed Hyperlink" xfId="720" builtinId="9" hidden="1"/>
    <cellStyle name="Followed Hyperlink" xfId="721" builtinId="9" hidden="1"/>
    <cellStyle name="Followed Hyperlink" xfId="722" builtinId="9" hidden="1"/>
    <cellStyle name="Followed Hyperlink" xfId="723" builtinId="9" hidden="1"/>
    <cellStyle name="Followed Hyperlink" xfId="724" builtinId="9" hidden="1"/>
    <cellStyle name="Followed Hyperlink" xfId="725" builtinId="9" hidden="1"/>
    <cellStyle name="Followed Hyperlink" xfId="726" builtinId="9" hidden="1"/>
    <cellStyle name="Followed Hyperlink" xfId="727" builtinId="9" hidden="1"/>
    <cellStyle name="Followed Hyperlink" xfId="728" builtinId="9" hidden="1"/>
    <cellStyle name="Followed Hyperlink" xfId="729" builtinId="9" hidden="1"/>
    <cellStyle name="Followed Hyperlink" xfId="730" builtinId="9" hidden="1"/>
    <cellStyle name="Followed Hyperlink" xfId="731" builtinId="9" hidden="1"/>
    <cellStyle name="Followed Hyperlink" xfId="732" builtinId="9" hidden="1"/>
    <cellStyle name="Followed Hyperlink" xfId="733" builtinId="9" hidden="1"/>
    <cellStyle name="Followed Hyperlink" xfId="734" builtinId="9" hidden="1"/>
    <cellStyle name="Followed Hyperlink" xfId="735" builtinId="9" hidden="1"/>
    <cellStyle name="Followed Hyperlink" xfId="736" builtinId="9" hidden="1"/>
    <cellStyle name="Followed Hyperlink" xfId="737" builtinId="9" hidden="1"/>
    <cellStyle name="Followed Hyperlink" xfId="738" builtinId="9" hidden="1"/>
    <cellStyle name="Followed Hyperlink" xfId="739" builtinId="9" hidden="1"/>
    <cellStyle name="Followed Hyperlink" xfId="740" builtinId="9" hidden="1"/>
    <cellStyle name="Followed Hyperlink" xfId="741" builtinId="9" hidden="1"/>
    <cellStyle name="Followed Hyperlink" xfId="742" builtinId="9" hidden="1"/>
    <cellStyle name="Followed Hyperlink" xfId="743" builtinId="9" hidden="1"/>
    <cellStyle name="Followed Hyperlink" xfId="744" builtinId="9" hidden="1"/>
    <cellStyle name="Followed Hyperlink" xfId="745" builtinId="9" hidden="1"/>
    <cellStyle name="Followed Hyperlink" xfId="746" builtinId="9" hidden="1"/>
    <cellStyle name="Followed Hyperlink" xfId="747" builtinId="9" hidden="1"/>
    <cellStyle name="Followed Hyperlink" xfId="748" builtinId="9" hidden="1"/>
    <cellStyle name="Followed Hyperlink" xfId="749" builtinId="9" hidden="1"/>
    <cellStyle name="Followed Hyperlink" xfId="750" builtinId="9" hidden="1"/>
    <cellStyle name="Followed Hyperlink" xfId="751" builtinId="9" hidden="1"/>
    <cellStyle name="Followed Hyperlink" xfId="752" builtinId="9" hidden="1"/>
    <cellStyle name="Followed Hyperlink" xfId="753" builtinId="9" hidden="1"/>
    <cellStyle name="Followed Hyperlink" xfId="754" builtinId="9" hidden="1"/>
    <cellStyle name="Followed Hyperlink" xfId="755" builtinId="9" hidden="1"/>
    <cellStyle name="Followed Hyperlink" xfId="756" builtinId="9" hidden="1"/>
    <cellStyle name="Followed Hyperlink" xfId="757" builtinId="9" hidden="1"/>
    <cellStyle name="Followed Hyperlink" xfId="758" builtinId="9" hidden="1"/>
    <cellStyle name="Followed Hyperlink" xfId="759" builtinId="9" hidden="1"/>
    <cellStyle name="Followed Hyperlink" xfId="760" builtinId="9" hidden="1"/>
    <cellStyle name="Followed Hyperlink" xfId="761" builtinId="9" hidden="1"/>
    <cellStyle name="Followed Hyperlink" xfId="762" builtinId="9" hidden="1"/>
    <cellStyle name="Followed Hyperlink" xfId="763" builtinId="9" hidden="1"/>
    <cellStyle name="Followed Hyperlink" xfId="764" builtinId="9" hidden="1"/>
    <cellStyle name="Followed Hyperlink" xfId="765" builtinId="9" hidden="1"/>
    <cellStyle name="Followed Hyperlink" xfId="766" builtinId="9" hidden="1"/>
    <cellStyle name="Followed Hyperlink" xfId="767" builtinId="9" hidden="1"/>
    <cellStyle name="Followed Hyperlink" xfId="768" builtinId="9" hidden="1"/>
    <cellStyle name="Followed Hyperlink" xfId="769" builtinId="9" hidden="1"/>
    <cellStyle name="Followed Hyperlink" xfId="770" builtinId="9" hidden="1"/>
    <cellStyle name="Followed Hyperlink" xfId="771" builtinId="9" hidden="1"/>
    <cellStyle name="Followed Hyperlink" xfId="772" builtinId="9" hidden="1"/>
    <cellStyle name="Followed Hyperlink" xfId="773" builtinId="9" hidden="1"/>
    <cellStyle name="Followed Hyperlink" xfId="774" builtinId="9" hidden="1"/>
    <cellStyle name="Followed Hyperlink" xfId="775" builtinId="9" hidden="1"/>
    <cellStyle name="Followed Hyperlink" xfId="776" builtinId="9" hidden="1"/>
    <cellStyle name="Followed Hyperlink" xfId="777" builtinId="9" hidden="1"/>
    <cellStyle name="Followed Hyperlink" xfId="778" builtinId="9" hidden="1"/>
    <cellStyle name="Heading 1" xfId="3" xr:uid="{00000000-0005-0000-0000-000006030000}"/>
    <cellStyle name="Hyperlink" xfId="2" builtinId="8"/>
    <cellStyle name="Normal" xfId="0" builtinId="0"/>
    <cellStyle name="Normal 3" xfId="5" xr:uid="{00000000-0005-0000-0000-000009030000}"/>
    <cellStyle name="Per cent" xfId="1" builtinId="5"/>
  </cellStyles>
  <dxfs count="2">
    <dxf>
      <font>
        <color rgb="FF9C0006"/>
      </font>
      <fill>
        <patternFill>
          <bgColor rgb="FFFFC7CE"/>
        </patternFill>
      </fill>
      <border>
        <left style="thin">
          <color auto="1"/>
        </left>
        <right style="thin">
          <color auto="1"/>
        </right>
        <top style="thin">
          <color auto="1"/>
        </top>
        <bottom style="thin">
          <color auto="1"/>
        </bottom>
      </border>
    </dxf>
    <dxf>
      <font>
        <color rgb="FF006100"/>
      </font>
      <fill>
        <patternFill>
          <bgColor rgb="FFC6EFCE"/>
        </patternFill>
      </fill>
      <border>
        <left style="thin">
          <color auto="1"/>
        </left>
        <right style="thin">
          <color auto="1"/>
        </right>
        <top style="thin">
          <color auto="1"/>
        </top>
        <bottom style="thin">
          <color auto="1"/>
        </bottom>
      </border>
    </dxf>
  </dxfs>
  <tableStyles count="0" defaultTableStyle="TableStyleMedium9" defaultPivotStyle="PivotStyleMedium4"/>
  <colors>
    <mruColors>
      <color rgb="FFA3A3A3"/>
      <color rgb="FFE34123"/>
      <color rgb="FFFF6D67"/>
      <color rgb="FFBB4A55"/>
      <color rgb="FFBEBEBE"/>
      <color rgb="FF562879"/>
      <color rgb="FFE1F4EB"/>
      <color rgb="FFFFFFFF"/>
      <color rgb="FFBA5BFF"/>
      <color rgb="FFFFBFA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1"/>
  <c:lang val="en-GB"/>
  <c:roundedCorners val="0"/>
  <mc:AlternateContent xmlns:mc="http://schemas.openxmlformats.org/markup-compatibility/2006">
    <mc:Choice xmlns:c14="http://schemas.microsoft.com/office/drawing/2007/8/2/chart" Requires="c14">
      <c14:style val="118"/>
    </mc:Choice>
    <mc:Fallback>
      <c:style val="18"/>
    </mc:Fallback>
  </mc:AlternateContent>
  <c:chart>
    <c:title>
      <c:tx>
        <c:strRef>
          <c:f>'Figure Legends'!$B$8</c:f>
          <c:strCache>
            <c:ptCount val="1"/>
            <c:pt idx="0">
              <c:v>(a) Congenital syphilis case rate prior to 2019</c:v>
            </c:pt>
          </c:strCache>
        </c:strRef>
      </c:tx>
      <c:layout>
        <c:manualLayout>
          <c:xMode val="edge"/>
          <c:yMode val="edge"/>
          <c:x val="0.21698338967641501"/>
          <c:y val="2.2388037558287999E-2"/>
        </c:manualLayout>
      </c:layout>
      <c:overlay val="0"/>
      <c:txPr>
        <a:bodyPr/>
        <a:lstStyle/>
        <a:p>
          <a:pPr>
            <a:defRPr>
              <a:latin typeface="Helvetica"/>
              <a:cs typeface="Helvetica"/>
            </a:defRPr>
          </a:pPr>
          <a:endParaRPr lang="en-US"/>
        </a:p>
      </c:txPr>
    </c:title>
    <c:autoTitleDeleted val="0"/>
    <c:plotArea>
      <c:layout/>
      <c:areaChart>
        <c:grouping val="standard"/>
        <c:varyColors val="0"/>
        <c:ser>
          <c:idx val="2"/>
          <c:order val="0"/>
          <c:tx>
            <c:v>Low</c:v>
          </c:tx>
          <c:spPr>
            <a:solidFill>
              <a:srgbClr val="FF6D67">
                <a:alpha val="18824"/>
              </a:srgbClr>
            </a:solidFill>
            <a:ln w="19050">
              <a:noFill/>
              <a:prstDash val="lgDash"/>
            </a:ln>
            <a:effectLst/>
          </c:spPr>
          <c:cat>
            <c:numRef>
              <c:f>'Full Results'!$H$6:$O$6</c:f>
              <c:numCache>
                <c:formatCode>General</c:formatCode>
                <c:ptCount val="8"/>
                <c:pt idx="0">
                  <c:v>2012</c:v>
                </c:pt>
                <c:pt idx="1">
                  <c:v>2013</c:v>
                </c:pt>
                <c:pt idx="2">
                  <c:v>2014</c:v>
                </c:pt>
                <c:pt idx="3">
                  <c:v>2015</c:v>
                </c:pt>
                <c:pt idx="4">
                  <c:v>2016</c:v>
                </c:pt>
                <c:pt idx="5">
                  <c:v>2017</c:v>
                </c:pt>
                <c:pt idx="6">
                  <c:v>2018</c:v>
                </c:pt>
                <c:pt idx="7">
                  <c:v>2019</c:v>
                </c:pt>
              </c:numCache>
            </c:numRef>
          </c:cat>
          <c:val>
            <c:numRef>
              <c:f>'Full Results'!$BB$85:$BI$85</c:f>
              <c:numCache>
                <c:formatCode>0</c:formatCode>
                <c:ptCount val="8"/>
                <c:pt idx="0">
                  <c:v>491.74441899787649</c:v>
                </c:pt>
                <c:pt idx="1">
                  <c:v>123.62943093847079</c:v>
                </c:pt>
                <c:pt idx="2">
                  <c:v>224.37377759419405</c:v>
                </c:pt>
                <c:pt idx="3">
                  <c:v>210.37767793722193</c:v>
                </c:pt>
                <c:pt idx="4">
                  <c:v>122.29023174278481</c:v>
                </c:pt>
                <c:pt idx="5">
                  <c:v>129.21283114557559</c:v>
                </c:pt>
                <c:pt idx="6">
                  <c:v>#N/A</c:v>
                </c:pt>
                <c:pt idx="7">
                  <c:v>111.43819653350256</c:v>
                </c:pt>
              </c:numCache>
            </c:numRef>
          </c:val>
          <c:extLst>
            <c:ext xmlns:c16="http://schemas.microsoft.com/office/drawing/2014/chart" uri="{C3380CC4-5D6E-409C-BE32-E72D297353CC}">
              <c16:uniqueId val="{00000000-4C9E-B244-95E3-CA20DB191D3F}"/>
            </c:ext>
          </c:extLst>
        </c:ser>
        <c:ser>
          <c:idx val="1"/>
          <c:order val="1"/>
          <c:tx>
            <c:v>High</c:v>
          </c:tx>
          <c:spPr>
            <a:solidFill>
              <a:schemeClr val="bg1"/>
            </a:solidFill>
            <a:ln w="19050">
              <a:noFill/>
              <a:prstDash val="lgDash"/>
            </a:ln>
            <a:effectLst/>
          </c:spPr>
          <c:cat>
            <c:numRef>
              <c:f>'Full Results'!$H$6:$O$6</c:f>
              <c:numCache>
                <c:formatCode>General</c:formatCode>
                <c:ptCount val="8"/>
                <c:pt idx="0">
                  <c:v>2012</c:v>
                </c:pt>
                <c:pt idx="1">
                  <c:v>2013</c:v>
                </c:pt>
                <c:pt idx="2">
                  <c:v>2014</c:v>
                </c:pt>
                <c:pt idx="3">
                  <c:v>2015</c:v>
                </c:pt>
                <c:pt idx="4">
                  <c:v>2016</c:v>
                </c:pt>
                <c:pt idx="5">
                  <c:v>2017</c:v>
                </c:pt>
                <c:pt idx="6">
                  <c:v>2018</c:v>
                </c:pt>
                <c:pt idx="7">
                  <c:v>2019</c:v>
                </c:pt>
              </c:numCache>
            </c:numRef>
          </c:cat>
          <c:val>
            <c:numRef>
              <c:f>'Full Results'!$AE$85:$AL$85</c:f>
              <c:numCache>
                <c:formatCode>0</c:formatCode>
                <c:ptCount val="8"/>
                <c:pt idx="0">
                  <c:v>329.4802088498497</c:v>
                </c:pt>
                <c:pt idx="1">
                  <c:v>0</c:v>
                </c:pt>
                <c:pt idx="2">
                  <c:v>86.107770092967101</c:v>
                </c:pt>
                <c:pt idx="3">
                  <c:v>72.534070587094732</c:v>
                </c:pt>
                <c:pt idx="4">
                  <c:v>0</c:v>
                </c:pt>
                <c:pt idx="5">
                  <c:v>0</c:v>
                </c:pt>
                <c:pt idx="6">
                  <c:v>#N/A</c:v>
                </c:pt>
                <c:pt idx="7">
                  <c:v>0</c:v>
                </c:pt>
              </c:numCache>
            </c:numRef>
          </c:val>
          <c:extLst>
            <c:ext xmlns:c16="http://schemas.microsoft.com/office/drawing/2014/chart" uri="{C3380CC4-5D6E-409C-BE32-E72D297353CC}">
              <c16:uniqueId val="{00000001-4C9E-B244-95E3-CA20DB191D3F}"/>
            </c:ext>
          </c:extLst>
        </c:ser>
        <c:dLbls>
          <c:showLegendKey val="0"/>
          <c:showVal val="0"/>
          <c:showCatName val="0"/>
          <c:showSerName val="0"/>
          <c:showPercent val="0"/>
          <c:showBubbleSize val="0"/>
        </c:dLbls>
        <c:axId val="1928063280"/>
        <c:axId val="2053448688"/>
      </c:areaChart>
      <c:lineChart>
        <c:grouping val="standard"/>
        <c:varyColors val="0"/>
        <c:ser>
          <c:idx val="3"/>
          <c:order val="2"/>
          <c:tx>
            <c:v>Mean</c:v>
          </c:tx>
          <c:spPr>
            <a:ln>
              <a:solidFill>
                <a:srgbClr val="F83500">
                  <a:alpha val="69804"/>
                </a:srgbClr>
              </a:solidFill>
            </a:ln>
          </c:spPr>
          <c:marker>
            <c:symbol val="none"/>
          </c:marker>
          <c:cat>
            <c:numRef>
              <c:f>'Full Results'!$H$6:$O$6</c:f>
              <c:numCache>
                <c:formatCode>General</c:formatCode>
                <c:ptCount val="8"/>
                <c:pt idx="0">
                  <c:v>2012</c:v>
                </c:pt>
                <c:pt idx="1">
                  <c:v>2013</c:v>
                </c:pt>
                <c:pt idx="2">
                  <c:v>2014</c:v>
                </c:pt>
                <c:pt idx="3">
                  <c:v>2015</c:v>
                </c:pt>
                <c:pt idx="4">
                  <c:v>2016</c:v>
                </c:pt>
                <c:pt idx="5">
                  <c:v>2017</c:v>
                </c:pt>
                <c:pt idx="6">
                  <c:v>2018</c:v>
                </c:pt>
                <c:pt idx="7">
                  <c:v>2019</c:v>
                </c:pt>
              </c:numCache>
            </c:numRef>
          </c:cat>
          <c:val>
            <c:numRef>
              <c:f>'Full Results'!$H$85:$O$85</c:f>
              <c:numCache>
                <c:formatCode>0</c:formatCode>
                <c:ptCount val="8"/>
                <c:pt idx="0">
                  <c:v>409.73081857015063</c:v>
                </c:pt>
                <c:pt idx="1">
                  <c:v>56.329606392239192</c:v>
                </c:pt>
                <c:pt idx="2">
                  <c:v>154.7478957665154</c:v>
                </c:pt>
                <c:pt idx="3">
                  <c:v>140.8566980530484</c:v>
                </c:pt>
                <c:pt idx="4">
                  <c:v>55.551910637487346</c:v>
                </c:pt>
                <c:pt idx="5">
                  <c:v>62.319066618691345</c:v>
                </c:pt>
                <c:pt idx="6">
                  <c:v>#N/A</c:v>
                </c:pt>
                <c:pt idx="7">
                  <c:v>50.913792447492739</c:v>
                </c:pt>
              </c:numCache>
            </c:numRef>
          </c:val>
          <c:smooth val="0"/>
          <c:extLst>
            <c:ext xmlns:c16="http://schemas.microsoft.com/office/drawing/2014/chart" uri="{C3380CC4-5D6E-409C-BE32-E72D297353CC}">
              <c16:uniqueId val="{00000002-4C9E-B244-95E3-CA20DB191D3F}"/>
            </c:ext>
          </c:extLst>
        </c:ser>
        <c:ser>
          <c:idx val="0"/>
          <c:order val="3"/>
          <c:tx>
            <c:strRef>
              <c:f>Data!$AB$67</c:f>
              <c:strCache>
                <c:ptCount val="1"/>
                <c:pt idx="0">
                  <c:v>WHO elimination target</c:v>
                </c:pt>
              </c:strCache>
            </c:strRef>
          </c:tx>
          <c:spPr>
            <a:ln w="12700">
              <a:solidFill>
                <a:srgbClr val="244AFC"/>
              </a:solidFill>
              <a:prstDash val="dash"/>
            </a:ln>
          </c:spPr>
          <c:marker>
            <c:symbol val="none"/>
          </c:marker>
          <c:cat>
            <c:numRef>
              <c:f>'Full Results'!$H$6:$O$6</c:f>
              <c:numCache>
                <c:formatCode>General</c:formatCode>
                <c:ptCount val="8"/>
                <c:pt idx="0">
                  <c:v>2012</c:v>
                </c:pt>
                <c:pt idx="1">
                  <c:v>2013</c:v>
                </c:pt>
                <c:pt idx="2">
                  <c:v>2014</c:v>
                </c:pt>
                <c:pt idx="3">
                  <c:v>2015</c:v>
                </c:pt>
                <c:pt idx="4">
                  <c:v>2016</c:v>
                </c:pt>
                <c:pt idx="5">
                  <c:v>2017</c:v>
                </c:pt>
                <c:pt idx="6">
                  <c:v>2018</c:v>
                </c:pt>
                <c:pt idx="7">
                  <c:v>2019</c:v>
                </c:pt>
              </c:numCache>
            </c:numRef>
          </c:cat>
          <c:val>
            <c:numRef>
              <c:f>Data!$J$70:$Q$70</c:f>
              <c:numCache>
                <c:formatCode>General</c:formatCode>
                <c:ptCount val="8"/>
                <c:pt idx="0">
                  <c:v>50</c:v>
                </c:pt>
                <c:pt idx="1">
                  <c:v>50</c:v>
                </c:pt>
                <c:pt idx="2">
                  <c:v>50</c:v>
                </c:pt>
                <c:pt idx="3">
                  <c:v>50</c:v>
                </c:pt>
                <c:pt idx="4">
                  <c:v>50</c:v>
                </c:pt>
                <c:pt idx="5">
                  <c:v>50</c:v>
                </c:pt>
                <c:pt idx="6">
                  <c:v>50</c:v>
                </c:pt>
                <c:pt idx="7">
                  <c:v>50</c:v>
                </c:pt>
              </c:numCache>
            </c:numRef>
          </c:val>
          <c:smooth val="0"/>
          <c:extLst>
            <c:ext xmlns:c16="http://schemas.microsoft.com/office/drawing/2014/chart" uri="{C3380CC4-5D6E-409C-BE32-E72D297353CC}">
              <c16:uniqueId val="{00000003-4C9E-B244-95E3-CA20DB191D3F}"/>
            </c:ext>
          </c:extLst>
        </c:ser>
        <c:dLbls>
          <c:showLegendKey val="0"/>
          <c:showVal val="0"/>
          <c:showCatName val="0"/>
          <c:showSerName val="0"/>
          <c:showPercent val="0"/>
          <c:showBubbleSize val="0"/>
        </c:dLbls>
        <c:marker val="1"/>
        <c:smooth val="0"/>
        <c:axId val="1928063280"/>
        <c:axId val="2053448688"/>
      </c:lineChart>
      <c:catAx>
        <c:axId val="1928063280"/>
        <c:scaling>
          <c:orientation val="minMax"/>
        </c:scaling>
        <c:delete val="0"/>
        <c:axPos val="b"/>
        <c:title>
          <c:tx>
            <c:strRef>
              <c:f>'Figure Legends'!$B$12</c:f>
              <c:strCache>
                <c:ptCount val="1"/>
                <c:pt idx="0">
                  <c:v>Year</c:v>
                </c:pt>
              </c:strCache>
            </c:strRef>
          </c:tx>
          <c:overlay val="0"/>
          <c:txPr>
            <a:bodyPr/>
            <a:lstStyle/>
            <a:p>
              <a:pPr>
                <a:defRPr>
                  <a:latin typeface="Helvetica"/>
                  <a:cs typeface="Helvetica"/>
                </a:defRPr>
              </a:pPr>
              <a:endParaRPr lang="en-US"/>
            </a:p>
          </c:txPr>
        </c:title>
        <c:numFmt formatCode="General" sourceLinked="1"/>
        <c:majorTickMark val="out"/>
        <c:minorTickMark val="none"/>
        <c:tickLblPos val="nextTo"/>
        <c:txPr>
          <a:bodyPr rot="-3360000" vert="horz"/>
          <a:lstStyle/>
          <a:p>
            <a:pPr>
              <a:defRPr sz="1200">
                <a:latin typeface="Helvetica"/>
                <a:cs typeface="Helvetica"/>
              </a:defRPr>
            </a:pPr>
            <a:endParaRPr lang="en-US"/>
          </a:p>
        </c:txPr>
        <c:crossAx val="2053448688"/>
        <c:crosses val="autoZero"/>
        <c:auto val="1"/>
        <c:lblAlgn val="ctr"/>
        <c:lblOffset val="100"/>
        <c:noMultiLvlLbl val="0"/>
      </c:catAx>
      <c:valAx>
        <c:axId val="2053448688"/>
        <c:scaling>
          <c:orientation val="minMax"/>
        </c:scaling>
        <c:delete val="0"/>
        <c:axPos val="l"/>
        <c:majorGridlines>
          <c:spPr>
            <a:ln>
              <a:noFill/>
            </a:ln>
          </c:spPr>
        </c:majorGridlines>
        <c:title>
          <c:tx>
            <c:strRef>
              <c:f>'Figure Legends'!$B$10</c:f>
              <c:strCache>
                <c:ptCount val="1"/>
                <c:pt idx="0">
                  <c:v>Case rate per 100,000 live births</c:v>
                </c:pt>
              </c:strCache>
            </c:strRef>
          </c:tx>
          <c:layout>
            <c:manualLayout>
              <c:xMode val="edge"/>
              <c:yMode val="edge"/>
              <c:x val="2.96703283866778E-2"/>
              <c:y val="0.12537276985946399"/>
            </c:manualLayout>
          </c:layout>
          <c:overlay val="0"/>
          <c:txPr>
            <a:bodyPr rot="-5400000" vert="horz"/>
            <a:lstStyle/>
            <a:p>
              <a:pPr>
                <a:defRPr>
                  <a:latin typeface="Helvetica"/>
                  <a:cs typeface="Helvetica"/>
                </a:defRPr>
              </a:pPr>
              <a:endParaRPr lang="en-US"/>
            </a:p>
          </c:txPr>
        </c:title>
        <c:numFmt formatCode="0" sourceLinked="1"/>
        <c:majorTickMark val="out"/>
        <c:minorTickMark val="none"/>
        <c:tickLblPos val="nextTo"/>
        <c:txPr>
          <a:bodyPr/>
          <a:lstStyle/>
          <a:p>
            <a:pPr>
              <a:defRPr sz="1200">
                <a:latin typeface="Helvetica"/>
                <a:cs typeface="Helvetica"/>
              </a:defRPr>
            </a:pPr>
            <a:endParaRPr lang="en-US"/>
          </a:p>
        </c:txPr>
        <c:crossAx val="1928063280"/>
        <c:crosses val="autoZero"/>
        <c:crossBetween val="between"/>
      </c:valAx>
    </c:plotArea>
    <c:legend>
      <c:legendPos val="b"/>
      <c:legendEntry>
        <c:idx val="0"/>
        <c:delete val="1"/>
      </c:legendEntry>
      <c:legendEntry>
        <c:idx val="1"/>
        <c:delete val="1"/>
      </c:legendEntry>
      <c:legendEntry>
        <c:idx val="2"/>
        <c:delete val="1"/>
      </c:legendEntry>
      <c:overlay val="0"/>
    </c:legend>
    <c:plotVisOnly val="1"/>
    <c:dispBlanksAs val="gap"/>
    <c:showDLblsOverMax val="0"/>
  </c:chart>
  <c:spPr>
    <a:solidFill>
      <a:schemeClr val="bg1"/>
    </a:solidFill>
    <a:ln>
      <a:solidFill>
        <a:schemeClr val="tx1"/>
      </a:solidFill>
    </a:ln>
  </c:spPr>
  <c:printSettings>
    <c:headerFooter/>
    <c:pageMargins b="1" l="0.75" r="0.7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1"/>
  <c:lang val="en-GB"/>
  <c:roundedCorners val="0"/>
  <mc:AlternateContent xmlns:mc="http://schemas.openxmlformats.org/markup-compatibility/2006">
    <mc:Choice xmlns:c14="http://schemas.microsoft.com/office/drawing/2007/8/2/chart" Requires="c14">
      <c14:style val="118"/>
    </mc:Choice>
    <mc:Fallback>
      <c:style val="18"/>
    </mc:Fallback>
  </mc:AlternateContent>
  <c:chart>
    <c:title>
      <c:tx>
        <c:strRef>
          <c:f>'Figure Legends'!$B$9</c:f>
          <c:strCache>
            <c:ptCount val="1"/>
            <c:pt idx="0">
              <c:v>(b) Congenital syphilis case numbers prior to 2019</c:v>
            </c:pt>
          </c:strCache>
        </c:strRef>
      </c:tx>
      <c:layout>
        <c:manualLayout>
          <c:xMode val="edge"/>
          <c:yMode val="edge"/>
          <c:x val="0.21698338967641501"/>
          <c:y val="2.2388037558287999E-2"/>
        </c:manualLayout>
      </c:layout>
      <c:overlay val="0"/>
      <c:txPr>
        <a:bodyPr/>
        <a:lstStyle/>
        <a:p>
          <a:pPr>
            <a:defRPr>
              <a:latin typeface="Helvetica"/>
              <a:cs typeface="Helvetica"/>
            </a:defRPr>
          </a:pPr>
          <a:endParaRPr lang="en-US"/>
        </a:p>
      </c:txPr>
    </c:title>
    <c:autoTitleDeleted val="0"/>
    <c:plotArea>
      <c:layout/>
      <c:areaChart>
        <c:grouping val="standard"/>
        <c:varyColors val="0"/>
        <c:ser>
          <c:idx val="2"/>
          <c:order val="0"/>
          <c:tx>
            <c:v>High</c:v>
          </c:tx>
          <c:spPr>
            <a:solidFill>
              <a:srgbClr val="FF6D67">
                <a:alpha val="18824"/>
              </a:srgbClr>
            </a:solidFill>
            <a:ln>
              <a:noFill/>
            </a:ln>
            <a:effectLst/>
          </c:spPr>
          <c:val>
            <c:numRef>
              <c:f>'Full Results'!$BA$86:$BI$86</c:f>
              <c:numCache>
                <c:formatCode>0</c:formatCode>
                <c:ptCount val="9"/>
                <c:pt idx="0">
                  <c:v>69732.00494281709</c:v>
                </c:pt>
                <c:pt idx="1">
                  <c:v>128481.43771828953</c:v>
                </c:pt>
                <c:pt idx="2">
                  <c:v>32106.904431950254</c:v>
                </c:pt>
                <c:pt idx="3">
                  <c:v>58024.095492711058</c:v>
                </c:pt>
                <c:pt idx="4">
                  <c:v>54264.132415896936</c:v>
                </c:pt>
                <c:pt idx="5">
                  <c:v>31499.306330205596</c:v>
                </c:pt>
                <c:pt idx="6">
                  <c:v>33250.124637519577</c:v>
                </c:pt>
                <c:pt idx="7">
                  <c:v>#N/A</c:v>
                </c:pt>
                <c:pt idx="8">
                  <c:v>28590.816608466172</c:v>
                </c:pt>
              </c:numCache>
            </c:numRef>
          </c:val>
          <c:extLst>
            <c:ext xmlns:c16="http://schemas.microsoft.com/office/drawing/2014/chart" uri="{C3380CC4-5D6E-409C-BE32-E72D297353CC}">
              <c16:uniqueId val="{00000000-16C2-7F44-9048-77B56AC45108}"/>
            </c:ext>
          </c:extLst>
        </c:ser>
        <c:ser>
          <c:idx val="1"/>
          <c:order val="1"/>
          <c:tx>
            <c:v>Low</c:v>
          </c:tx>
          <c:spPr>
            <a:solidFill>
              <a:schemeClr val="bg1"/>
            </a:solidFill>
            <a:ln>
              <a:noFill/>
            </a:ln>
            <a:effectLst/>
          </c:spPr>
          <c:val>
            <c:numRef>
              <c:f>'Full Results'!$AD$86:$AL$86</c:f>
              <c:numCache>
                <c:formatCode>0</c:formatCode>
                <c:ptCount val="9"/>
                <c:pt idx="0">
                  <c:v>31663.657666836552</c:v>
                </c:pt>
                <c:pt idx="1">
                  <c:v>86085.554400432942</c:v>
                </c:pt>
                <c:pt idx="2">
                  <c:v>0</c:v>
                </c:pt>
                <c:pt idx="3">
                  <c:v>22267.867163939125</c:v>
                </c:pt>
                <c:pt idx="4">
                  <c:v>18709.201706165102</c:v>
                </c:pt>
                <c:pt idx="5">
                  <c:v>0</c:v>
                </c:pt>
                <c:pt idx="6">
                  <c:v>0</c:v>
                </c:pt>
                <c:pt idx="7">
                  <c:v>#N/A</c:v>
                </c:pt>
                <c:pt idx="8">
                  <c:v>0</c:v>
                </c:pt>
              </c:numCache>
            </c:numRef>
          </c:val>
          <c:extLst>
            <c:ext xmlns:c16="http://schemas.microsoft.com/office/drawing/2014/chart" uri="{C3380CC4-5D6E-409C-BE32-E72D297353CC}">
              <c16:uniqueId val="{00000001-16C2-7F44-9048-77B56AC45108}"/>
            </c:ext>
          </c:extLst>
        </c:ser>
        <c:dLbls>
          <c:showLegendKey val="0"/>
          <c:showVal val="0"/>
          <c:showCatName val="0"/>
          <c:showSerName val="0"/>
          <c:showPercent val="0"/>
          <c:showBubbleSize val="0"/>
        </c:dLbls>
        <c:axId val="2138712592"/>
        <c:axId val="2138086656"/>
      </c:areaChart>
      <c:lineChart>
        <c:grouping val="standard"/>
        <c:varyColors val="0"/>
        <c:ser>
          <c:idx val="0"/>
          <c:order val="2"/>
          <c:tx>
            <c:strRef>
              <c:f>'Figure Legends'!$B$34</c:f>
              <c:strCache>
                <c:ptCount val="1"/>
                <c:pt idx="0">
                  <c:v>User reported case number</c:v>
                </c:pt>
              </c:strCache>
            </c:strRef>
          </c:tx>
          <c:spPr>
            <a:ln>
              <a:solidFill>
                <a:srgbClr val="FFC000">
                  <a:alpha val="69804"/>
                </a:srgbClr>
              </a:solidFill>
            </a:ln>
          </c:spPr>
          <c:marker>
            <c:symbol val="none"/>
          </c:marker>
          <c:cat>
            <c:numRef>
              <c:f>'Full Results'!$G$6:$P$6</c:f>
              <c:numCache>
                <c:formatCode>General</c:formatCode>
                <c:ptCount val="10"/>
                <c:pt idx="0">
                  <c:v>2011</c:v>
                </c:pt>
                <c:pt idx="1">
                  <c:v>2012</c:v>
                </c:pt>
                <c:pt idx="2">
                  <c:v>2013</c:v>
                </c:pt>
                <c:pt idx="3">
                  <c:v>2014</c:v>
                </c:pt>
                <c:pt idx="4">
                  <c:v>2015</c:v>
                </c:pt>
                <c:pt idx="5">
                  <c:v>2016</c:v>
                </c:pt>
                <c:pt idx="6">
                  <c:v>2017</c:v>
                </c:pt>
                <c:pt idx="7">
                  <c:v>2018</c:v>
                </c:pt>
                <c:pt idx="8">
                  <c:v>2019</c:v>
                </c:pt>
                <c:pt idx="9">
                  <c:v>2020</c:v>
                </c:pt>
              </c:numCache>
            </c:numRef>
          </c:cat>
          <c:val>
            <c:numRef>
              <c:f>Data!$I$63:$Q$63</c:f>
              <c:numCache>
                <c:formatCode>General</c:formatCode>
                <c:ptCount val="9"/>
              </c:numCache>
            </c:numRef>
          </c:val>
          <c:smooth val="0"/>
          <c:extLst>
            <c:ext xmlns:c16="http://schemas.microsoft.com/office/drawing/2014/chart" uri="{C3380CC4-5D6E-409C-BE32-E72D297353CC}">
              <c16:uniqueId val="{00000002-16C2-7F44-9048-77B56AC45108}"/>
            </c:ext>
          </c:extLst>
        </c:ser>
        <c:ser>
          <c:idx val="3"/>
          <c:order val="3"/>
          <c:tx>
            <c:strRef>
              <c:f>'Figure Legends'!$B$35</c:f>
              <c:strCache>
                <c:ptCount val="1"/>
                <c:pt idx="0">
                  <c:v>Model predicted CS case number</c:v>
                </c:pt>
              </c:strCache>
            </c:strRef>
          </c:tx>
          <c:spPr>
            <a:ln>
              <a:solidFill>
                <a:srgbClr val="F83500">
                  <a:alpha val="69804"/>
                </a:srgbClr>
              </a:solidFill>
            </a:ln>
          </c:spPr>
          <c:marker>
            <c:symbol val="none"/>
          </c:marker>
          <c:cat>
            <c:numRef>
              <c:f>'Full Results'!$G$6:$P$6</c:f>
              <c:numCache>
                <c:formatCode>General</c:formatCode>
                <c:ptCount val="10"/>
                <c:pt idx="0">
                  <c:v>2011</c:v>
                </c:pt>
                <c:pt idx="1">
                  <c:v>2012</c:v>
                </c:pt>
                <c:pt idx="2">
                  <c:v>2013</c:v>
                </c:pt>
                <c:pt idx="3">
                  <c:v>2014</c:v>
                </c:pt>
                <c:pt idx="4">
                  <c:v>2015</c:v>
                </c:pt>
                <c:pt idx="5">
                  <c:v>2016</c:v>
                </c:pt>
                <c:pt idx="6">
                  <c:v>2017</c:v>
                </c:pt>
                <c:pt idx="7">
                  <c:v>2018</c:v>
                </c:pt>
                <c:pt idx="8">
                  <c:v>2019</c:v>
                </c:pt>
                <c:pt idx="9">
                  <c:v>2020</c:v>
                </c:pt>
              </c:numCache>
            </c:numRef>
          </c:cat>
          <c:val>
            <c:numRef>
              <c:f>'Full Results'!$G$86:$O$86</c:f>
              <c:numCache>
                <c:formatCode>0</c:formatCode>
                <c:ptCount val="9"/>
                <c:pt idx="0">
                  <c:v>50295.457272985208</c:v>
                </c:pt>
                <c:pt idx="1">
                  <c:v>107053.18172123865</c:v>
                </c:pt>
                <c:pt idx="2">
                  <c:v>14628.95424977816</c:v>
                </c:pt>
                <c:pt idx="3">
                  <c:v>40018.520780499326</c:v>
                </c:pt>
                <c:pt idx="4">
                  <c:v>36332.117502967652</c:v>
                </c:pt>
                <c:pt idx="5">
                  <c:v>14308.965037198586</c:v>
                </c:pt>
                <c:pt idx="6">
                  <c:v>16036.462586527921</c:v>
                </c:pt>
                <c:pt idx="7">
                  <c:v>#N/A</c:v>
                </c:pt>
                <c:pt idx="8">
                  <c:v>13062.549000154952</c:v>
                </c:pt>
              </c:numCache>
            </c:numRef>
          </c:val>
          <c:smooth val="0"/>
          <c:extLst>
            <c:ext xmlns:c16="http://schemas.microsoft.com/office/drawing/2014/chart" uri="{C3380CC4-5D6E-409C-BE32-E72D297353CC}">
              <c16:uniqueId val="{00000003-16C2-7F44-9048-77B56AC45108}"/>
            </c:ext>
          </c:extLst>
        </c:ser>
        <c:dLbls>
          <c:showLegendKey val="0"/>
          <c:showVal val="0"/>
          <c:showCatName val="0"/>
          <c:showSerName val="0"/>
          <c:showPercent val="0"/>
          <c:showBubbleSize val="0"/>
        </c:dLbls>
        <c:marker val="1"/>
        <c:smooth val="0"/>
        <c:axId val="2138712592"/>
        <c:axId val="2138086656"/>
      </c:lineChart>
      <c:catAx>
        <c:axId val="2138712592"/>
        <c:scaling>
          <c:orientation val="minMax"/>
        </c:scaling>
        <c:delete val="0"/>
        <c:axPos val="b"/>
        <c:title>
          <c:tx>
            <c:strRef>
              <c:f>'Figure Legends'!$B$12</c:f>
              <c:strCache>
                <c:ptCount val="1"/>
                <c:pt idx="0">
                  <c:v>Year</c:v>
                </c:pt>
              </c:strCache>
            </c:strRef>
          </c:tx>
          <c:overlay val="0"/>
          <c:txPr>
            <a:bodyPr/>
            <a:lstStyle/>
            <a:p>
              <a:pPr>
                <a:defRPr>
                  <a:latin typeface="Helvetica"/>
                  <a:cs typeface="Helvetica"/>
                </a:defRPr>
              </a:pPr>
              <a:endParaRPr lang="en-US"/>
            </a:p>
          </c:txPr>
        </c:title>
        <c:numFmt formatCode="General" sourceLinked="1"/>
        <c:majorTickMark val="out"/>
        <c:minorTickMark val="none"/>
        <c:tickLblPos val="nextTo"/>
        <c:txPr>
          <a:bodyPr rot="-3360000" vert="horz"/>
          <a:lstStyle/>
          <a:p>
            <a:pPr>
              <a:defRPr sz="1200">
                <a:latin typeface="Helvetica"/>
                <a:cs typeface="Helvetica"/>
              </a:defRPr>
            </a:pPr>
            <a:endParaRPr lang="en-US"/>
          </a:p>
        </c:txPr>
        <c:crossAx val="2138086656"/>
        <c:crosses val="autoZero"/>
        <c:auto val="1"/>
        <c:lblAlgn val="ctr"/>
        <c:lblOffset val="100"/>
        <c:noMultiLvlLbl val="0"/>
      </c:catAx>
      <c:valAx>
        <c:axId val="2138086656"/>
        <c:scaling>
          <c:orientation val="minMax"/>
        </c:scaling>
        <c:delete val="0"/>
        <c:axPos val="l"/>
        <c:majorGridlines>
          <c:spPr>
            <a:ln>
              <a:noFill/>
            </a:ln>
          </c:spPr>
        </c:majorGridlines>
        <c:title>
          <c:tx>
            <c:strRef>
              <c:f>'Figure Legends'!$B$11</c:f>
              <c:strCache>
                <c:ptCount val="1"/>
                <c:pt idx="0">
                  <c:v>Case numbers</c:v>
                </c:pt>
              </c:strCache>
            </c:strRef>
          </c:tx>
          <c:layout>
            <c:manualLayout>
              <c:xMode val="edge"/>
              <c:yMode val="edge"/>
              <c:x val="2.9670376680216E-2"/>
              <c:y val="0.34721989192098801"/>
            </c:manualLayout>
          </c:layout>
          <c:overlay val="0"/>
          <c:txPr>
            <a:bodyPr rot="-5400000" vert="horz"/>
            <a:lstStyle/>
            <a:p>
              <a:pPr>
                <a:defRPr>
                  <a:latin typeface="Helvetica"/>
                  <a:cs typeface="Helvetica"/>
                </a:defRPr>
              </a:pPr>
              <a:endParaRPr lang="en-US"/>
            </a:p>
          </c:txPr>
        </c:title>
        <c:numFmt formatCode="0" sourceLinked="1"/>
        <c:majorTickMark val="out"/>
        <c:minorTickMark val="none"/>
        <c:tickLblPos val="nextTo"/>
        <c:txPr>
          <a:bodyPr/>
          <a:lstStyle/>
          <a:p>
            <a:pPr>
              <a:defRPr sz="1200">
                <a:latin typeface="Helvetica"/>
                <a:cs typeface="Helvetica"/>
              </a:defRPr>
            </a:pPr>
            <a:endParaRPr lang="en-US"/>
          </a:p>
        </c:txPr>
        <c:crossAx val="2138712592"/>
        <c:crosses val="autoZero"/>
        <c:crossBetween val="between"/>
        <c:minorUnit val="1"/>
      </c:valAx>
    </c:plotArea>
    <c:legend>
      <c:legendPos val="b"/>
      <c:legendEntry>
        <c:idx val="0"/>
        <c:delete val="1"/>
      </c:legendEntry>
      <c:legendEntry>
        <c:idx val="1"/>
        <c:delete val="1"/>
      </c:legendEntry>
      <c:overlay val="0"/>
    </c:legend>
    <c:plotVisOnly val="1"/>
    <c:dispBlanksAs val="gap"/>
    <c:showDLblsOverMax val="0"/>
  </c:chart>
  <c:spPr>
    <a:ln>
      <a:solidFill>
        <a:schemeClr val="tx1"/>
      </a:solidFill>
    </a:ln>
  </c:spPr>
  <c:printSettings>
    <c:headerFooter/>
    <c:pageMargins b="1" l="0.75" r="0.75"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1"/>
  <c:lang val="en-GB"/>
  <c:roundedCorners val="0"/>
  <mc:AlternateContent xmlns:mc="http://schemas.openxmlformats.org/markup-compatibility/2006">
    <mc:Choice xmlns:c14="http://schemas.microsoft.com/office/drawing/2007/8/2/chart" Requires="c14">
      <c14:style val="118"/>
    </mc:Choice>
    <mc:Fallback>
      <c:style val="18"/>
    </mc:Fallback>
  </mc:AlternateContent>
  <c:chart>
    <c:title>
      <c:tx>
        <c:strRef>
          <c:f>'Figure Legends'!$B$13</c:f>
          <c:strCache>
            <c:ptCount val="1"/>
            <c:pt idx="0">
              <c:v>Trends in adverse birth outcomes over time as testing and treatment coverage increase for women with syphilis</c:v>
            </c:pt>
          </c:strCache>
        </c:strRef>
      </c:tx>
      <c:overlay val="0"/>
      <c:txPr>
        <a:bodyPr/>
        <a:lstStyle/>
        <a:p>
          <a:pPr>
            <a:defRPr>
              <a:latin typeface="Helvetica"/>
              <a:cs typeface="Helvetica"/>
            </a:defRPr>
          </a:pPr>
          <a:endParaRPr lang="en-US"/>
        </a:p>
      </c:txPr>
    </c:title>
    <c:autoTitleDeleted val="0"/>
    <c:plotArea>
      <c:layout>
        <c:manualLayout>
          <c:layoutTarget val="inner"/>
          <c:xMode val="edge"/>
          <c:yMode val="edge"/>
          <c:x val="0.140731798353045"/>
          <c:y val="0.31389901337789999"/>
          <c:w val="0.535836479831861"/>
          <c:h val="0.473041585451346"/>
        </c:manualLayout>
      </c:layout>
      <c:barChart>
        <c:barDir val="col"/>
        <c:grouping val="stacked"/>
        <c:varyColors val="0"/>
        <c:ser>
          <c:idx val="4"/>
          <c:order val="0"/>
          <c:tx>
            <c:strRef>
              <c:f>'Full Results'!$E$99</c:f>
              <c:strCache>
                <c:ptCount val="1"/>
                <c:pt idx="0">
                  <c:v>Clinical CS</c:v>
                </c:pt>
              </c:strCache>
            </c:strRef>
          </c:tx>
          <c:spPr>
            <a:solidFill>
              <a:schemeClr val="accent3"/>
            </a:solidFill>
            <a:ln>
              <a:noFill/>
            </a:ln>
          </c:spPr>
          <c:invertIfNegative val="0"/>
          <c:cat>
            <c:numRef>
              <c:f>'Full Results'!$G$6:$O$6</c:f>
              <c:numCache>
                <c:formatCode>General</c:formatCode>
                <c:ptCount val="9"/>
                <c:pt idx="0">
                  <c:v>2011</c:v>
                </c:pt>
                <c:pt idx="1">
                  <c:v>2012</c:v>
                </c:pt>
                <c:pt idx="2">
                  <c:v>2013</c:v>
                </c:pt>
                <c:pt idx="3">
                  <c:v>2014</c:v>
                </c:pt>
                <c:pt idx="4">
                  <c:v>2015</c:v>
                </c:pt>
                <c:pt idx="5">
                  <c:v>2016</c:v>
                </c:pt>
                <c:pt idx="6">
                  <c:v>2017</c:v>
                </c:pt>
                <c:pt idx="7">
                  <c:v>2018</c:v>
                </c:pt>
                <c:pt idx="8">
                  <c:v>2019</c:v>
                </c:pt>
              </c:numCache>
            </c:numRef>
          </c:cat>
          <c:val>
            <c:numRef>
              <c:f>'Full Results'!$G$71:$O$71</c:f>
              <c:numCache>
                <c:formatCode>0</c:formatCode>
                <c:ptCount val="9"/>
                <c:pt idx="0">
                  <c:v>7541.2299700975045</c:v>
                </c:pt>
                <c:pt idx="1">
                  <c:v>16046.632997177485</c:v>
                </c:pt>
                <c:pt idx="2">
                  <c:v>2192.2616346676891</c:v>
                </c:pt>
                <c:pt idx="3">
                  <c:v>6001.616529443766</c:v>
                </c:pt>
                <c:pt idx="4">
                  <c:v>5448.5936219524556</c:v>
                </c:pt>
                <c:pt idx="5">
                  <c:v>2143.9835305866586</c:v>
                </c:pt>
                <c:pt idx="6">
                  <c:v>2403.0750613528521</c:v>
                </c:pt>
                <c:pt idx="7">
                  <c:v>#N/A</c:v>
                </c:pt>
                <c:pt idx="8">
                  <c:v>1953.6143297383094</c:v>
                </c:pt>
              </c:numCache>
            </c:numRef>
          </c:val>
          <c:extLst>
            <c:ext xmlns:c16="http://schemas.microsoft.com/office/drawing/2014/chart" uri="{C3380CC4-5D6E-409C-BE32-E72D297353CC}">
              <c16:uniqueId val="{00000003-EDD6-4037-B3F9-8E608600F0D8}"/>
            </c:ext>
          </c:extLst>
        </c:ser>
        <c:ser>
          <c:idx val="1"/>
          <c:order val="1"/>
          <c:tx>
            <c:strRef>
              <c:f>'Full Results'!$E$97</c:f>
              <c:strCache>
                <c:ptCount val="1"/>
                <c:pt idx="0">
                  <c:v>Neonatal deaths</c:v>
                </c:pt>
              </c:strCache>
            </c:strRef>
          </c:tx>
          <c:spPr>
            <a:solidFill>
              <a:srgbClr val="7674CB"/>
            </a:solidFill>
            <a:ln>
              <a:noFill/>
            </a:ln>
          </c:spPr>
          <c:invertIfNegative val="0"/>
          <c:cat>
            <c:numRef>
              <c:f>'Full Results'!$G$6:$O$6</c:f>
              <c:numCache>
                <c:formatCode>General</c:formatCode>
                <c:ptCount val="9"/>
                <c:pt idx="0">
                  <c:v>2011</c:v>
                </c:pt>
                <c:pt idx="1">
                  <c:v>2012</c:v>
                </c:pt>
                <c:pt idx="2">
                  <c:v>2013</c:v>
                </c:pt>
                <c:pt idx="3">
                  <c:v>2014</c:v>
                </c:pt>
                <c:pt idx="4">
                  <c:v>2015</c:v>
                </c:pt>
                <c:pt idx="5">
                  <c:v>2016</c:v>
                </c:pt>
                <c:pt idx="6">
                  <c:v>2017</c:v>
                </c:pt>
                <c:pt idx="7">
                  <c:v>2018</c:v>
                </c:pt>
                <c:pt idx="8">
                  <c:v>2019</c:v>
                </c:pt>
              </c:numCache>
            </c:numRef>
          </c:cat>
          <c:val>
            <c:numRef>
              <c:f>'Full Results'!$G$69:$O$69</c:f>
              <c:numCache>
                <c:formatCode>0</c:formatCode>
                <c:ptCount val="9"/>
                <c:pt idx="0">
                  <c:v>4547.0811967200716</c:v>
                </c:pt>
                <c:pt idx="1">
                  <c:v>9710.0446651751299</c:v>
                </c:pt>
                <c:pt idx="2">
                  <c:v>1330.4146606234185</c:v>
                </c:pt>
                <c:pt idx="3">
                  <c:v>3609.3728920191347</c:v>
                </c:pt>
                <c:pt idx="4">
                  <c:v>3278.01066652287</c:v>
                </c:pt>
                <c:pt idx="5">
                  <c:v>1303.4713204299492</c:v>
                </c:pt>
                <c:pt idx="6">
                  <c:v>1459.1656975128647</c:v>
                </c:pt>
                <c:pt idx="7">
                  <c:v>#N/A</c:v>
                </c:pt>
                <c:pt idx="8">
                  <c:v>1213.8947020318635</c:v>
                </c:pt>
              </c:numCache>
            </c:numRef>
          </c:val>
          <c:extLst>
            <c:ext xmlns:c16="http://schemas.microsoft.com/office/drawing/2014/chart" uri="{C3380CC4-5D6E-409C-BE32-E72D297353CC}">
              <c16:uniqueId val="{00000001-EDD6-4037-B3F9-8E608600F0D8}"/>
            </c:ext>
          </c:extLst>
        </c:ser>
        <c:ser>
          <c:idx val="2"/>
          <c:order val="2"/>
          <c:tx>
            <c:strRef>
              <c:f>'Full Results'!$E$98</c:f>
              <c:strCache>
                <c:ptCount val="1"/>
                <c:pt idx="0">
                  <c:v>Premature / low birth weight</c:v>
                </c:pt>
              </c:strCache>
            </c:strRef>
          </c:tx>
          <c:spPr>
            <a:solidFill>
              <a:schemeClr val="tx2">
                <a:lumMod val="50000"/>
                <a:lumOff val="50000"/>
              </a:schemeClr>
            </a:solidFill>
            <a:ln>
              <a:noFill/>
            </a:ln>
            <a:effectLst/>
          </c:spPr>
          <c:invertIfNegative val="0"/>
          <c:cat>
            <c:numRef>
              <c:f>'Full Results'!$G$6:$O$6</c:f>
              <c:numCache>
                <c:formatCode>General</c:formatCode>
                <c:ptCount val="9"/>
                <c:pt idx="0">
                  <c:v>2011</c:v>
                </c:pt>
                <c:pt idx="1">
                  <c:v>2012</c:v>
                </c:pt>
                <c:pt idx="2">
                  <c:v>2013</c:v>
                </c:pt>
                <c:pt idx="3">
                  <c:v>2014</c:v>
                </c:pt>
                <c:pt idx="4">
                  <c:v>2015</c:v>
                </c:pt>
                <c:pt idx="5">
                  <c:v>2016</c:v>
                </c:pt>
                <c:pt idx="6">
                  <c:v>2017</c:v>
                </c:pt>
                <c:pt idx="7">
                  <c:v>2018</c:v>
                </c:pt>
                <c:pt idx="8">
                  <c:v>2019</c:v>
                </c:pt>
              </c:numCache>
            </c:numRef>
          </c:cat>
          <c:val>
            <c:numRef>
              <c:f>'Full Results'!$G$70:$O$70</c:f>
              <c:numCache>
                <c:formatCode>0</c:formatCode>
                <c:ptCount val="9"/>
                <c:pt idx="0">
                  <c:v>3045.4067364245611</c:v>
                </c:pt>
                <c:pt idx="1">
                  <c:v>6524.8547912892318</c:v>
                </c:pt>
                <c:pt idx="2">
                  <c:v>896.39106304952918</c:v>
                </c:pt>
                <c:pt idx="3">
                  <c:v>2411.5210491753451</c:v>
                </c:pt>
                <c:pt idx="4">
                  <c:v>2190.8962048827902</c:v>
                </c:pt>
                <c:pt idx="5">
                  <c:v>879.69849727672158</c:v>
                </c:pt>
                <c:pt idx="6">
                  <c:v>983.64499721322159</c:v>
                </c:pt>
                <c:pt idx="7">
                  <c:v>#N/A</c:v>
                </c:pt>
                <c:pt idx="8">
                  <c:v>835.44421966916559</c:v>
                </c:pt>
              </c:numCache>
            </c:numRef>
          </c:val>
          <c:extLst>
            <c:ext xmlns:c16="http://schemas.microsoft.com/office/drawing/2014/chart" uri="{C3380CC4-5D6E-409C-BE32-E72D297353CC}">
              <c16:uniqueId val="{00000002-EDD6-4037-B3F9-8E608600F0D8}"/>
            </c:ext>
          </c:extLst>
        </c:ser>
        <c:ser>
          <c:idx val="0"/>
          <c:order val="3"/>
          <c:tx>
            <c:strRef>
              <c:f>'Full Results'!$E$96</c:f>
              <c:strCache>
                <c:ptCount val="1"/>
                <c:pt idx="0">
                  <c:v>Stillbirths</c:v>
                </c:pt>
              </c:strCache>
            </c:strRef>
          </c:tx>
          <c:spPr>
            <a:solidFill>
              <a:schemeClr val="accent1">
                <a:lumMod val="60000"/>
                <a:lumOff val="40000"/>
              </a:schemeClr>
            </a:solidFill>
            <a:ln>
              <a:noFill/>
            </a:ln>
            <a:effectLst/>
          </c:spPr>
          <c:invertIfNegative val="0"/>
          <c:cat>
            <c:numRef>
              <c:f>'Full Results'!$G$6:$O$6</c:f>
              <c:numCache>
                <c:formatCode>General</c:formatCode>
                <c:ptCount val="9"/>
                <c:pt idx="0">
                  <c:v>2011</c:v>
                </c:pt>
                <c:pt idx="1">
                  <c:v>2012</c:v>
                </c:pt>
                <c:pt idx="2">
                  <c:v>2013</c:v>
                </c:pt>
                <c:pt idx="3">
                  <c:v>2014</c:v>
                </c:pt>
                <c:pt idx="4">
                  <c:v>2015</c:v>
                </c:pt>
                <c:pt idx="5">
                  <c:v>2016</c:v>
                </c:pt>
                <c:pt idx="6">
                  <c:v>2017</c:v>
                </c:pt>
                <c:pt idx="7">
                  <c:v>2018</c:v>
                </c:pt>
                <c:pt idx="8">
                  <c:v>2019</c:v>
                </c:pt>
              </c:numCache>
            </c:numRef>
          </c:cat>
          <c:val>
            <c:numRef>
              <c:f>'Full Results'!$G$68:$O$68</c:f>
              <c:numCache>
                <c:formatCode>0</c:formatCode>
                <c:ptCount val="9"/>
                <c:pt idx="0">
                  <c:v>10548.521810922919</c:v>
                </c:pt>
                <c:pt idx="1">
                  <c:v>22431.494780279041</c:v>
                </c:pt>
                <c:pt idx="2">
                  <c:v>3062.9660674312568</c:v>
                </c:pt>
                <c:pt idx="3">
                  <c:v>8398.8030929583238</c:v>
                </c:pt>
                <c:pt idx="4">
                  <c:v>7624.3851028828612</c:v>
                </c:pt>
                <c:pt idx="5">
                  <c:v>2994.5435066715768</c:v>
                </c:pt>
                <c:pt idx="6">
                  <c:v>3357.1730491346943</c:v>
                </c:pt>
                <c:pt idx="7">
                  <c:v>#N/A</c:v>
                </c:pt>
                <c:pt idx="8">
                  <c:v>2717.8787246146835</c:v>
                </c:pt>
              </c:numCache>
            </c:numRef>
          </c:val>
          <c:extLst>
            <c:ext xmlns:c16="http://schemas.microsoft.com/office/drawing/2014/chart" uri="{C3380CC4-5D6E-409C-BE32-E72D297353CC}">
              <c16:uniqueId val="{00000000-EDD6-4037-B3F9-8E608600F0D8}"/>
            </c:ext>
          </c:extLst>
        </c:ser>
        <c:ser>
          <c:idx val="3"/>
          <c:order val="4"/>
          <c:tx>
            <c:strRef>
              <c:f>'Full Results'!$E$100</c:f>
              <c:strCache>
                <c:ptCount val="1"/>
                <c:pt idx="0">
                  <c:v>Non-clinical CS</c:v>
                </c:pt>
              </c:strCache>
            </c:strRef>
          </c:tx>
          <c:spPr>
            <a:solidFill>
              <a:srgbClr val="8B703A"/>
            </a:solidFill>
            <a:ln>
              <a:noFill/>
            </a:ln>
          </c:spPr>
          <c:invertIfNegative val="0"/>
          <c:dPt>
            <c:idx val="6"/>
            <c:invertIfNegative val="0"/>
            <c:bubble3D val="0"/>
            <c:spPr>
              <a:solidFill>
                <a:srgbClr val="8B703A"/>
              </a:solidFill>
              <a:ln>
                <a:noFill/>
              </a:ln>
              <a:effectLst/>
            </c:spPr>
            <c:extLst>
              <c:ext xmlns:c16="http://schemas.microsoft.com/office/drawing/2014/chart" uri="{C3380CC4-5D6E-409C-BE32-E72D297353CC}">
                <c16:uniqueId val="{00000001-D9F9-C945-A4F6-3997F5CA10DE}"/>
              </c:ext>
            </c:extLst>
          </c:dPt>
          <c:cat>
            <c:numRef>
              <c:f>'Full Results'!$G$6:$O$6</c:f>
              <c:numCache>
                <c:formatCode>General</c:formatCode>
                <c:ptCount val="9"/>
                <c:pt idx="0">
                  <c:v>2011</c:v>
                </c:pt>
                <c:pt idx="1">
                  <c:v>2012</c:v>
                </c:pt>
                <c:pt idx="2">
                  <c:v>2013</c:v>
                </c:pt>
                <c:pt idx="3">
                  <c:v>2014</c:v>
                </c:pt>
                <c:pt idx="4">
                  <c:v>2015</c:v>
                </c:pt>
                <c:pt idx="5">
                  <c:v>2016</c:v>
                </c:pt>
                <c:pt idx="6">
                  <c:v>2017</c:v>
                </c:pt>
                <c:pt idx="7">
                  <c:v>2018</c:v>
                </c:pt>
                <c:pt idx="8">
                  <c:v>2019</c:v>
                </c:pt>
              </c:numCache>
            </c:numRef>
          </c:cat>
          <c:val>
            <c:numRef>
              <c:f>'Full Results'!$G$72:$O$72</c:f>
              <c:numCache>
                <c:formatCode>0</c:formatCode>
                <c:ptCount val="9"/>
                <c:pt idx="0">
                  <c:v>24613.217558820146</c:v>
                </c:pt>
                <c:pt idx="1">
                  <c:v>52340.154487317777</c:v>
                </c:pt>
                <c:pt idx="2">
                  <c:v>7146.9208240062662</c:v>
                </c:pt>
                <c:pt idx="3">
                  <c:v>19597.207216902756</c:v>
                </c:pt>
                <c:pt idx="4">
                  <c:v>17790.23190672668</c:v>
                </c:pt>
                <c:pt idx="5">
                  <c:v>6987.2681822336799</c:v>
                </c:pt>
                <c:pt idx="6">
                  <c:v>7833.4037813142877</c:v>
                </c:pt>
                <c:pt idx="7">
                  <c:v>#N/A</c:v>
                </c:pt>
                <c:pt idx="8">
                  <c:v>6341.7170241009298</c:v>
                </c:pt>
              </c:numCache>
            </c:numRef>
          </c:val>
          <c:extLst>
            <c:ext xmlns:c16="http://schemas.microsoft.com/office/drawing/2014/chart" uri="{C3380CC4-5D6E-409C-BE32-E72D297353CC}">
              <c16:uniqueId val="{00000002-D9F9-C945-A4F6-3997F5CA10DE}"/>
            </c:ext>
          </c:extLst>
        </c:ser>
        <c:dLbls>
          <c:showLegendKey val="0"/>
          <c:showVal val="0"/>
          <c:showCatName val="0"/>
          <c:showSerName val="0"/>
          <c:showPercent val="0"/>
          <c:showBubbleSize val="0"/>
        </c:dLbls>
        <c:gapWidth val="150"/>
        <c:overlap val="100"/>
        <c:axId val="2138293184"/>
        <c:axId val="2138296576"/>
      </c:barChart>
      <c:lineChart>
        <c:grouping val="standard"/>
        <c:varyColors val="0"/>
        <c:ser>
          <c:idx val="5"/>
          <c:order val="5"/>
          <c:tx>
            <c:strRef>
              <c:f>Data!$AB$66</c:f>
              <c:strCache>
                <c:ptCount val="1"/>
                <c:pt idx="0">
                  <c:v>Reported cases</c:v>
                </c:pt>
              </c:strCache>
            </c:strRef>
          </c:tx>
          <c:spPr>
            <a:ln w="44450">
              <a:solidFill>
                <a:schemeClr val="tx1">
                  <a:lumMod val="95000"/>
                  <a:lumOff val="5000"/>
                </a:schemeClr>
              </a:solidFill>
              <a:prstDash val="sysDash"/>
            </a:ln>
          </c:spPr>
          <c:marker>
            <c:symbol val="none"/>
          </c:marker>
          <c:cat>
            <c:numRef>
              <c:f>'Full Results'!$G$6:$O$6</c:f>
              <c:numCache>
                <c:formatCode>General</c:formatCode>
                <c:ptCount val="9"/>
                <c:pt idx="0">
                  <c:v>2011</c:v>
                </c:pt>
                <c:pt idx="1">
                  <c:v>2012</c:v>
                </c:pt>
                <c:pt idx="2">
                  <c:v>2013</c:v>
                </c:pt>
                <c:pt idx="3">
                  <c:v>2014</c:v>
                </c:pt>
                <c:pt idx="4">
                  <c:v>2015</c:v>
                </c:pt>
                <c:pt idx="5">
                  <c:v>2016</c:v>
                </c:pt>
                <c:pt idx="6">
                  <c:v>2017</c:v>
                </c:pt>
                <c:pt idx="7">
                  <c:v>2018</c:v>
                </c:pt>
                <c:pt idx="8">
                  <c:v>2019</c:v>
                </c:pt>
              </c:numCache>
            </c:numRef>
          </c:cat>
          <c:val>
            <c:numRef>
              <c:f>Data!$H$63:$O$63</c:f>
              <c:numCache>
                <c:formatCode>General</c:formatCode>
                <c:ptCount val="8"/>
              </c:numCache>
            </c:numRef>
          </c:val>
          <c:smooth val="0"/>
          <c:extLst>
            <c:ext xmlns:c16="http://schemas.microsoft.com/office/drawing/2014/chart" uri="{C3380CC4-5D6E-409C-BE32-E72D297353CC}">
              <c16:uniqueId val="{00000003-D9F9-C945-A4F6-3997F5CA10DE}"/>
            </c:ext>
          </c:extLst>
        </c:ser>
        <c:dLbls>
          <c:showLegendKey val="0"/>
          <c:showVal val="0"/>
          <c:showCatName val="0"/>
          <c:showSerName val="0"/>
          <c:showPercent val="0"/>
          <c:showBubbleSize val="0"/>
        </c:dLbls>
        <c:marker val="1"/>
        <c:smooth val="0"/>
        <c:axId val="2138293184"/>
        <c:axId val="2138296576"/>
      </c:lineChart>
      <c:catAx>
        <c:axId val="2138293184"/>
        <c:scaling>
          <c:orientation val="minMax"/>
        </c:scaling>
        <c:delete val="0"/>
        <c:axPos val="b"/>
        <c:title>
          <c:tx>
            <c:strRef>
              <c:f>'Figure Legends'!$B$12</c:f>
              <c:strCache>
                <c:ptCount val="1"/>
                <c:pt idx="0">
                  <c:v>Year</c:v>
                </c:pt>
              </c:strCache>
            </c:strRef>
          </c:tx>
          <c:overlay val="0"/>
          <c:txPr>
            <a:bodyPr/>
            <a:lstStyle/>
            <a:p>
              <a:pPr>
                <a:defRPr sz="1800">
                  <a:latin typeface="Helvetica" charset="0"/>
                  <a:ea typeface="Helvetica" charset="0"/>
                  <a:cs typeface="Helvetica" charset="0"/>
                </a:defRPr>
              </a:pPr>
              <a:endParaRPr lang="en-US"/>
            </a:p>
          </c:txPr>
        </c:title>
        <c:numFmt formatCode="General" sourceLinked="1"/>
        <c:majorTickMark val="out"/>
        <c:minorTickMark val="none"/>
        <c:tickLblPos val="nextTo"/>
        <c:txPr>
          <a:bodyPr rot="-3360000"/>
          <a:lstStyle/>
          <a:p>
            <a:pPr>
              <a:defRPr sz="1200">
                <a:solidFill>
                  <a:schemeClr val="tx1"/>
                </a:solidFill>
                <a:latin typeface="Helvetica"/>
                <a:cs typeface="Helvetica"/>
              </a:defRPr>
            </a:pPr>
            <a:endParaRPr lang="en-US"/>
          </a:p>
        </c:txPr>
        <c:crossAx val="2138296576"/>
        <c:crosses val="autoZero"/>
        <c:auto val="1"/>
        <c:lblAlgn val="ctr"/>
        <c:lblOffset val="100"/>
        <c:noMultiLvlLbl val="0"/>
      </c:catAx>
      <c:valAx>
        <c:axId val="2138296576"/>
        <c:scaling>
          <c:orientation val="minMax"/>
        </c:scaling>
        <c:delete val="0"/>
        <c:axPos val="l"/>
        <c:majorGridlines/>
        <c:title>
          <c:tx>
            <c:strRef>
              <c:f>'Figure Legends'!$B$11</c:f>
              <c:strCache>
                <c:ptCount val="1"/>
                <c:pt idx="0">
                  <c:v>Case numbers</c:v>
                </c:pt>
              </c:strCache>
            </c:strRef>
          </c:tx>
          <c:overlay val="0"/>
          <c:txPr>
            <a:bodyPr/>
            <a:lstStyle/>
            <a:p>
              <a:pPr>
                <a:defRPr sz="1800">
                  <a:latin typeface="Helvetica" charset="0"/>
                  <a:ea typeface="Helvetica" charset="0"/>
                  <a:cs typeface="Helvetica" charset="0"/>
                </a:defRPr>
              </a:pPr>
              <a:endParaRPr lang="en-US"/>
            </a:p>
          </c:txPr>
        </c:title>
        <c:numFmt formatCode="0" sourceLinked="1"/>
        <c:majorTickMark val="out"/>
        <c:minorTickMark val="none"/>
        <c:tickLblPos val="nextTo"/>
        <c:txPr>
          <a:bodyPr/>
          <a:lstStyle/>
          <a:p>
            <a:pPr>
              <a:defRPr sz="1200">
                <a:latin typeface="Helvetica"/>
                <a:cs typeface="Helvetica"/>
              </a:defRPr>
            </a:pPr>
            <a:endParaRPr lang="en-US"/>
          </a:p>
        </c:txPr>
        <c:crossAx val="2138293184"/>
        <c:crosses val="autoZero"/>
        <c:crossBetween val="between"/>
        <c:minorUnit val="1"/>
      </c:valAx>
    </c:plotArea>
    <c:legend>
      <c:legendPos val="r"/>
      <c:layout>
        <c:manualLayout>
          <c:xMode val="edge"/>
          <c:yMode val="edge"/>
          <c:x val="0.69965893955501302"/>
          <c:y val="0.32636375170141002"/>
          <c:w val="0.30034112013347503"/>
          <c:h val="0.59834728152637295"/>
        </c:manualLayout>
      </c:layout>
      <c:overlay val="0"/>
      <c:txPr>
        <a:bodyPr/>
        <a:lstStyle/>
        <a:p>
          <a:pPr>
            <a:defRPr sz="1200" b="1">
              <a:latin typeface="Helvetica"/>
              <a:cs typeface="Helvetica"/>
            </a:defRPr>
          </a:pPr>
          <a:endParaRPr lang="en-US"/>
        </a:p>
      </c:txPr>
    </c:legend>
    <c:plotVisOnly val="1"/>
    <c:dispBlanksAs val="gap"/>
    <c:showDLblsOverMax val="0"/>
  </c:chart>
  <c:printSettings>
    <c:headerFooter/>
    <c:pageMargins b="1" l="0.75" r="0.75" t="1" header="0.5" footer="0.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1"/>
  <c:lang val="en-GB"/>
  <c:roundedCorners val="0"/>
  <mc:AlternateContent xmlns:mc="http://schemas.openxmlformats.org/markup-compatibility/2006">
    <mc:Choice xmlns:c14="http://schemas.microsoft.com/office/drawing/2007/8/2/chart" Requires="c14">
      <c14:style val="118"/>
    </mc:Choice>
    <mc:Fallback>
      <c:style val="18"/>
    </mc:Fallback>
  </mc:AlternateContent>
  <c:chart>
    <c:title>
      <c:tx>
        <c:strRef>
          <c:f>'Figure Legends'!$B$20</c:f>
          <c:strCache>
            <c:ptCount val="1"/>
            <c:pt idx="0">
              <c:v>3. Trends in adverse birth outcomes over time as testing and treatment coverage increase for women with syphilis</c:v>
            </c:pt>
          </c:strCache>
        </c:strRef>
      </c:tx>
      <c:overlay val="0"/>
      <c:txPr>
        <a:bodyPr/>
        <a:lstStyle/>
        <a:p>
          <a:pPr>
            <a:defRPr>
              <a:latin typeface="Helvetica"/>
              <a:cs typeface="Helvetica"/>
            </a:defRPr>
          </a:pPr>
          <a:endParaRPr lang="en-US"/>
        </a:p>
      </c:txPr>
    </c:title>
    <c:autoTitleDeleted val="0"/>
    <c:plotArea>
      <c:layout>
        <c:manualLayout>
          <c:layoutTarget val="inner"/>
          <c:xMode val="edge"/>
          <c:yMode val="edge"/>
          <c:x val="0.140731798353045"/>
          <c:y val="0.31389901337789999"/>
          <c:w val="0.535836479831861"/>
          <c:h val="0.473041585451346"/>
        </c:manualLayout>
      </c:layout>
      <c:lineChart>
        <c:grouping val="standard"/>
        <c:varyColors val="0"/>
        <c:ser>
          <c:idx val="0"/>
          <c:order val="0"/>
          <c:tx>
            <c:strRef>
              <c:f>'Full Results'!$E$96</c:f>
              <c:strCache>
                <c:ptCount val="1"/>
                <c:pt idx="0">
                  <c:v>Stillbirths</c:v>
                </c:pt>
              </c:strCache>
            </c:strRef>
          </c:tx>
          <c:spPr>
            <a:ln>
              <a:solidFill>
                <a:srgbClr val="F8C000"/>
              </a:solidFill>
            </a:ln>
          </c:spPr>
          <c:marker>
            <c:symbol val="none"/>
          </c:marker>
          <c:cat>
            <c:numRef>
              <c:f>'Full Results'!$G$6:$Z$6</c:f>
              <c:numCache>
                <c:formatCode>General</c:formatCode>
                <c:ptCount val="20"/>
                <c:pt idx="0">
                  <c:v>2011</c:v>
                </c:pt>
                <c:pt idx="1">
                  <c:v>2012</c:v>
                </c:pt>
                <c:pt idx="2">
                  <c:v>2013</c:v>
                </c:pt>
                <c:pt idx="3">
                  <c:v>2014</c:v>
                </c:pt>
                <c:pt idx="4">
                  <c:v>2015</c:v>
                </c:pt>
                <c:pt idx="5">
                  <c:v>2016</c:v>
                </c:pt>
                <c:pt idx="6">
                  <c:v>2017</c:v>
                </c:pt>
                <c:pt idx="7">
                  <c:v>2018</c:v>
                </c:pt>
                <c:pt idx="8">
                  <c:v>2019</c:v>
                </c:pt>
                <c:pt idx="9">
                  <c:v>2020</c:v>
                </c:pt>
                <c:pt idx="10">
                  <c:v>2021</c:v>
                </c:pt>
                <c:pt idx="11">
                  <c:v>2022</c:v>
                </c:pt>
                <c:pt idx="12">
                  <c:v>2023</c:v>
                </c:pt>
                <c:pt idx="13">
                  <c:v>2024</c:v>
                </c:pt>
                <c:pt idx="14">
                  <c:v>2025</c:v>
                </c:pt>
                <c:pt idx="15">
                  <c:v>2026</c:v>
                </c:pt>
                <c:pt idx="16">
                  <c:v>2027</c:v>
                </c:pt>
                <c:pt idx="17">
                  <c:v>2028</c:v>
                </c:pt>
                <c:pt idx="18">
                  <c:v>2029</c:v>
                </c:pt>
                <c:pt idx="19">
                  <c:v>2030</c:v>
                </c:pt>
              </c:numCache>
            </c:numRef>
          </c:cat>
          <c:val>
            <c:numRef>
              <c:f>'Full Results'!$G$68:$Z$68</c:f>
              <c:numCache>
                <c:formatCode>0</c:formatCode>
                <c:ptCount val="20"/>
                <c:pt idx="0">
                  <c:v>10548.521810922919</c:v>
                </c:pt>
                <c:pt idx="1">
                  <c:v>22431.494780279041</c:v>
                </c:pt>
                <c:pt idx="2">
                  <c:v>3062.9660674312568</c:v>
                </c:pt>
                <c:pt idx="3">
                  <c:v>8398.8030929583238</c:v>
                </c:pt>
                <c:pt idx="4">
                  <c:v>7624.3851028828612</c:v>
                </c:pt>
                <c:pt idx="5">
                  <c:v>2994.5435066715768</c:v>
                </c:pt>
                <c:pt idx="6">
                  <c:v>3357.1730491346943</c:v>
                </c:pt>
                <c:pt idx="7">
                  <c:v>#N/A</c:v>
                </c:pt>
                <c:pt idx="8">
                  <c:v>2717.8787246146835</c:v>
                </c:pt>
                <c:pt idx="9">
                  <c:v>2711.0834475466982</c:v>
                </c:pt>
                <c:pt idx="10">
                  <c:v>2500.5615346309551</c:v>
                </c:pt>
                <c:pt idx="11">
                  <c:v>2277.3493233141535</c:v>
                </c:pt>
                <c:pt idx="12">
                  <c:v>2042.3000622414704</c:v>
                </c:pt>
                <c:pt idx="13">
                  <c:v>1795.7881979457516</c:v>
                </c:pt>
                <c:pt idx="14">
                  <c:v>1538.1656106682844</c:v>
                </c:pt>
                <c:pt idx="15">
                  <c:v>1269.8249616683452</c:v>
                </c:pt>
                <c:pt idx="16">
                  <c:v>991.26185158500084</c:v>
                </c:pt>
                <c:pt idx="17">
                  <c:v>703.06463483327536</c:v>
                </c:pt>
                <c:pt idx="18">
                  <c:v>405.88051856810091</c:v>
                </c:pt>
                <c:pt idx="19">
                  <c:v>100.36504703516671</c:v>
                </c:pt>
              </c:numCache>
            </c:numRef>
          </c:val>
          <c:smooth val="0"/>
          <c:extLst>
            <c:ext xmlns:c16="http://schemas.microsoft.com/office/drawing/2014/chart" uri="{C3380CC4-5D6E-409C-BE32-E72D297353CC}">
              <c16:uniqueId val="{00000000-EDD6-4037-B3F9-8E608600F0D8}"/>
            </c:ext>
          </c:extLst>
        </c:ser>
        <c:ser>
          <c:idx val="1"/>
          <c:order val="1"/>
          <c:tx>
            <c:strRef>
              <c:f>'Full Results'!$E$97</c:f>
              <c:strCache>
                <c:ptCount val="1"/>
                <c:pt idx="0">
                  <c:v>Neonatal deaths</c:v>
                </c:pt>
              </c:strCache>
            </c:strRef>
          </c:tx>
          <c:spPr>
            <a:ln>
              <a:solidFill>
                <a:srgbClr val="7674CB"/>
              </a:solidFill>
            </a:ln>
          </c:spPr>
          <c:marker>
            <c:symbol val="none"/>
          </c:marker>
          <c:cat>
            <c:numRef>
              <c:f>'Full Results'!$G$6:$Z$6</c:f>
              <c:numCache>
                <c:formatCode>General</c:formatCode>
                <c:ptCount val="20"/>
                <c:pt idx="0">
                  <c:v>2011</c:v>
                </c:pt>
                <c:pt idx="1">
                  <c:v>2012</c:v>
                </c:pt>
                <c:pt idx="2">
                  <c:v>2013</c:v>
                </c:pt>
                <c:pt idx="3">
                  <c:v>2014</c:v>
                </c:pt>
                <c:pt idx="4">
                  <c:v>2015</c:v>
                </c:pt>
                <c:pt idx="5">
                  <c:v>2016</c:v>
                </c:pt>
                <c:pt idx="6">
                  <c:v>2017</c:v>
                </c:pt>
                <c:pt idx="7">
                  <c:v>2018</c:v>
                </c:pt>
                <c:pt idx="8">
                  <c:v>2019</c:v>
                </c:pt>
                <c:pt idx="9">
                  <c:v>2020</c:v>
                </c:pt>
                <c:pt idx="10">
                  <c:v>2021</c:v>
                </c:pt>
                <c:pt idx="11">
                  <c:v>2022</c:v>
                </c:pt>
                <c:pt idx="12">
                  <c:v>2023</c:v>
                </c:pt>
                <c:pt idx="13">
                  <c:v>2024</c:v>
                </c:pt>
                <c:pt idx="14">
                  <c:v>2025</c:v>
                </c:pt>
                <c:pt idx="15">
                  <c:v>2026</c:v>
                </c:pt>
                <c:pt idx="16">
                  <c:v>2027</c:v>
                </c:pt>
                <c:pt idx="17">
                  <c:v>2028</c:v>
                </c:pt>
                <c:pt idx="18">
                  <c:v>2029</c:v>
                </c:pt>
                <c:pt idx="19">
                  <c:v>2030</c:v>
                </c:pt>
              </c:numCache>
            </c:numRef>
          </c:cat>
          <c:val>
            <c:numRef>
              <c:f>'Full Results'!$G$69:$Z$69</c:f>
              <c:numCache>
                <c:formatCode>0</c:formatCode>
                <c:ptCount val="20"/>
                <c:pt idx="0">
                  <c:v>4547.0811967200716</c:v>
                </c:pt>
                <c:pt idx="1">
                  <c:v>9710.0446651751299</c:v>
                </c:pt>
                <c:pt idx="2">
                  <c:v>1330.4146606234185</c:v>
                </c:pt>
                <c:pt idx="3">
                  <c:v>3609.3728920191347</c:v>
                </c:pt>
                <c:pt idx="4">
                  <c:v>3278.01066652287</c:v>
                </c:pt>
                <c:pt idx="5">
                  <c:v>1303.4713204299492</c:v>
                </c:pt>
                <c:pt idx="6">
                  <c:v>1459.1656975128647</c:v>
                </c:pt>
                <c:pt idx="7">
                  <c:v>#N/A</c:v>
                </c:pt>
                <c:pt idx="8">
                  <c:v>1213.8947020318635</c:v>
                </c:pt>
                <c:pt idx="9">
                  <c:v>1210.8597061150258</c:v>
                </c:pt>
                <c:pt idx="10">
                  <c:v>1132.2314198552058</c:v>
                </c:pt>
                <c:pt idx="11">
                  <c:v>1048.8081658498336</c:v>
                </c:pt>
                <c:pt idx="12">
                  <c:v>960.94319237334082</c:v>
                </c:pt>
                <c:pt idx="13">
                  <c:v>868.77384411996343</c:v>
                </c:pt>
                <c:pt idx="14">
                  <c:v>772.42248897230706</c:v>
                </c:pt>
                <c:pt idx="15">
                  <c:v>672.02313800381171</c:v>
                </c:pt>
                <c:pt idx="16">
                  <c:v>567.75133514213633</c:v>
                </c:pt>
                <c:pt idx="17">
                  <c:v>459.82238152626127</c:v>
                </c:pt>
                <c:pt idx="18">
                  <c:v>348.47939508893342</c:v>
                </c:pt>
                <c:pt idx="19">
                  <c:v>233.96357806670738</c:v>
                </c:pt>
              </c:numCache>
            </c:numRef>
          </c:val>
          <c:smooth val="0"/>
          <c:extLst>
            <c:ext xmlns:c16="http://schemas.microsoft.com/office/drawing/2014/chart" uri="{C3380CC4-5D6E-409C-BE32-E72D297353CC}">
              <c16:uniqueId val="{00000001-EDD6-4037-B3F9-8E608600F0D8}"/>
            </c:ext>
          </c:extLst>
        </c:ser>
        <c:ser>
          <c:idx val="2"/>
          <c:order val="2"/>
          <c:tx>
            <c:strRef>
              <c:f>'Full Results'!$E$98</c:f>
              <c:strCache>
                <c:ptCount val="1"/>
                <c:pt idx="0">
                  <c:v>Premature / low birth weight</c:v>
                </c:pt>
              </c:strCache>
            </c:strRef>
          </c:tx>
          <c:spPr>
            <a:ln>
              <a:solidFill>
                <a:schemeClr val="tx2">
                  <a:lumMod val="50000"/>
                  <a:lumOff val="50000"/>
                </a:schemeClr>
              </a:solidFill>
            </a:ln>
          </c:spPr>
          <c:marker>
            <c:symbol val="none"/>
          </c:marker>
          <c:cat>
            <c:numRef>
              <c:f>'Full Results'!$G$6:$Z$6</c:f>
              <c:numCache>
                <c:formatCode>General</c:formatCode>
                <c:ptCount val="20"/>
                <c:pt idx="0">
                  <c:v>2011</c:v>
                </c:pt>
                <c:pt idx="1">
                  <c:v>2012</c:v>
                </c:pt>
                <c:pt idx="2">
                  <c:v>2013</c:v>
                </c:pt>
                <c:pt idx="3">
                  <c:v>2014</c:v>
                </c:pt>
                <c:pt idx="4">
                  <c:v>2015</c:v>
                </c:pt>
                <c:pt idx="5">
                  <c:v>2016</c:v>
                </c:pt>
                <c:pt idx="6">
                  <c:v>2017</c:v>
                </c:pt>
                <c:pt idx="7">
                  <c:v>2018</c:v>
                </c:pt>
                <c:pt idx="8">
                  <c:v>2019</c:v>
                </c:pt>
                <c:pt idx="9">
                  <c:v>2020</c:v>
                </c:pt>
                <c:pt idx="10">
                  <c:v>2021</c:v>
                </c:pt>
                <c:pt idx="11">
                  <c:v>2022</c:v>
                </c:pt>
                <c:pt idx="12">
                  <c:v>2023</c:v>
                </c:pt>
                <c:pt idx="13">
                  <c:v>2024</c:v>
                </c:pt>
                <c:pt idx="14">
                  <c:v>2025</c:v>
                </c:pt>
                <c:pt idx="15">
                  <c:v>2026</c:v>
                </c:pt>
                <c:pt idx="16">
                  <c:v>2027</c:v>
                </c:pt>
                <c:pt idx="17">
                  <c:v>2028</c:v>
                </c:pt>
                <c:pt idx="18">
                  <c:v>2029</c:v>
                </c:pt>
                <c:pt idx="19">
                  <c:v>2030</c:v>
                </c:pt>
              </c:numCache>
            </c:numRef>
          </c:cat>
          <c:val>
            <c:numRef>
              <c:f>'Full Results'!$G$70:$Z$70</c:f>
              <c:numCache>
                <c:formatCode>0</c:formatCode>
                <c:ptCount val="20"/>
                <c:pt idx="0">
                  <c:v>3045.4067364245611</c:v>
                </c:pt>
                <c:pt idx="1">
                  <c:v>6524.8547912892318</c:v>
                </c:pt>
                <c:pt idx="2">
                  <c:v>896.39106304952918</c:v>
                </c:pt>
                <c:pt idx="3">
                  <c:v>2411.5210491753451</c:v>
                </c:pt>
                <c:pt idx="4">
                  <c:v>2190.8962048827902</c:v>
                </c:pt>
                <c:pt idx="5">
                  <c:v>879.69849727672158</c:v>
                </c:pt>
                <c:pt idx="6">
                  <c:v>983.64499721322159</c:v>
                </c:pt>
                <c:pt idx="7">
                  <c:v>#N/A</c:v>
                </c:pt>
                <c:pt idx="8">
                  <c:v>835.44421966916559</c:v>
                </c:pt>
                <c:pt idx="9">
                  <c:v>833.3554307559283</c:v>
                </c:pt>
                <c:pt idx="10">
                  <c:v>787.12078162488581</c:v>
                </c:pt>
                <c:pt idx="11">
                  <c:v>738.03281083370837</c:v>
                </c:pt>
                <c:pt idx="12">
                  <c:v>686.32038804995864</c:v>
                </c:pt>
                <c:pt idx="13">
                  <c:v>632.06273912778443</c:v>
                </c:pt>
                <c:pt idx="14">
                  <c:v>575.32627575687479</c:v>
                </c:pt>
                <c:pt idx="15">
                  <c:v>516.18206008038089</c:v>
                </c:pt>
                <c:pt idx="16">
                  <c:v>454.7274646654206</c:v>
                </c:pt>
                <c:pt idx="17">
                  <c:v>391.08636986962205</c:v>
                </c:pt>
                <c:pt idx="18">
                  <c:v>325.40258414829702</c:v>
                </c:pt>
                <c:pt idx="19">
                  <c:v>257.81571150058227</c:v>
                </c:pt>
              </c:numCache>
            </c:numRef>
          </c:val>
          <c:smooth val="0"/>
          <c:extLst>
            <c:ext xmlns:c16="http://schemas.microsoft.com/office/drawing/2014/chart" uri="{C3380CC4-5D6E-409C-BE32-E72D297353CC}">
              <c16:uniqueId val="{00000002-EDD6-4037-B3F9-8E608600F0D8}"/>
            </c:ext>
          </c:extLst>
        </c:ser>
        <c:ser>
          <c:idx val="4"/>
          <c:order val="3"/>
          <c:tx>
            <c:strRef>
              <c:f>'Full Results'!$E$99</c:f>
              <c:strCache>
                <c:ptCount val="1"/>
                <c:pt idx="0">
                  <c:v>Clinical CS</c:v>
                </c:pt>
              </c:strCache>
            </c:strRef>
          </c:tx>
          <c:spPr>
            <a:ln>
              <a:solidFill>
                <a:schemeClr val="accent3"/>
              </a:solidFill>
            </a:ln>
          </c:spPr>
          <c:marker>
            <c:symbol val="none"/>
          </c:marker>
          <c:cat>
            <c:numRef>
              <c:f>'Full Results'!$G$6:$Z$6</c:f>
              <c:numCache>
                <c:formatCode>General</c:formatCode>
                <c:ptCount val="20"/>
                <c:pt idx="0">
                  <c:v>2011</c:v>
                </c:pt>
                <c:pt idx="1">
                  <c:v>2012</c:v>
                </c:pt>
                <c:pt idx="2">
                  <c:v>2013</c:v>
                </c:pt>
                <c:pt idx="3">
                  <c:v>2014</c:v>
                </c:pt>
                <c:pt idx="4">
                  <c:v>2015</c:v>
                </c:pt>
                <c:pt idx="5">
                  <c:v>2016</c:v>
                </c:pt>
                <c:pt idx="6">
                  <c:v>2017</c:v>
                </c:pt>
                <c:pt idx="7">
                  <c:v>2018</c:v>
                </c:pt>
                <c:pt idx="8">
                  <c:v>2019</c:v>
                </c:pt>
                <c:pt idx="9">
                  <c:v>2020</c:v>
                </c:pt>
                <c:pt idx="10">
                  <c:v>2021</c:v>
                </c:pt>
                <c:pt idx="11">
                  <c:v>2022</c:v>
                </c:pt>
                <c:pt idx="12">
                  <c:v>2023</c:v>
                </c:pt>
                <c:pt idx="13">
                  <c:v>2024</c:v>
                </c:pt>
                <c:pt idx="14">
                  <c:v>2025</c:v>
                </c:pt>
                <c:pt idx="15">
                  <c:v>2026</c:v>
                </c:pt>
                <c:pt idx="16">
                  <c:v>2027</c:v>
                </c:pt>
                <c:pt idx="17">
                  <c:v>2028</c:v>
                </c:pt>
                <c:pt idx="18">
                  <c:v>2029</c:v>
                </c:pt>
                <c:pt idx="19">
                  <c:v>2030</c:v>
                </c:pt>
              </c:numCache>
            </c:numRef>
          </c:cat>
          <c:val>
            <c:numRef>
              <c:f>'Full Results'!$G$71:$Z$71</c:f>
              <c:numCache>
                <c:formatCode>0</c:formatCode>
                <c:ptCount val="20"/>
                <c:pt idx="0">
                  <c:v>7541.2299700975045</c:v>
                </c:pt>
                <c:pt idx="1">
                  <c:v>16046.632997177485</c:v>
                </c:pt>
                <c:pt idx="2">
                  <c:v>2192.2616346676891</c:v>
                </c:pt>
                <c:pt idx="3">
                  <c:v>6001.616529443766</c:v>
                </c:pt>
                <c:pt idx="4">
                  <c:v>5448.5936219524556</c:v>
                </c:pt>
                <c:pt idx="5">
                  <c:v>2143.9835305866586</c:v>
                </c:pt>
                <c:pt idx="6">
                  <c:v>2403.0750613528521</c:v>
                </c:pt>
                <c:pt idx="7">
                  <c:v>#N/A</c:v>
                </c:pt>
                <c:pt idx="8">
                  <c:v>1953.6143297383094</c:v>
                </c:pt>
                <c:pt idx="9">
                  <c:v>1948.7298768249661</c:v>
                </c:pt>
                <c:pt idx="10">
                  <c:v>1801.2559295611672</c:v>
                </c:pt>
                <c:pt idx="11">
                  <c:v>1644.8784163317659</c:v>
                </c:pt>
                <c:pt idx="12">
                  <c:v>1480.2036930256563</c:v>
                </c:pt>
                <c:pt idx="13">
                  <c:v>1307.4934383541972</c:v>
                </c:pt>
                <c:pt idx="14">
                  <c:v>1126.9918858631065</c:v>
                </c:pt>
                <c:pt idx="15">
                  <c:v>938.97093979959095</c:v>
                </c:pt>
                <c:pt idx="16">
                  <c:v>743.77538653357033</c:v>
                </c:pt>
                <c:pt idx="17">
                  <c:v>541.8162665303397</c:v>
                </c:pt>
                <c:pt idx="18">
                  <c:v>333.54730647429466</c:v>
                </c:pt>
                <c:pt idx="19">
                  <c:v>119.42681593088527</c:v>
                </c:pt>
              </c:numCache>
            </c:numRef>
          </c:val>
          <c:smooth val="0"/>
          <c:extLst>
            <c:ext xmlns:c16="http://schemas.microsoft.com/office/drawing/2014/chart" uri="{C3380CC4-5D6E-409C-BE32-E72D297353CC}">
              <c16:uniqueId val="{00000003-EDD6-4037-B3F9-8E608600F0D8}"/>
            </c:ext>
          </c:extLst>
        </c:ser>
        <c:ser>
          <c:idx val="3"/>
          <c:order val="4"/>
          <c:tx>
            <c:strRef>
              <c:f>'Full Results'!$E$100</c:f>
              <c:strCache>
                <c:ptCount val="1"/>
                <c:pt idx="0">
                  <c:v>Non-clinical CS</c:v>
                </c:pt>
              </c:strCache>
            </c:strRef>
          </c:tx>
          <c:marker>
            <c:symbol val="none"/>
          </c:marker>
          <c:cat>
            <c:numRef>
              <c:f>'Full Results'!$G$6:$Z$6</c:f>
              <c:numCache>
                <c:formatCode>General</c:formatCode>
                <c:ptCount val="20"/>
                <c:pt idx="0">
                  <c:v>2011</c:v>
                </c:pt>
                <c:pt idx="1">
                  <c:v>2012</c:v>
                </c:pt>
                <c:pt idx="2">
                  <c:v>2013</c:v>
                </c:pt>
                <c:pt idx="3">
                  <c:v>2014</c:v>
                </c:pt>
                <c:pt idx="4">
                  <c:v>2015</c:v>
                </c:pt>
                <c:pt idx="5">
                  <c:v>2016</c:v>
                </c:pt>
                <c:pt idx="6">
                  <c:v>2017</c:v>
                </c:pt>
                <c:pt idx="7">
                  <c:v>2018</c:v>
                </c:pt>
                <c:pt idx="8">
                  <c:v>2019</c:v>
                </c:pt>
                <c:pt idx="9">
                  <c:v>2020</c:v>
                </c:pt>
                <c:pt idx="10">
                  <c:v>2021</c:v>
                </c:pt>
                <c:pt idx="11">
                  <c:v>2022</c:v>
                </c:pt>
                <c:pt idx="12">
                  <c:v>2023</c:v>
                </c:pt>
                <c:pt idx="13">
                  <c:v>2024</c:v>
                </c:pt>
                <c:pt idx="14">
                  <c:v>2025</c:v>
                </c:pt>
                <c:pt idx="15">
                  <c:v>2026</c:v>
                </c:pt>
                <c:pt idx="16">
                  <c:v>2027</c:v>
                </c:pt>
                <c:pt idx="17">
                  <c:v>2028</c:v>
                </c:pt>
                <c:pt idx="18">
                  <c:v>2029</c:v>
                </c:pt>
                <c:pt idx="19">
                  <c:v>2030</c:v>
                </c:pt>
              </c:numCache>
            </c:numRef>
          </c:cat>
          <c:val>
            <c:numRef>
              <c:f>'Full Results'!$G$72:$Z$72</c:f>
              <c:numCache>
                <c:formatCode>0</c:formatCode>
                <c:ptCount val="20"/>
                <c:pt idx="0">
                  <c:v>24613.217558820146</c:v>
                </c:pt>
                <c:pt idx="1">
                  <c:v>52340.154487317777</c:v>
                </c:pt>
                <c:pt idx="2">
                  <c:v>7146.9208240062662</c:v>
                </c:pt>
                <c:pt idx="3">
                  <c:v>19597.207216902756</c:v>
                </c:pt>
                <c:pt idx="4">
                  <c:v>17790.23190672668</c:v>
                </c:pt>
                <c:pt idx="5">
                  <c:v>6987.2681822336799</c:v>
                </c:pt>
                <c:pt idx="6">
                  <c:v>7833.4037813142877</c:v>
                </c:pt>
                <c:pt idx="7">
                  <c:v>#N/A</c:v>
                </c:pt>
                <c:pt idx="8">
                  <c:v>6341.7170241009298</c:v>
                </c:pt>
                <c:pt idx="9">
                  <c:v>6325.8613776089624</c:v>
                </c:pt>
                <c:pt idx="10">
                  <c:v>5834.643580805563</c:v>
                </c:pt>
                <c:pt idx="11">
                  <c:v>5313.8150877330245</c:v>
                </c:pt>
                <c:pt idx="12">
                  <c:v>4765.3668118967644</c:v>
                </c:pt>
                <c:pt idx="13">
                  <c:v>4190.1724618734206</c:v>
                </c:pt>
                <c:pt idx="14">
                  <c:v>3589.0530915593304</c:v>
                </c:pt>
                <c:pt idx="15">
                  <c:v>2962.9249105594718</c:v>
                </c:pt>
                <c:pt idx="16">
                  <c:v>2312.9443203650026</c:v>
                </c:pt>
                <c:pt idx="17">
                  <c:v>1640.4841479443094</c:v>
                </c:pt>
                <c:pt idx="18">
                  <c:v>947.05454332556894</c:v>
                </c:pt>
                <c:pt idx="19">
                  <c:v>234.18510974872231</c:v>
                </c:pt>
              </c:numCache>
            </c:numRef>
          </c:val>
          <c:smooth val="0"/>
          <c:extLst>
            <c:ext xmlns:c16="http://schemas.microsoft.com/office/drawing/2014/chart" uri="{C3380CC4-5D6E-409C-BE32-E72D297353CC}">
              <c16:uniqueId val="{00000000-69CF-4B43-AC01-4C7D2249AC46}"/>
            </c:ext>
          </c:extLst>
        </c:ser>
        <c:dLbls>
          <c:showLegendKey val="0"/>
          <c:showVal val="0"/>
          <c:showCatName val="0"/>
          <c:showSerName val="0"/>
          <c:showPercent val="0"/>
          <c:showBubbleSize val="0"/>
        </c:dLbls>
        <c:smooth val="0"/>
        <c:axId val="2138249584"/>
        <c:axId val="2140208992"/>
      </c:lineChart>
      <c:catAx>
        <c:axId val="2138249584"/>
        <c:scaling>
          <c:orientation val="minMax"/>
        </c:scaling>
        <c:delete val="0"/>
        <c:axPos val="b"/>
        <c:title>
          <c:tx>
            <c:strRef>
              <c:f>'Figure Legends'!$B$12</c:f>
              <c:strCache>
                <c:ptCount val="1"/>
                <c:pt idx="0">
                  <c:v>Year</c:v>
                </c:pt>
              </c:strCache>
            </c:strRef>
          </c:tx>
          <c:overlay val="0"/>
          <c:txPr>
            <a:bodyPr/>
            <a:lstStyle/>
            <a:p>
              <a:pPr>
                <a:defRPr sz="1800">
                  <a:latin typeface="Helvetica" charset="0"/>
                  <a:ea typeface="Helvetica" charset="0"/>
                  <a:cs typeface="Helvetica" charset="0"/>
                </a:defRPr>
              </a:pPr>
              <a:endParaRPr lang="en-US"/>
            </a:p>
          </c:txPr>
        </c:title>
        <c:numFmt formatCode="General" sourceLinked="1"/>
        <c:majorTickMark val="out"/>
        <c:minorTickMark val="none"/>
        <c:tickLblPos val="nextTo"/>
        <c:txPr>
          <a:bodyPr rot="-3360000"/>
          <a:lstStyle/>
          <a:p>
            <a:pPr>
              <a:defRPr sz="1200">
                <a:solidFill>
                  <a:schemeClr val="tx1"/>
                </a:solidFill>
                <a:latin typeface="Helvetica"/>
                <a:cs typeface="Helvetica"/>
              </a:defRPr>
            </a:pPr>
            <a:endParaRPr lang="en-US"/>
          </a:p>
        </c:txPr>
        <c:crossAx val="2140208992"/>
        <c:crosses val="autoZero"/>
        <c:auto val="1"/>
        <c:lblAlgn val="ctr"/>
        <c:lblOffset val="100"/>
        <c:noMultiLvlLbl val="0"/>
      </c:catAx>
      <c:valAx>
        <c:axId val="2140208992"/>
        <c:scaling>
          <c:orientation val="minMax"/>
        </c:scaling>
        <c:delete val="0"/>
        <c:axPos val="l"/>
        <c:majorGridlines/>
        <c:title>
          <c:tx>
            <c:strRef>
              <c:f>'Figure Legends'!$B$11</c:f>
              <c:strCache>
                <c:ptCount val="1"/>
                <c:pt idx="0">
                  <c:v>Case numbers</c:v>
                </c:pt>
              </c:strCache>
            </c:strRef>
          </c:tx>
          <c:overlay val="0"/>
          <c:txPr>
            <a:bodyPr/>
            <a:lstStyle/>
            <a:p>
              <a:pPr>
                <a:defRPr sz="1800">
                  <a:latin typeface="Helvetica" charset="0"/>
                  <a:ea typeface="Helvetica" charset="0"/>
                  <a:cs typeface="Helvetica" charset="0"/>
                </a:defRPr>
              </a:pPr>
              <a:endParaRPr lang="en-US"/>
            </a:p>
          </c:txPr>
        </c:title>
        <c:numFmt formatCode="0" sourceLinked="1"/>
        <c:majorTickMark val="out"/>
        <c:minorTickMark val="none"/>
        <c:tickLblPos val="nextTo"/>
        <c:txPr>
          <a:bodyPr/>
          <a:lstStyle/>
          <a:p>
            <a:pPr>
              <a:defRPr sz="1200">
                <a:latin typeface="Helvetica"/>
                <a:cs typeface="Helvetica"/>
              </a:defRPr>
            </a:pPr>
            <a:endParaRPr lang="en-US"/>
          </a:p>
        </c:txPr>
        <c:crossAx val="2138249584"/>
        <c:crosses val="autoZero"/>
        <c:crossBetween val="between"/>
        <c:minorUnit val="1"/>
      </c:valAx>
    </c:plotArea>
    <c:legend>
      <c:legendPos val="r"/>
      <c:layout>
        <c:manualLayout>
          <c:xMode val="edge"/>
          <c:yMode val="edge"/>
          <c:x val="0.69965893955501302"/>
          <c:y val="0.32636375170141002"/>
          <c:w val="0.26683485734325002"/>
          <c:h val="0.483239417805024"/>
        </c:manualLayout>
      </c:layout>
      <c:overlay val="0"/>
      <c:txPr>
        <a:bodyPr/>
        <a:lstStyle/>
        <a:p>
          <a:pPr>
            <a:defRPr sz="1200" b="1">
              <a:latin typeface="Helvetica"/>
              <a:cs typeface="Helvetica"/>
            </a:defRPr>
          </a:pPr>
          <a:endParaRPr lang="en-US"/>
        </a:p>
      </c:txPr>
    </c:legend>
    <c:plotVisOnly val="1"/>
    <c:dispBlanksAs val="gap"/>
    <c:showDLblsOverMax val="0"/>
  </c:chart>
  <c:printSettings>
    <c:headerFooter/>
    <c:pageMargins b="1" l="0.75" r="0.75"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1"/>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'Figure Legends'!$B$24</c:f>
          <c:strCache>
            <c:ptCount val="1"/>
            <c:pt idx="0">
              <c:v>5. Quantity of benzathine penicillin required over time as treatment coverage increases</c:v>
            </c:pt>
          </c:strCache>
        </c:strRef>
      </c:tx>
      <c:layout>
        <c:manualLayout>
          <c:xMode val="edge"/>
          <c:yMode val="edge"/>
          <c:x val="0.13505469588796601"/>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Helvetica"/>
              <a:ea typeface="+mn-ea"/>
              <a:cs typeface="Helvetica"/>
            </a:defRPr>
          </a:pPr>
          <a:endParaRPr lang="en-US"/>
        </a:p>
      </c:txPr>
    </c:title>
    <c:autoTitleDeleted val="0"/>
    <c:plotArea>
      <c:layout/>
      <c:lineChart>
        <c:grouping val="standard"/>
        <c:varyColors val="0"/>
        <c:ser>
          <c:idx val="0"/>
          <c:order val="0"/>
          <c:tx>
            <c:strRef>
              <c:f>'Full Results'!$E$32</c:f>
              <c:strCache>
                <c:ptCount val="1"/>
                <c:pt idx="0">
                  <c:v>1 dose/case</c:v>
                </c:pt>
              </c:strCache>
            </c:strRef>
          </c:tx>
          <c:spPr>
            <a:ln w="38100" cap="rnd" cmpd="sng">
              <a:solidFill>
                <a:srgbClr val="002060"/>
              </a:solidFill>
              <a:round/>
            </a:ln>
            <a:effectLst/>
          </c:spPr>
          <c:marker>
            <c:symbol val="none"/>
          </c:marker>
          <c:cat>
            <c:numRef>
              <c:f>'Full Results'!$G$6:$Z$6</c:f>
              <c:numCache>
                <c:formatCode>General</c:formatCode>
                <c:ptCount val="20"/>
                <c:pt idx="0">
                  <c:v>2011</c:v>
                </c:pt>
                <c:pt idx="1">
                  <c:v>2012</c:v>
                </c:pt>
                <c:pt idx="2">
                  <c:v>2013</c:v>
                </c:pt>
                <c:pt idx="3">
                  <c:v>2014</c:v>
                </c:pt>
                <c:pt idx="4">
                  <c:v>2015</c:v>
                </c:pt>
                <c:pt idx="5">
                  <c:v>2016</c:v>
                </c:pt>
                <c:pt idx="6">
                  <c:v>2017</c:v>
                </c:pt>
                <c:pt idx="7">
                  <c:v>2018</c:v>
                </c:pt>
                <c:pt idx="8">
                  <c:v>2019</c:v>
                </c:pt>
                <c:pt idx="9">
                  <c:v>2020</c:v>
                </c:pt>
                <c:pt idx="10">
                  <c:v>2021</c:v>
                </c:pt>
                <c:pt idx="11">
                  <c:v>2022</c:v>
                </c:pt>
                <c:pt idx="12">
                  <c:v>2023</c:v>
                </c:pt>
                <c:pt idx="13">
                  <c:v>2024</c:v>
                </c:pt>
                <c:pt idx="14">
                  <c:v>2025</c:v>
                </c:pt>
                <c:pt idx="15">
                  <c:v>2026</c:v>
                </c:pt>
                <c:pt idx="16">
                  <c:v>2027</c:v>
                </c:pt>
                <c:pt idx="17">
                  <c:v>2028</c:v>
                </c:pt>
                <c:pt idx="18">
                  <c:v>2029</c:v>
                </c:pt>
                <c:pt idx="19">
                  <c:v>2030</c:v>
                </c:pt>
              </c:numCache>
            </c:numRef>
          </c:cat>
          <c:val>
            <c:numRef>
              <c:f>'Full Results'!$G$32:$Z$32</c:f>
              <c:numCache>
                <c:formatCode>0</c:formatCode>
                <c:ptCount val="20"/>
                <c:pt idx="0">
                  <c:v>3133.1464438919993</c:v>
                </c:pt>
                <c:pt idx="1">
                  <c:v>11507.800005171202</c:v>
                </c:pt>
                <c:pt idx="2">
                  <c:v>2111.5097672687998</c:v>
                </c:pt>
                <c:pt idx="3">
                  <c:v>1178.3330917511998</c:v>
                </c:pt>
                <c:pt idx="4">
                  <c:v>1241.648741088</c:v>
                </c:pt>
                <c:pt idx="5">
                  <c:v>2395.2644397224999</c:v>
                </c:pt>
                <c:pt idx="6">
                  <c:v>2428.8432664535994</c:v>
                </c:pt>
                <c:pt idx="7">
                  <c:v>#N/A</c:v>
                </c:pt>
                <c:pt idx="8">
                  <c:v>5851.1721315428067</c:v>
                </c:pt>
                <c:pt idx="9">
                  <c:v>5836.5429520116459</c:v>
                </c:pt>
                <c:pt idx="10">
                  <c:v>7218.6425757785019</c:v>
                </c:pt>
                <c:pt idx="11">
                  <c:v>8677.4710638231463</c:v>
                </c:pt>
                <c:pt idx="12">
                  <c:v>10211.546870008682</c:v>
                </c:pt>
                <c:pt idx="13">
                  <c:v>11818.11275483493</c:v>
                </c:pt>
                <c:pt idx="14">
                  <c:v>13493.779090441087</c:v>
                </c:pt>
                <c:pt idx="15">
                  <c:v>15234.460825579172</c:v>
                </c:pt>
                <c:pt idx="16">
                  <c:v>17035.764909290057</c:v>
                </c:pt>
                <c:pt idx="17">
                  <c:v>18893.298957272495</c:v>
                </c:pt>
                <c:pt idx="18">
                  <c:v>20802.979796913354</c:v>
                </c:pt>
                <c:pt idx="19">
                  <c:v>22760.070031960662</c:v>
                </c:pt>
              </c:numCache>
            </c:numRef>
          </c:val>
          <c:smooth val="0"/>
          <c:extLst>
            <c:ext xmlns:c16="http://schemas.microsoft.com/office/drawing/2014/chart" uri="{C3380CC4-5D6E-409C-BE32-E72D297353CC}">
              <c16:uniqueId val="{00000000-1123-0848-B141-668D68A0EB0C}"/>
            </c:ext>
          </c:extLst>
        </c:ser>
        <c:ser>
          <c:idx val="1"/>
          <c:order val="1"/>
          <c:tx>
            <c:strRef>
              <c:f>'Full Results'!$E$33</c:f>
              <c:strCache>
                <c:ptCount val="1"/>
                <c:pt idx="0">
                  <c:v>2 doses/case</c:v>
                </c:pt>
              </c:strCache>
            </c:strRef>
          </c:tx>
          <c:spPr>
            <a:ln w="38100" cmpd="sng"/>
          </c:spPr>
          <c:marker>
            <c:symbol val="none"/>
          </c:marker>
          <c:cat>
            <c:numRef>
              <c:f>'Full Results'!$G$6:$Z$6</c:f>
              <c:numCache>
                <c:formatCode>General</c:formatCode>
                <c:ptCount val="20"/>
                <c:pt idx="0">
                  <c:v>2011</c:v>
                </c:pt>
                <c:pt idx="1">
                  <c:v>2012</c:v>
                </c:pt>
                <c:pt idx="2">
                  <c:v>2013</c:v>
                </c:pt>
                <c:pt idx="3">
                  <c:v>2014</c:v>
                </c:pt>
                <c:pt idx="4">
                  <c:v>2015</c:v>
                </c:pt>
                <c:pt idx="5">
                  <c:v>2016</c:v>
                </c:pt>
                <c:pt idx="6">
                  <c:v>2017</c:v>
                </c:pt>
                <c:pt idx="7">
                  <c:v>2018</c:v>
                </c:pt>
                <c:pt idx="8">
                  <c:v>2019</c:v>
                </c:pt>
                <c:pt idx="9">
                  <c:v>2020</c:v>
                </c:pt>
                <c:pt idx="10">
                  <c:v>2021</c:v>
                </c:pt>
                <c:pt idx="11">
                  <c:v>2022</c:v>
                </c:pt>
                <c:pt idx="12">
                  <c:v>2023</c:v>
                </c:pt>
                <c:pt idx="13">
                  <c:v>2024</c:v>
                </c:pt>
                <c:pt idx="14">
                  <c:v>2025</c:v>
                </c:pt>
                <c:pt idx="15">
                  <c:v>2026</c:v>
                </c:pt>
                <c:pt idx="16">
                  <c:v>2027</c:v>
                </c:pt>
                <c:pt idx="17">
                  <c:v>2028</c:v>
                </c:pt>
                <c:pt idx="18">
                  <c:v>2029</c:v>
                </c:pt>
                <c:pt idx="19">
                  <c:v>2030</c:v>
                </c:pt>
              </c:numCache>
            </c:numRef>
          </c:cat>
          <c:val>
            <c:numRef>
              <c:f>'Full Results'!$G$33:$Z$33</c:f>
              <c:numCache>
                <c:formatCode>0</c:formatCode>
                <c:ptCount val="20"/>
                <c:pt idx="0">
                  <c:v>6266.2928877839986</c:v>
                </c:pt>
                <c:pt idx="1">
                  <c:v>23015.600010342405</c:v>
                </c:pt>
                <c:pt idx="2">
                  <c:v>4223.0195345375996</c:v>
                </c:pt>
                <c:pt idx="3">
                  <c:v>2356.6661835023997</c:v>
                </c:pt>
                <c:pt idx="4">
                  <c:v>2483.2974821759999</c:v>
                </c:pt>
                <c:pt idx="5">
                  <c:v>4790.5288794449998</c:v>
                </c:pt>
                <c:pt idx="6">
                  <c:v>4857.6865329071989</c:v>
                </c:pt>
                <c:pt idx="7">
                  <c:v>#N/A</c:v>
                </c:pt>
                <c:pt idx="8">
                  <c:v>11702.344263085613</c:v>
                </c:pt>
                <c:pt idx="9">
                  <c:v>11673.085904023292</c:v>
                </c:pt>
                <c:pt idx="10">
                  <c:v>14437.285151557004</c:v>
                </c:pt>
                <c:pt idx="11">
                  <c:v>17354.942127646293</c:v>
                </c:pt>
                <c:pt idx="12">
                  <c:v>20423.093740017364</c:v>
                </c:pt>
                <c:pt idx="13">
                  <c:v>23636.225509669861</c:v>
                </c:pt>
                <c:pt idx="14">
                  <c:v>26987.558180882173</c:v>
                </c:pt>
                <c:pt idx="15">
                  <c:v>30468.921651158344</c:v>
                </c:pt>
                <c:pt idx="16">
                  <c:v>34071.529818580115</c:v>
                </c:pt>
                <c:pt idx="17">
                  <c:v>37786.597914544989</c:v>
                </c:pt>
                <c:pt idx="18">
                  <c:v>41605.959593826708</c:v>
                </c:pt>
                <c:pt idx="19">
                  <c:v>45520.140063921324</c:v>
                </c:pt>
              </c:numCache>
            </c:numRef>
          </c:val>
          <c:smooth val="0"/>
          <c:extLst>
            <c:ext xmlns:c16="http://schemas.microsoft.com/office/drawing/2014/chart" uri="{C3380CC4-5D6E-409C-BE32-E72D297353CC}">
              <c16:uniqueId val="{00000001-1123-0848-B141-668D68A0EB0C}"/>
            </c:ext>
          </c:extLst>
        </c:ser>
        <c:ser>
          <c:idx val="2"/>
          <c:order val="2"/>
          <c:tx>
            <c:strRef>
              <c:f>'Full Results'!$E$34</c:f>
              <c:strCache>
                <c:ptCount val="1"/>
                <c:pt idx="0">
                  <c:v>3 doses/case</c:v>
                </c:pt>
              </c:strCache>
            </c:strRef>
          </c:tx>
          <c:spPr>
            <a:ln w="38100" cmpd="sng"/>
          </c:spPr>
          <c:marker>
            <c:symbol val="none"/>
          </c:marker>
          <c:cat>
            <c:numRef>
              <c:f>'Full Results'!$G$6:$Z$6</c:f>
              <c:numCache>
                <c:formatCode>General</c:formatCode>
                <c:ptCount val="20"/>
                <c:pt idx="0">
                  <c:v>2011</c:v>
                </c:pt>
                <c:pt idx="1">
                  <c:v>2012</c:v>
                </c:pt>
                <c:pt idx="2">
                  <c:v>2013</c:v>
                </c:pt>
                <c:pt idx="3">
                  <c:v>2014</c:v>
                </c:pt>
                <c:pt idx="4">
                  <c:v>2015</c:v>
                </c:pt>
                <c:pt idx="5">
                  <c:v>2016</c:v>
                </c:pt>
                <c:pt idx="6">
                  <c:v>2017</c:v>
                </c:pt>
                <c:pt idx="7">
                  <c:v>2018</c:v>
                </c:pt>
                <c:pt idx="8">
                  <c:v>2019</c:v>
                </c:pt>
                <c:pt idx="9">
                  <c:v>2020</c:v>
                </c:pt>
                <c:pt idx="10">
                  <c:v>2021</c:v>
                </c:pt>
                <c:pt idx="11">
                  <c:v>2022</c:v>
                </c:pt>
                <c:pt idx="12">
                  <c:v>2023</c:v>
                </c:pt>
                <c:pt idx="13">
                  <c:v>2024</c:v>
                </c:pt>
                <c:pt idx="14">
                  <c:v>2025</c:v>
                </c:pt>
                <c:pt idx="15">
                  <c:v>2026</c:v>
                </c:pt>
                <c:pt idx="16">
                  <c:v>2027</c:v>
                </c:pt>
                <c:pt idx="17">
                  <c:v>2028</c:v>
                </c:pt>
                <c:pt idx="18">
                  <c:v>2029</c:v>
                </c:pt>
                <c:pt idx="19">
                  <c:v>2030</c:v>
                </c:pt>
              </c:numCache>
            </c:numRef>
          </c:cat>
          <c:val>
            <c:numRef>
              <c:f>'Full Results'!$G$34:$Z$34</c:f>
              <c:numCache>
                <c:formatCode>0</c:formatCode>
                <c:ptCount val="20"/>
                <c:pt idx="0">
                  <c:v>9399.4393316759979</c:v>
                </c:pt>
                <c:pt idx="1">
                  <c:v>34523.400015513609</c:v>
                </c:pt>
                <c:pt idx="2">
                  <c:v>6334.5293018063994</c:v>
                </c:pt>
                <c:pt idx="3">
                  <c:v>3534.9992752535995</c:v>
                </c:pt>
                <c:pt idx="4">
                  <c:v>3724.9462232639999</c:v>
                </c:pt>
                <c:pt idx="5">
                  <c:v>7185.7933191675002</c:v>
                </c:pt>
                <c:pt idx="6">
                  <c:v>7286.5297993607983</c:v>
                </c:pt>
                <c:pt idx="7">
                  <c:v>#N/A</c:v>
                </c:pt>
                <c:pt idx="8">
                  <c:v>17553.516394628419</c:v>
                </c:pt>
                <c:pt idx="9">
                  <c:v>17509.628856034939</c:v>
                </c:pt>
                <c:pt idx="10">
                  <c:v>21655.927727335504</c:v>
                </c:pt>
                <c:pt idx="11">
                  <c:v>26032.413191469437</c:v>
                </c:pt>
                <c:pt idx="12">
                  <c:v>30634.640610026046</c:v>
                </c:pt>
                <c:pt idx="13">
                  <c:v>35454.33826450479</c:v>
                </c:pt>
                <c:pt idx="14">
                  <c:v>40481.33727132326</c:v>
                </c:pt>
                <c:pt idx="15">
                  <c:v>45703.382476737519</c:v>
                </c:pt>
                <c:pt idx="16">
                  <c:v>51107.294727870176</c:v>
                </c:pt>
                <c:pt idx="17">
                  <c:v>56679.896871817487</c:v>
                </c:pt>
                <c:pt idx="18">
                  <c:v>62408.939390740066</c:v>
                </c:pt>
                <c:pt idx="19">
                  <c:v>68280.210095881979</c:v>
                </c:pt>
              </c:numCache>
            </c:numRef>
          </c:val>
          <c:smooth val="0"/>
          <c:extLst>
            <c:ext xmlns:c16="http://schemas.microsoft.com/office/drawing/2014/chart" uri="{C3380CC4-5D6E-409C-BE32-E72D297353CC}">
              <c16:uniqueId val="{00000002-1123-0848-B141-668D68A0EB0C}"/>
            </c:ext>
          </c:extLst>
        </c:ser>
        <c:dLbls>
          <c:showLegendKey val="0"/>
          <c:showVal val="0"/>
          <c:showCatName val="0"/>
          <c:showSerName val="0"/>
          <c:showPercent val="0"/>
          <c:showBubbleSize val="0"/>
        </c:dLbls>
        <c:smooth val="0"/>
        <c:axId val="2146378272"/>
        <c:axId val="2140269520"/>
      </c:lineChart>
      <c:catAx>
        <c:axId val="2146378272"/>
        <c:scaling>
          <c:orientation val="minMax"/>
        </c:scaling>
        <c:delete val="0"/>
        <c:axPos val="b"/>
        <c:title>
          <c:tx>
            <c:strRef>
              <c:f>'Figure Legends'!$B$12</c:f>
              <c:strCache>
                <c:ptCount val="1"/>
                <c:pt idx="0">
                  <c:v>Year</c:v>
                </c:pt>
              </c:strCache>
            </c:strRef>
          </c:tx>
          <c:overlay val="0"/>
          <c:spPr>
            <a:noFill/>
            <a:ln>
              <a:noFill/>
            </a:ln>
            <a:effectLst/>
          </c:spPr>
          <c:txPr>
            <a:bodyPr rot="0" spcFirstLastPara="1" vertOverflow="ellipsis" vert="horz" wrap="square" anchor="ctr" anchorCtr="1"/>
            <a:lstStyle/>
            <a:p>
              <a:pPr>
                <a:defRPr sz="1800" b="1" i="0" u="none" strike="noStrike" kern="1200" baseline="0">
                  <a:solidFill>
                    <a:sysClr val="windowText" lastClr="000000"/>
                  </a:solidFill>
                  <a:latin typeface="Helvetica"/>
                  <a:ea typeface="+mn-ea"/>
                  <a:cs typeface="Helvetica"/>
                </a:defRPr>
              </a:pPr>
              <a:endParaRPr lang="en-US"/>
            </a:p>
          </c:txPr>
        </c:title>
        <c:numFmt formatCode="General" sourceLinked="1"/>
        <c:majorTickMark val="out"/>
        <c:minorTickMark val="none"/>
        <c:tickLblPos val="nextTo"/>
        <c:spPr>
          <a:noFill/>
          <a:ln w="9525" cap="flat" cmpd="sng" algn="ctr">
            <a:solidFill>
              <a:schemeClr val="tx1">
                <a:lumMod val="50000"/>
                <a:lumOff val="50000"/>
              </a:schemeClr>
            </a:solidFill>
            <a:round/>
          </a:ln>
          <a:effectLst/>
        </c:spPr>
        <c:txPr>
          <a:bodyPr rot="-2760000" spcFirstLastPara="1" vertOverflow="ellipsis" wrap="square" anchor="ctr" anchorCtr="1"/>
          <a:lstStyle/>
          <a:p>
            <a:pPr>
              <a:defRPr sz="1200" b="0" i="0" u="none" strike="noStrike" kern="1200" baseline="0">
                <a:solidFill>
                  <a:schemeClr val="tx1"/>
                </a:solidFill>
                <a:latin typeface="Helvetica"/>
                <a:ea typeface="+mn-ea"/>
                <a:cs typeface="Helvetica"/>
              </a:defRPr>
            </a:pPr>
            <a:endParaRPr lang="en-US"/>
          </a:p>
        </c:txPr>
        <c:crossAx val="2140269520"/>
        <c:crosses val="autoZero"/>
        <c:auto val="1"/>
        <c:lblAlgn val="ctr"/>
        <c:lblOffset val="100"/>
        <c:noMultiLvlLbl val="0"/>
      </c:catAx>
      <c:valAx>
        <c:axId val="2140269520"/>
        <c:scaling>
          <c:orientation val="minMax"/>
        </c:scaling>
        <c:delete val="0"/>
        <c:axPos val="l"/>
        <c:majorGridlines>
          <c:spPr>
            <a:ln w="9525" cap="flat" cmpd="sng" algn="ctr">
              <a:solidFill>
                <a:schemeClr val="tx1">
                  <a:lumMod val="50000"/>
                  <a:lumOff val="50000"/>
                </a:schemeClr>
              </a:solidFill>
              <a:round/>
            </a:ln>
            <a:effectLst/>
          </c:spPr>
        </c:majorGridlines>
        <c:title>
          <c:tx>
            <c:strRef>
              <c:f>'Figure Legends'!$B$25</c:f>
              <c:strCache>
                <c:ptCount val="1"/>
                <c:pt idx="0">
                  <c:v>Doses needed per year for treatmet of pregnant women with syphilis (one dose of 2.4 MU BPG/woman)</c:v>
                </c:pt>
              </c:strCache>
            </c:strRef>
          </c:tx>
          <c:layout>
            <c:manualLayout>
              <c:xMode val="edge"/>
              <c:yMode val="edge"/>
              <c:x val="8.9331204702807199E-3"/>
              <c:y val="0.11595685745468701"/>
            </c:manualLayout>
          </c:layout>
          <c:overlay val="0"/>
          <c:spPr>
            <a:noFill/>
            <a:ln>
              <a:noFill/>
            </a:ln>
            <a:effectLst/>
          </c:spPr>
          <c:txPr>
            <a:bodyPr rot="-5400000" spcFirstLastPara="1" vertOverflow="ellipsis" vert="horz" wrap="square" anchor="ctr" anchorCtr="1"/>
            <a:lstStyle/>
            <a:p>
              <a:pPr>
                <a:defRPr sz="1600" b="0" i="0" u="none" strike="noStrike" kern="1200" baseline="0">
                  <a:solidFill>
                    <a:schemeClr val="tx1">
                      <a:lumMod val="65000"/>
                      <a:lumOff val="35000"/>
                    </a:schemeClr>
                  </a:solidFill>
                  <a:latin typeface="Helvetica"/>
                  <a:ea typeface="+mn-ea"/>
                  <a:cs typeface="Helvetica"/>
                </a:defRPr>
              </a:pPr>
              <a:endParaRPr lang="en-US"/>
            </a:p>
          </c:txPr>
        </c:title>
        <c:numFmt formatCode="0" sourceLinked="0"/>
        <c:majorTickMark val="none"/>
        <c:minorTickMark val="none"/>
        <c:tickLblPos val="nextTo"/>
        <c:spPr>
          <a:noFill/>
          <a:ln>
            <a:solidFill>
              <a:schemeClr val="tx1">
                <a:lumMod val="50000"/>
                <a:lumOff val="50000"/>
              </a:schemeClr>
            </a:solidFill>
          </a:ln>
          <a:effectLst/>
        </c:spPr>
        <c:txPr>
          <a:bodyPr rot="-60000000" spcFirstLastPara="1" vertOverflow="ellipsis" vert="horz" wrap="square" anchor="ctr" anchorCtr="1"/>
          <a:lstStyle/>
          <a:p>
            <a:pPr>
              <a:defRPr sz="1200" b="0" i="0" u="none" strike="noStrike" kern="1200" baseline="0">
                <a:solidFill>
                  <a:schemeClr val="tx1"/>
                </a:solidFill>
                <a:latin typeface="Helvetica"/>
                <a:ea typeface="+mn-ea"/>
                <a:cs typeface="Helvetica"/>
              </a:defRPr>
            </a:pPr>
            <a:endParaRPr lang="en-US"/>
          </a:p>
        </c:txPr>
        <c:crossAx val="2146378272"/>
        <c:crosses val="autoZero"/>
        <c:crossBetween val="between"/>
      </c:valAx>
      <c:spPr>
        <a:noFill/>
        <a:ln>
          <a:noFill/>
        </a:ln>
        <a:effectLst/>
      </c:spPr>
    </c:plotArea>
    <c:legend>
      <c:legendPos val="r"/>
      <c:overlay val="0"/>
      <c:txPr>
        <a:bodyPr/>
        <a:lstStyle/>
        <a:p>
          <a:pPr>
            <a:defRPr sz="1400" b="1">
              <a:latin typeface="Arial"/>
              <a:cs typeface="Arial"/>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1"/>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'Figure Legends'!$B$22</c:f>
          <c:strCache>
            <c:ptCount val="1"/>
            <c:pt idx="0">
              <c:v>4. Cases averted over time as testing and treatment coverage increase for women with syphilis</c:v>
            </c:pt>
          </c:strCache>
        </c:strRef>
      </c:tx>
      <c:overlay val="0"/>
      <c:txPr>
        <a:bodyPr/>
        <a:lstStyle/>
        <a:p>
          <a:pPr>
            <a:defRPr>
              <a:latin typeface="Helvetica"/>
              <a:cs typeface="Helvetica"/>
            </a:defRPr>
          </a:pPr>
          <a:endParaRPr lang="en-US"/>
        </a:p>
      </c:txPr>
    </c:title>
    <c:autoTitleDeleted val="0"/>
    <c:plotArea>
      <c:layout/>
      <c:barChart>
        <c:barDir val="col"/>
        <c:grouping val="stacked"/>
        <c:varyColors val="0"/>
        <c:ser>
          <c:idx val="0"/>
          <c:order val="0"/>
          <c:tx>
            <c:strRef>
              <c:f>'Full Results'!$E$96</c:f>
              <c:strCache>
                <c:ptCount val="1"/>
                <c:pt idx="0">
                  <c:v>Stillbirths</c:v>
                </c:pt>
              </c:strCache>
            </c:strRef>
          </c:tx>
          <c:spPr>
            <a:solidFill>
              <a:srgbClr val="F8C009"/>
            </a:solidFill>
          </c:spPr>
          <c:invertIfNegative val="0"/>
          <c:dLbls>
            <c:delete val="1"/>
          </c:dLbls>
          <c:cat>
            <c:numRef>
              <c:f>'Full Results'!$P$6:$Z$6</c:f>
              <c:numCache>
                <c:formatCode>General</c:formatCode>
                <c:ptCount val="11"/>
                <c:pt idx="0">
                  <c:v>2020</c:v>
                </c:pt>
                <c:pt idx="1">
                  <c:v>2021</c:v>
                </c:pt>
                <c:pt idx="2">
                  <c:v>2022</c:v>
                </c:pt>
                <c:pt idx="3">
                  <c:v>2023</c:v>
                </c:pt>
                <c:pt idx="4">
                  <c:v>2024</c:v>
                </c:pt>
                <c:pt idx="5">
                  <c:v>2025</c:v>
                </c:pt>
                <c:pt idx="6">
                  <c:v>2026</c:v>
                </c:pt>
                <c:pt idx="7">
                  <c:v>2027</c:v>
                </c:pt>
                <c:pt idx="8">
                  <c:v>2028</c:v>
                </c:pt>
                <c:pt idx="9">
                  <c:v>2029</c:v>
                </c:pt>
                <c:pt idx="10">
                  <c:v>2030</c:v>
                </c:pt>
              </c:numCache>
            </c:numRef>
          </c:cat>
          <c:val>
            <c:numRef>
              <c:f>'Full Results'!$P$96:$Z$96</c:f>
              <c:numCache>
                <c:formatCode>0</c:formatCode>
                <c:ptCount val="11"/>
                <c:pt idx="0">
                  <c:v>102.83028004952575</c:v>
                </c:pt>
                <c:pt idx="1">
                  <c:v>304.30760248742081</c:v>
                </c:pt>
                <c:pt idx="2">
                  <c:v>517.1785523784456</c:v>
                </c:pt>
                <c:pt idx="3">
                  <c:v>741.09676253846192</c:v>
                </c:pt>
                <c:pt idx="4">
                  <c:v>975.66975420910603</c:v>
                </c:pt>
                <c:pt idx="5">
                  <c:v>1220.4375637486191</c:v>
                </c:pt>
                <c:pt idx="6">
                  <c:v>1474.8523867867661</c:v>
                </c:pt>
                <c:pt idx="7">
                  <c:v>1738.3098795684355</c:v>
                </c:pt>
                <c:pt idx="8">
                  <c:v>2010.1865028483371</c:v>
                </c:pt>
                <c:pt idx="9">
                  <c:v>2289.881779324237</c:v>
                </c:pt>
                <c:pt idx="10">
                  <c:v>2576.7188339470995</c:v>
                </c:pt>
              </c:numCache>
            </c:numRef>
          </c:val>
          <c:extLst>
            <c:ext xmlns:c16="http://schemas.microsoft.com/office/drawing/2014/chart" uri="{C3380CC4-5D6E-409C-BE32-E72D297353CC}">
              <c16:uniqueId val="{00000000-EDD6-4037-B3F9-8E608600F0D8}"/>
            </c:ext>
          </c:extLst>
        </c:ser>
        <c:ser>
          <c:idx val="1"/>
          <c:order val="1"/>
          <c:tx>
            <c:strRef>
              <c:f>'Full Results'!$E$97</c:f>
              <c:strCache>
                <c:ptCount val="1"/>
                <c:pt idx="0">
                  <c:v>Neonatal deaths</c:v>
                </c:pt>
              </c:strCache>
            </c:strRef>
          </c:tx>
          <c:spPr>
            <a:solidFill>
              <a:srgbClr val="7574CC"/>
            </a:solidFill>
          </c:spPr>
          <c:invertIfNegative val="0"/>
          <c:dLbls>
            <c:delete val="1"/>
          </c:dLbls>
          <c:cat>
            <c:numRef>
              <c:f>'Full Results'!$P$6:$Z$6</c:f>
              <c:numCache>
                <c:formatCode>General</c:formatCode>
                <c:ptCount val="11"/>
                <c:pt idx="0">
                  <c:v>2020</c:v>
                </c:pt>
                <c:pt idx="1">
                  <c:v>2021</c:v>
                </c:pt>
                <c:pt idx="2">
                  <c:v>2022</c:v>
                </c:pt>
                <c:pt idx="3">
                  <c:v>2023</c:v>
                </c:pt>
                <c:pt idx="4">
                  <c:v>2024</c:v>
                </c:pt>
                <c:pt idx="5">
                  <c:v>2025</c:v>
                </c:pt>
                <c:pt idx="6">
                  <c:v>2026</c:v>
                </c:pt>
                <c:pt idx="7">
                  <c:v>2027</c:v>
                </c:pt>
                <c:pt idx="8">
                  <c:v>2028</c:v>
                </c:pt>
                <c:pt idx="9">
                  <c:v>2029</c:v>
                </c:pt>
                <c:pt idx="10">
                  <c:v>2030</c:v>
                </c:pt>
              </c:numCache>
            </c:numRef>
          </c:cat>
          <c:val>
            <c:numRef>
              <c:f>'Full Results'!$P$97:$Z$97</c:f>
              <c:numCache>
                <c:formatCode>0</c:formatCode>
                <c:ptCount val="11"/>
                <c:pt idx="0">
                  <c:v>0</c:v>
                </c:pt>
                <c:pt idx="1">
                  <c:v>74.736294099386669</c:v>
                </c:pt>
                <c:pt idx="2">
                  <c:v>153.70958339970457</c:v>
                </c:pt>
                <c:pt idx="3">
                  <c:v>236.78473659681742</c:v>
                </c:pt>
                <c:pt idx="4">
                  <c:v>323.81664952075801</c:v>
                </c:pt>
                <c:pt idx="5">
                  <c:v>414.63644474839839</c:v>
                </c:pt>
                <c:pt idx="6">
                  <c:v>509.04335132667097</c:v>
                </c:pt>
                <c:pt idx="7">
                  <c:v>606.81503190413662</c:v>
                </c:pt>
                <c:pt idx="8">
                  <c:v>707.72104490136053</c:v>
                </c:pt>
                <c:pt idx="9">
                  <c:v>811.5383807830749</c:v>
                </c:pt>
                <c:pt idx="10">
                  <c:v>918.01665842069951</c:v>
                </c:pt>
              </c:numCache>
            </c:numRef>
          </c:val>
          <c:extLst>
            <c:ext xmlns:c16="http://schemas.microsoft.com/office/drawing/2014/chart" uri="{C3380CC4-5D6E-409C-BE32-E72D297353CC}">
              <c16:uniqueId val="{00000001-EDD6-4037-B3F9-8E608600F0D8}"/>
            </c:ext>
          </c:extLst>
        </c:ser>
        <c:ser>
          <c:idx val="2"/>
          <c:order val="2"/>
          <c:tx>
            <c:strRef>
              <c:f>'Full Results'!$E$98</c:f>
              <c:strCache>
                <c:ptCount val="1"/>
                <c:pt idx="0">
                  <c:v>Premature / low birth weight</c:v>
                </c:pt>
              </c:strCache>
            </c:strRef>
          </c:tx>
          <c:spPr>
            <a:solidFill>
              <a:srgbClr val="67C79C"/>
            </a:solidFill>
          </c:spPr>
          <c:invertIfNegative val="0"/>
          <c:dLbls>
            <c:delete val="1"/>
          </c:dLbls>
          <c:cat>
            <c:numRef>
              <c:f>'Full Results'!$P$6:$Z$6</c:f>
              <c:numCache>
                <c:formatCode>General</c:formatCode>
                <c:ptCount val="11"/>
                <c:pt idx="0">
                  <c:v>2020</c:v>
                </c:pt>
                <c:pt idx="1">
                  <c:v>2021</c:v>
                </c:pt>
                <c:pt idx="2">
                  <c:v>2022</c:v>
                </c:pt>
                <c:pt idx="3">
                  <c:v>2023</c:v>
                </c:pt>
                <c:pt idx="4">
                  <c:v>2024</c:v>
                </c:pt>
                <c:pt idx="5">
                  <c:v>2025</c:v>
                </c:pt>
                <c:pt idx="6">
                  <c:v>2026</c:v>
                </c:pt>
                <c:pt idx="7">
                  <c:v>2027</c:v>
                </c:pt>
                <c:pt idx="8">
                  <c:v>2028</c:v>
                </c:pt>
                <c:pt idx="9">
                  <c:v>2029</c:v>
                </c:pt>
                <c:pt idx="10">
                  <c:v>2030</c:v>
                </c:pt>
              </c:numCache>
            </c:numRef>
          </c:cat>
          <c:val>
            <c:numRef>
              <c:f>'Full Results'!$P$98:$Z$98</c:f>
              <c:numCache>
                <c:formatCode>0</c:formatCode>
                <c:ptCount val="11"/>
                <c:pt idx="0">
                  <c:v>0</c:v>
                </c:pt>
                <c:pt idx="1">
                  <c:v>43.556045832099812</c:v>
                </c:pt>
                <c:pt idx="2">
                  <c:v>89.581397366148281</c:v>
                </c:pt>
                <c:pt idx="3">
                  <c:v>137.99730055971963</c:v>
                </c:pt>
                <c:pt idx="4">
                  <c:v>188.7191892197244</c:v>
                </c:pt>
                <c:pt idx="5">
                  <c:v>241.64864218586354</c:v>
                </c:pt>
                <c:pt idx="6">
                  <c:v>296.66865086226028</c:v>
                </c:pt>
                <c:pt idx="7">
                  <c:v>353.64963783293308</c:v>
                </c:pt>
                <c:pt idx="8">
                  <c:v>412.45730256670828</c:v>
                </c:pt>
                <c:pt idx="9">
                  <c:v>472.9616759012639</c:v>
                </c:pt>
                <c:pt idx="10">
                  <c:v>535.01683660725212</c:v>
                </c:pt>
              </c:numCache>
            </c:numRef>
          </c:val>
          <c:extLst>
            <c:ext xmlns:c16="http://schemas.microsoft.com/office/drawing/2014/chart" uri="{C3380CC4-5D6E-409C-BE32-E72D297353CC}">
              <c16:uniqueId val="{00000002-EDD6-4037-B3F9-8E608600F0D8}"/>
            </c:ext>
          </c:extLst>
        </c:ser>
        <c:ser>
          <c:idx val="4"/>
          <c:order val="3"/>
          <c:tx>
            <c:strRef>
              <c:f>'Full Results'!$E$99</c:f>
              <c:strCache>
                <c:ptCount val="1"/>
                <c:pt idx="0">
                  <c:v>Clinical CS</c:v>
                </c:pt>
              </c:strCache>
            </c:strRef>
          </c:tx>
          <c:spPr>
            <a:solidFill>
              <a:srgbClr val="F83407"/>
            </a:solidFill>
          </c:spPr>
          <c:invertIfNegative val="0"/>
          <c:dLbls>
            <c:delete val="1"/>
          </c:dLbls>
          <c:cat>
            <c:numRef>
              <c:f>'Full Results'!$P$6:$Z$6</c:f>
              <c:numCache>
                <c:formatCode>General</c:formatCode>
                <c:ptCount val="11"/>
                <c:pt idx="0">
                  <c:v>2020</c:v>
                </c:pt>
                <c:pt idx="1">
                  <c:v>2021</c:v>
                </c:pt>
                <c:pt idx="2">
                  <c:v>2022</c:v>
                </c:pt>
                <c:pt idx="3">
                  <c:v>2023</c:v>
                </c:pt>
                <c:pt idx="4">
                  <c:v>2024</c:v>
                </c:pt>
                <c:pt idx="5">
                  <c:v>2025</c:v>
                </c:pt>
                <c:pt idx="6">
                  <c:v>2026</c:v>
                </c:pt>
                <c:pt idx="7">
                  <c:v>2027</c:v>
                </c:pt>
                <c:pt idx="8">
                  <c:v>2028</c:v>
                </c:pt>
                <c:pt idx="9">
                  <c:v>2029</c:v>
                </c:pt>
                <c:pt idx="10">
                  <c:v>2030</c:v>
                </c:pt>
              </c:numCache>
            </c:numRef>
          </c:cat>
          <c:val>
            <c:numRef>
              <c:f>'Full Results'!$P$99:$Z$99</c:f>
              <c:numCache>
                <c:formatCode>0</c:formatCode>
                <c:ptCount val="11"/>
                <c:pt idx="0">
                  <c:v>0</c:v>
                </c:pt>
                <c:pt idx="1">
                  <c:v>141.21026422512637</c:v>
                </c:pt>
                <c:pt idx="2">
                  <c:v>290.42610618265167</c:v>
                </c:pt>
                <c:pt idx="3">
                  <c:v>447.39220243980526</c:v>
                </c:pt>
                <c:pt idx="4">
                  <c:v>611.83438636271239</c:v>
                </c:pt>
                <c:pt idx="5">
                  <c:v>783.43357301641959</c:v>
                </c:pt>
                <c:pt idx="6">
                  <c:v>961.81041633255177</c:v>
                </c:pt>
                <c:pt idx="7">
                  <c:v>1146.5448216767404</c:v>
                </c:pt>
                <c:pt idx="8">
                  <c:v>1337.2013819056078</c:v>
                </c:pt>
                <c:pt idx="9">
                  <c:v>1533.3587323290874</c:v>
                </c:pt>
                <c:pt idx="10">
                  <c:v>1734.5437910831413</c:v>
                </c:pt>
              </c:numCache>
            </c:numRef>
          </c:val>
          <c:extLst>
            <c:ext xmlns:c16="http://schemas.microsoft.com/office/drawing/2014/chart" uri="{C3380CC4-5D6E-409C-BE32-E72D297353CC}">
              <c16:uniqueId val="{00000003-EDD6-4037-B3F9-8E608600F0D8}"/>
            </c:ext>
          </c:extLst>
        </c:ser>
        <c:ser>
          <c:idx val="3"/>
          <c:order val="4"/>
          <c:tx>
            <c:strRef>
              <c:f>'Full Results'!$E$100</c:f>
              <c:strCache>
                <c:ptCount val="1"/>
                <c:pt idx="0">
                  <c:v>Non-clinical CS</c:v>
                </c:pt>
              </c:strCache>
            </c:strRef>
          </c:tx>
          <c:spPr>
            <a:solidFill>
              <a:srgbClr val="8B703A"/>
            </a:solidFill>
          </c:spPr>
          <c:invertIfNegative val="0"/>
          <c:dLbls>
            <c:delete val="1"/>
          </c:dLbls>
          <c:cat>
            <c:numRef>
              <c:f>'Full Results'!$P$6:$Z$6</c:f>
              <c:numCache>
                <c:formatCode>General</c:formatCode>
                <c:ptCount val="11"/>
                <c:pt idx="0">
                  <c:v>2020</c:v>
                </c:pt>
                <c:pt idx="1">
                  <c:v>2021</c:v>
                </c:pt>
                <c:pt idx="2">
                  <c:v>2022</c:v>
                </c:pt>
                <c:pt idx="3">
                  <c:v>2023</c:v>
                </c:pt>
                <c:pt idx="4">
                  <c:v>2024</c:v>
                </c:pt>
                <c:pt idx="5">
                  <c:v>2025</c:v>
                </c:pt>
                <c:pt idx="6">
                  <c:v>2026</c:v>
                </c:pt>
                <c:pt idx="7">
                  <c:v>2027</c:v>
                </c:pt>
                <c:pt idx="8">
                  <c:v>2028</c:v>
                </c:pt>
                <c:pt idx="9">
                  <c:v>2029</c:v>
                </c:pt>
                <c:pt idx="10">
                  <c:v>2030</c:v>
                </c:pt>
              </c:numCache>
            </c:numRef>
          </c:cat>
          <c:val>
            <c:numRef>
              <c:f>'Full Results'!$P$100:$Z$100</c:f>
              <c:numCache>
                <c:formatCode>0</c:formatCode>
                <c:ptCount val="11"/>
                <c:pt idx="0">
                  <c:v>0</c:v>
                </c:pt>
                <c:pt idx="1">
                  <c:v>470.88496818146632</c:v>
                </c:pt>
                <c:pt idx="2">
                  <c:v>968.46563186694584</c:v>
                </c:pt>
                <c:pt idx="3">
                  <c:v>1491.8905800972107</c:v>
                </c:pt>
                <c:pt idx="4">
                  <c:v>2040.2455666779315</c:v>
                </c:pt>
                <c:pt idx="5">
                  <c:v>2612.4665591871903</c:v>
                </c:pt>
                <c:pt idx="6">
                  <c:v>3207.2885761994767</c:v>
                </c:pt>
                <c:pt idx="7">
                  <c:v>3823.3107546144793</c:v>
                </c:pt>
                <c:pt idx="8">
                  <c:v>4459.081169673188</c:v>
                </c:pt>
                <c:pt idx="9">
                  <c:v>5113.194723100597</c:v>
                </c:pt>
                <c:pt idx="10">
                  <c:v>5784.0738586212055</c:v>
                </c:pt>
              </c:numCache>
            </c:numRef>
          </c:val>
          <c:extLst>
            <c:ext xmlns:c16="http://schemas.microsoft.com/office/drawing/2014/chart" uri="{C3380CC4-5D6E-409C-BE32-E72D297353CC}">
              <c16:uniqueId val="{00000000-EACD-8449-AB5A-16D2BA3C9806}"/>
            </c:ext>
          </c:extLst>
        </c:ser>
        <c:dLbls>
          <c:showLegendKey val="0"/>
          <c:showVal val="1"/>
          <c:showCatName val="0"/>
          <c:showSerName val="0"/>
          <c:showPercent val="0"/>
          <c:showBubbleSize val="0"/>
        </c:dLbls>
        <c:gapWidth val="150"/>
        <c:overlap val="100"/>
        <c:axId val="2140194224"/>
        <c:axId val="2140197616"/>
      </c:barChart>
      <c:catAx>
        <c:axId val="2140194224"/>
        <c:scaling>
          <c:orientation val="minMax"/>
        </c:scaling>
        <c:delete val="0"/>
        <c:axPos val="b"/>
        <c:title>
          <c:tx>
            <c:strRef>
              <c:f>'Figure Legends'!$B$12</c:f>
              <c:strCache>
                <c:ptCount val="1"/>
                <c:pt idx="0">
                  <c:v>Year</c:v>
                </c:pt>
              </c:strCache>
            </c:strRef>
          </c:tx>
          <c:overlay val="0"/>
          <c:txPr>
            <a:bodyPr/>
            <a:lstStyle/>
            <a:p>
              <a:pPr>
                <a:defRPr sz="1800">
                  <a:latin typeface="Helvetica" charset="0"/>
                  <a:ea typeface="Helvetica" charset="0"/>
                  <a:cs typeface="Helvetica" charset="0"/>
                </a:defRPr>
              </a:pPr>
              <a:endParaRPr lang="en-US"/>
            </a:p>
          </c:txPr>
        </c:title>
        <c:numFmt formatCode="General" sourceLinked="1"/>
        <c:majorTickMark val="out"/>
        <c:minorTickMark val="none"/>
        <c:tickLblPos val="nextTo"/>
        <c:txPr>
          <a:bodyPr rot="-3360000"/>
          <a:lstStyle/>
          <a:p>
            <a:pPr>
              <a:defRPr sz="1200">
                <a:latin typeface="Helvetica"/>
                <a:cs typeface="Helvetica"/>
              </a:defRPr>
            </a:pPr>
            <a:endParaRPr lang="en-US"/>
          </a:p>
        </c:txPr>
        <c:crossAx val="2140197616"/>
        <c:crosses val="autoZero"/>
        <c:auto val="1"/>
        <c:lblAlgn val="ctr"/>
        <c:lblOffset val="100"/>
        <c:noMultiLvlLbl val="0"/>
      </c:catAx>
      <c:valAx>
        <c:axId val="2140197616"/>
        <c:scaling>
          <c:orientation val="minMax"/>
        </c:scaling>
        <c:delete val="0"/>
        <c:axPos val="l"/>
        <c:majorGridlines/>
        <c:title>
          <c:tx>
            <c:strRef>
              <c:f>'Figure Legends'!$B$11</c:f>
              <c:strCache>
                <c:ptCount val="1"/>
                <c:pt idx="0">
                  <c:v>Case numbers</c:v>
                </c:pt>
              </c:strCache>
            </c:strRef>
          </c:tx>
          <c:overlay val="0"/>
          <c:txPr>
            <a:bodyPr/>
            <a:lstStyle/>
            <a:p>
              <a:pPr>
                <a:defRPr sz="1800">
                  <a:latin typeface="Helvetica" charset="0"/>
                  <a:ea typeface="Helvetica" charset="0"/>
                  <a:cs typeface="Helvetica" charset="0"/>
                </a:defRPr>
              </a:pPr>
              <a:endParaRPr lang="en-US"/>
            </a:p>
          </c:txPr>
        </c:title>
        <c:numFmt formatCode="0" sourceLinked="1"/>
        <c:majorTickMark val="out"/>
        <c:minorTickMark val="none"/>
        <c:tickLblPos val="nextTo"/>
        <c:txPr>
          <a:bodyPr/>
          <a:lstStyle/>
          <a:p>
            <a:pPr>
              <a:defRPr sz="1200">
                <a:latin typeface="Helvetica"/>
                <a:cs typeface="Helvetica"/>
              </a:defRPr>
            </a:pPr>
            <a:endParaRPr lang="en-US"/>
          </a:p>
        </c:txPr>
        <c:crossAx val="2140194224"/>
        <c:crosses val="autoZero"/>
        <c:crossBetween val="between"/>
        <c:minorUnit val="1"/>
      </c:valAx>
    </c:plotArea>
    <c:legend>
      <c:legendPos val="r"/>
      <c:layout>
        <c:manualLayout>
          <c:xMode val="edge"/>
          <c:yMode val="edge"/>
          <c:x val="0.73747030587300899"/>
          <c:y val="0.312773358056053"/>
          <c:w val="0.24191636675564901"/>
          <c:h val="0.59516593330157896"/>
        </c:manualLayout>
      </c:layout>
      <c:overlay val="0"/>
      <c:txPr>
        <a:bodyPr/>
        <a:lstStyle/>
        <a:p>
          <a:pPr>
            <a:defRPr sz="1200" b="1">
              <a:latin typeface="Helvetica"/>
              <a:cs typeface="Helvetica"/>
            </a:defRPr>
          </a:pPr>
          <a:endParaRPr lang="en-US"/>
        </a:p>
      </c:txPr>
    </c:legend>
    <c:plotVisOnly val="1"/>
    <c:dispBlanksAs val="gap"/>
    <c:showDLblsOverMax val="0"/>
  </c:chart>
  <c:printSettings>
    <c:headerFooter/>
    <c:pageMargins b="1" l="0.75" r="0.75" t="1"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1"/>
  <c:lang val="en-GB"/>
  <c:roundedCorners val="0"/>
  <mc:AlternateContent xmlns:mc="http://schemas.openxmlformats.org/markup-compatibility/2006">
    <mc:Choice xmlns:c14="http://schemas.microsoft.com/office/drawing/2007/8/2/chart" Requires="c14">
      <c14:style val="118"/>
    </mc:Choice>
    <mc:Fallback>
      <c:style val="18"/>
    </mc:Fallback>
  </mc:AlternateContent>
  <c:chart>
    <c:title>
      <c:tx>
        <c:strRef>
          <c:f>'Figure Legends'!$B$17</c:f>
          <c:strCache>
            <c:ptCount val="1"/>
            <c:pt idx="0">
              <c:v>(2a) Congenital syphilis case rate per 100,000 live births</c:v>
            </c:pt>
          </c:strCache>
        </c:strRef>
      </c:tx>
      <c:layout>
        <c:manualLayout>
          <c:xMode val="edge"/>
          <c:yMode val="edge"/>
          <c:x val="0.203777629844174"/>
          <c:y val="3.0373771315197001E-2"/>
        </c:manualLayout>
      </c:layout>
      <c:overlay val="0"/>
      <c:txPr>
        <a:bodyPr/>
        <a:lstStyle/>
        <a:p>
          <a:pPr>
            <a:defRPr>
              <a:latin typeface="Helvetica"/>
              <a:cs typeface="Helvetica"/>
            </a:defRPr>
          </a:pPr>
          <a:endParaRPr lang="en-US"/>
        </a:p>
      </c:txPr>
    </c:title>
    <c:autoTitleDeleted val="0"/>
    <c:plotArea>
      <c:layout/>
      <c:areaChart>
        <c:grouping val="standard"/>
        <c:varyColors val="0"/>
        <c:ser>
          <c:idx val="6"/>
          <c:order val="0"/>
          <c:tx>
            <c:v>BHigh</c:v>
          </c:tx>
          <c:spPr>
            <a:solidFill>
              <a:srgbClr val="A3A3A3">
                <a:alpha val="25098"/>
              </a:srgbClr>
            </a:solidFill>
            <a:ln>
              <a:noFill/>
            </a:ln>
            <a:effectLst/>
          </c:spPr>
          <c:val>
            <c:numRef>
              <c:f>'Full Results Baseline'!$BA$85:$BT$85</c:f>
              <c:numCache>
                <c:formatCode>0</c:formatCode>
                <c:ptCount val="20"/>
                <c:pt idx="0">
                  <c:v>264.84117086138548</c:v>
                </c:pt>
                <c:pt idx="1">
                  <c:v>491.74441899787649</c:v>
                </c:pt>
                <c:pt idx="2">
                  <c:v>123.62943093847079</c:v>
                </c:pt>
                <c:pt idx="3">
                  <c:v>224.37377759419405</c:v>
                </c:pt>
                <c:pt idx="4">
                  <c:v>210.37767793722193</c:v>
                </c:pt>
                <c:pt idx="5">
                  <c:v>122.29023174278481</c:v>
                </c:pt>
                <c:pt idx="6">
                  <c:v>129.21283114557559</c:v>
                </c:pt>
                <c:pt idx="7">
                  <c:v>#N/A</c:v>
                </c:pt>
                <c:pt idx="8">
                  <c:v>111.43819653350256</c:v>
                </c:pt>
                <c:pt idx="9">
                  <c:v>111.43819653350259</c:v>
                </c:pt>
                <c:pt idx="10">
                  <c:v>111.43819653350255</c:v>
                </c:pt>
                <c:pt idx="11">
                  <c:v>111.43819653350259</c:v>
                </c:pt>
                <c:pt idx="12">
                  <c:v>111.43819653350256</c:v>
                </c:pt>
                <c:pt idx="13">
                  <c:v>111.43819653350256</c:v>
                </c:pt>
                <c:pt idx="14">
                  <c:v>111.43819653350258</c:v>
                </c:pt>
                <c:pt idx="15">
                  <c:v>111.43819653350255</c:v>
                </c:pt>
                <c:pt idx="16">
                  <c:v>111.43819653350255</c:v>
                </c:pt>
                <c:pt idx="17">
                  <c:v>111.43819653350261</c:v>
                </c:pt>
                <c:pt idx="18">
                  <c:v>111.43819653350256</c:v>
                </c:pt>
                <c:pt idx="19">
                  <c:v>111.43819653350256</c:v>
                </c:pt>
              </c:numCache>
            </c:numRef>
          </c:val>
          <c:extLst>
            <c:ext xmlns:c16="http://schemas.microsoft.com/office/drawing/2014/chart" uri="{C3380CC4-5D6E-409C-BE32-E72D297353CC}">
              <c16:uniqueId val="{00000000-61EC-3946-9DF9-331DCAAE322D}"/>
            </c:ext>
          </c:extLst>
        </c:ser>
        <c:ser>
          <c:idx val="5"/>
          <c:order val="1"/>
          <c:tx>
            <c:v>BLow</c:v>
          </c:tx>
          <c:spPr>
            <a:solidFill>
              <a:schemeClr val="bg1"/>
            </a:solidFill>
            <a:ln w="25400">
              <a:noFill/>
            </a:ln>
            <a:effectLst/>
          </c:spPr>
          <c:val>
            <c:numRef>
              <c:f>'Full Results Baseline'!$AD$85:$AW$85</c:f>
              <c:numCache>
                <c:formatCode>0</c:formatCode>
                <c:ptCount val="20"/>
                <c:pt idx="0">
                  <c:v>120.25812504768489</c:v>
                </c:pt>
                <c:pt idx="1">
                  <c:v>329.4802088498497</c:v>
                </c:pt>
                <c:pt idx="2">
                  <c:v>0</c:v>
                </c:pt>
                <c:pt idx="3">
                  <c:v>86.107770092967101</c:v>
                </c:pt>
                <c:pt idx="4">
                  <c:v>72.534070587094732</c:v>
                </c:pt>
                <c:pt idx="5">
                  <c:v>0</c:v>
                </c:pt>
                <c:pt idx="6">
                  <c:v>0</c:v>
                </c:pt>
                <c:pt idx="7">
                  <c:v>#N/A</c:v>
                </c:pt>
                <c:pt idx="8">
                  <c:v>0</c:v>
                </c:pt>
                <c:pt idx="9">
                  <c:v>0</c:v>
                </c:pt>
                <c:pt idx="10">
                  <c:v>0</c:v>
                </c:pt>
                <c:pt idx="11">
                  <c:v>0</c:v>
                </c:pt>
                <c:pt idx="12">
                  <c:v>0</c:v>
                </c:pt>
                <c:pt idx="13">
                  <c:v>0</c:v>
                </c:pt>
                <c:pt idx="14">
                  <c:v>0</c:v>
                </c:pt>
                <c:pt idx="15">
                  <c:v>0</c:v>
                </c:pt>
                <c:pt idx="16">
                  <c:v>0</c:v>
                </c:pt>
                <c:pt idx="17">
                  <c:v>0</c:v>
                </c:pt>
                <c:pt idx="18">
                  <c:v>0</c:v>
                </c:pt>
                <c:pt idx="19">
                  <c:v>0</c:v>
                </c:pt>
              </c:numCache>
            </c:numRef>
          </c:val>
          <c:extLst>
            <c:ext xmlns:c16="http://schemas.microsoft.com/office/drawing/2014/chart" uri="{C3380CC4-5D6E-409C-BE32-E72D297353CC}">
              <c16:uniqueId val="{00000001-61EC-3946-9DF9-331DCAAE322D}"/>
            </c:ext>
          </c:extLst>
        </c:ser>
        <c:ser>
          <c:idx val="4"/>
          <c:order val="2"/>
          <c:tx>
            <c:v>High</c:v>
          </c:tx>
          <c:spPr>
            <a:solidFill>
              <a:srgbClr val="FF6D67">
                <a:alpha val="25098"/>
              </a:srgbClr>
            </a:solidFill>
            <a:ln w="25400">
              <a:noFill/>
            </a:ln>
            <a:effectLst/>
          </c:spPr>
          <c:cat>
            <c:numRef>
              <c:f>'Full Results Baseline'!$BA$6:$BT$6</c:f>
              <c:numCache>
                <c:formatCode>General</c:formatCode>
                <c:ptCount val="20"/>
                <c:pt idx="0">
                  <c:v>2011</c:v>
                </c:pt>
                <c:pt idx="1">
                  <c:v>2012</c:v>
                </c:pt>
                <c:pt idx="2">
                  <c:v>2013</c:v>
                </c:pt>
                <c:pt idx="3">
                  <c:v>2014</c:v>
                </c:pt>
                <c:pt idx="4">
                  <c:v>2015</c:v>
                </c:pt>
                <c:pt idx="5">
                  <c:v>2016</c:v>
                </c:pt>
                <c:pt idx="6">
                  <c:v>2017</c:v>
                </c:pt>
                <c:pt idx="7">
                  <c:v>2018</c:v>
                </c:pt>
                <c:pt idx="8">
                  <c:v>2019</c:v>
                </c:pt>
                <c:pt idx="9">
                  <c:v>2020</c:v>
                </c:pt>
                <c:pt idx="10">
                  <c:v>2021</c:v>
                </c:pt>
                <c:pt idx="11">
                  <c:v>2022</c:v>
                </c:pt>
                <c:pt idx="12">
                  <c:v>2023</c:v>
                </c:pt>
                <c:pt idx="13">
                  <c:v>2024</c:v>
                </c:pt>
                <c:pt idx="14">
                  <c:v>2025</c:v>
                </c:pt>
                <c:pt idx="15">
                  <c:v>2026</c:v>
                </c:pt>
                <c:pt idx="16">
                  <c:v>2027</c:v>
                </c:pt>
                <c:pt idx="17">
                  <c:v>2028</c:v>
                </c:pt>
                <c:pt idx="18">
                  <c:v>2029</c:v>
                </c:pt>
                <c:pt idx="19">
                  <c:v>2030</c:v>
                </c:pt>
              </c:numCache>
            </c:numRef>
          </c:cat>
          <c:val>
            <c:numRef>
              <c:f>'Full Results'!$BA$85:$BT$85</c:f>
              <c:numCache>
                <c:formatCode>0</c:formatCode>
                <c:ptCount val="20"/>
                <c:pt idx="0">
                  <c:v>264.84117086138548</c:v>
                </c:pt>
                <c:pt idx="1">
                  <c:v>491.74441899787649</c:v>
                </c:pt>
                <c:pt idx="2">
                  <c:v>123.62943093847079</c:v>
                </c:pt>
                <c:pt idx="3">
                  <c:v>224.37377759419405</c:v>
                </c:pt>
                <c:pt idx="4">
                  <c:v>210.37767793722193</c:v>
                </c:pt>
                <c:pt idx="5">
                  <c:v>122.29023174278481</c:v>
                </c:pt>
                <c:pt idx="6">
                  <c:v>129.21283114557559</c:v>
                </c:pt>
                <c:pt idx="7">
                  <c:v>#N/A</c:v>
                </c:pt>
                <c:pt idx="8">
                  <c:v>111.43819653350256</c:v>
                </c:pt>
                <c:pt idx="9">
                  <c:v>111.43819653350259</c:v>
                </c:pt>
                <c:pt idx="10">
                  <c:v>104.94282274380853</c:v>
                </c:pt>
                <c:pt idx="11">
                  <c:v>97.992072410312716</c:v>
                </c:pt>
                <c:pt idx="12">
                  <c:v>90.587430080502685</c:v>
                </c:pt>
                <c:pt idx="13">
                  <c:v>82.730380301866077</c:v>
                </c:pt>
                <c:pt idx="14">
                  <c:v>74.422407621890486</c:v>
                </c:pt>
                <c:pt idx="15">
                  <c:v>65.664996588063488</c:v>
                </c:pt>
                <c:pt idx="16">
                  <c:v>56.459631747872713</c:v>
                </c:pt>
                <c:pt idx="17">
                  <c:v>46.807797648805796</c:v>
                </c:pt>
                <c:pt idx="18">
                  <c:v>36.710978838350265</c:v>
                </c:pt>
                <c:pt idx="19">
                  <c:v>26.170659863993809</c:v>
                </c:pt>
              </c:numCache>
            </c:numRef>
          </c:val>
          <c:extLst>
            <c:ext xmlns:c16="http://schemas.microsoft.com/office/drawing/2014/chart" uri="{C3380CC4-5D6E-409C-BE32-E72D297353CC}">
              <c16:uniqueId val="{00000002-61EC-3946-9DF9-331DCAAE322D}"/>
            </c:ext>
          </c:extLst>
        </c:ser>
        <c:ser>
          <c:idx val="1"/>
          <c:order val="3"/>
          <c:tx>
            <c:v>Low</c:v>
          </c:tx>
          <c:spPr>
            <a:solidFill>
              <a:schemeClr val="bg1"/>
            </a:solidFill>
            <a:ln w="25400">
              <a:noFill/>
            </a:ln>
            <a:effectLst/>
          </c:spPr>
          <c:cat>
            <c:numRef>
              <c:f>'Full Results Baseline'!$BA$6:$BT$6</c:f>
              <c:numCache>
                <c:formatCode>General</c:formatCode>
                <c:ptCount val="20"/>
                <c:pt idx="0">
                  <c:v>2011</c:v>
                </c:pt>
                <c:pt idx="1">
                  <c:v>2012</c:v>
                </c:pt>
                <c:pt idx="2">
                  <c:v>2013</c:v>
                </c:pt>
                <c:pt idx="3">
                  <c:v>2014</c:v>
                </c:pt>
                <c:pt idx="4">
                  <c:v>2015</c:v>
                </c:pt>
                <c:pt idx="5">
                  <c:v>2016</c:v>
                </c:pt>
                <c:pt idx="6">
                  <c:v>2017</c:v>
                </c:pt>
                <c:pt idx="7">
                  <c:v>2018</c:v>
                </c:pt>
                <c:pt idx="8">
                  <c:v>2019</c:v>
                </c:pt>
                <c:pt idx="9">
                  <c:v>2020</c:v>
                </c:pt>
                <c:pt idx="10">
                  <c:v>2021</c:v>
                </c:pt>
                <c:pt idx="11">
                  <c:v>2022</c:v>
                </c:pt>
                <c:pt idx="12">
                  <c:v>2023</c:v>
                </c:pt>
                <c:pt idx="13">
                  <c:v>2024</c:v>
                </c:pt>
                <c:pt idx="14">
                  <c:v>2025</c:v>
                </c:pt>
                <c:pt idx="15">
                  <c:v>2026</c:v>
                </c:pt>
                <c:pt idx="16">
                  <c:v>2027</c:v>
                </c:pt>
                <c:pt idx="17">
                  <c:v>2028</c:v>
                </c:pt>
                <c:pt idx="18">
                  <c:v>2029</c:v>
                </c:pt>
                <c:pt idx="19">
                  <c:v>2030</c:v>
                </c:pt>
              </c:numCache>
            </c:numRef>
          </c:cat>
          <c:val>
            <c:numRef>
              <c:f>'Full Results'!$AD$85:$AW$85</c:f>
              <c:numCache>
                <c:formatCode>0</c:formatCode>
                <c:ptCount val="20"/>
                <c:pt idx="0">
                  <c:v>120.25812504768489</c:v>
                </c:pt>
                <c:pt idx="1">
                  <c:v>329.4802088498497</c:v>
                </c:pt>
                <c:pt idx="2">
                  <c:v>0</c:v>
                </c:pt>
                <c:pt idx="3">
                  <c:v>86.107770092967101</c:v>
                </c:pt>
                <c:pt idx="4">
                  <c:v>72.534070587094732</c:v>
                </c:pt>
                <c:pt idx="5">
                  <c:v>0</c:v>
                </c:pt>
                <c:pt idx="6">
                  <c:v>0</c:v>
                </c:pt>
                <c:pt idx="7">
                  <c:v>#N/A</c:v>
                </c:pt>
                <c:pt idx="8">
                  <c:v>0</c:v>
                </c:pt>
                <c:pt idx="9">
                  <c:v>0</c:v>
                </c:pt>
                <c:pt idx="10">
                  <c:v>0</c:v>
                </c:pt>
                <c:pt idx="11">
                  <c:v>0</c:v>
                </c:pt>
                <c:pt idx="12">
                  <c:v>0</c:v>
                </c:pt>
                <c:pt idx="13">
                  <c:v>0</c:v>
                </c:pt>
                <c:pt idx="14">
                  <c:v>0</c:v>
                </c:pt>
                <c:pt idx="15">
                  <c:v>0</c:v>
                </c:pt>
                <c:pt idx="16">
                  <c:v>0</c:v>
                </c:pt>
                <c:pt idx="17">
                  <c:v>0</c:v>
                </c:pt>
                <c:pt idx="18">
                  <c:v>0</c:v>
                </c:pt>
                <c:pt idx="19">
                  <c:v>0</c:v>
                </c:pt>
              </c:numCache>
            </c:numRef>
          </c:val>
          <c:extLst>
            <c:ext xmlns:c16="http://schemas.microsoft.com/office/drawing/2014/chart" uri="{C3380CC4-5D6E-409C-BE32-E72D297353CC}">
              <c16:uniqueId val="{00000003-61EC-3946-9DF9-331DCAAE322D}"/>
            </c:ext>
          </c:extLst>
        </c:ser>
        <c:dLbls>
          <c:showLegendKey val="0"/>
          <c:showVal val="0"/>
          <c:showCatName val="0"/>
          <c:showSerName val="0"/>
          <c:showPercent val="0"/>
          <c:showBubbleSize val="0"/>
        </c:dLbls>
        <c:axId val="1998930944"/>
        <c:axId val="1998683280"/>
      </c:areaChart>
      <c:lineChart>
        <c:grouping val="standard"/>
        <c:varyColors val="0"/>
        <c:ser>
          <c:idx val="0"/>
          <c:order val="4"/>
          <c:tx>
            <c:strRef>
              <c:f>'Prediction tool'!$AA$35</c:f>
              <c:strCache>
                <c:ptCount val="1"/>
                <c:pt idx="0">
                  <c:v>WHO target</c:v>
                </c:pt>
              </c:strCache>
            </c:strRef>
          </c:tx>
          <c:spPr>
            <a:ln w="22225">
              <a:solidFill>
                <a:srgbClr val="000090"/>
              </a:solidFill>
              <a:prstDash val="sysDash"/>
            </a:ln>
          </c:spPr>
          <c:marker>
            <c:symbol val="none"/>
          </c:marker>
          <c:cat>
            <c:numRef>
              <c:f>'Full Results Baseline'!$BA$6:$BT$6</c:f>
              <c:numCache>
                <c:formatCode>General</c:formatCode>
                <c:ptCount val="20"/>
                <c:pt idx="0">
                  <c:v>2011</c:v>
                </c:pt>
                <c:pt idx="1">
                  <c:v>2012</c:v>
                </c:pt>
                <c:pt idx="2">
                  <c:v>2013</c:v>
                </c:pt>
                <c:pt idx="3">
                  <c:v>2014</c:v>
                </c:pt>
                <c:pt idx="4">
                  <c:v>2015</c:v>
                </c:pt>
                <c:pt idx="5">
                  <c:v>2016</c:v>
                </c:pt>
                <c:pt idx="6">
                  <c:v>2017</c:v>
                </c:pt>
                <c:pt idx="7">
                  <c:v>2018</c:v>
                </c:pt>
                <c:pt idx="8">
                  <c:v>2019</c:v>
                </c:pt>
                <c:pt idx="9">
                  <c:v>2020</c:v>
                </c:pt>
                <c:pt idx="10">
                  <c:v>2021</c:v>
                </c:pt>
                <c:pt idx="11">
                  <c:v>2022</c:v>
                </c:pt>
                <c:pt idx="12">
                  <c:v>2023</c:v>
                </c:pt>
                <c:pt idx="13">
                  <c:v>2024</c:v>
                </c:pt>
                <c:pt idx="14">
                  <c:v>2025</c:v>
                </c:pt>
                <c:pt idx="15">
                  <c:v>2026</c:v>
                </c:pt>
                <c:pt idx="16">
                  <c:v>2027</c:v>
                </c:pt>
                <c:pt idx="17">
                  <c:v>2028</c:v>
                </c:pt>
                <c:pt idx="18">
                  <c:v>2029</c:v>
                </c:pt>
                <c:pt idx="19">
                  <c:v>2030</c:v>
                </c:pt>
              </c:numCache>
            </c:numRef>
          </c:cat>
          <c:val>
            <c:numRef>
              <c:f>'Full Results'!$G$7:$Z$7</c:f>
              <c:numCache>
                <c:formatCode>General</c:formatCode>
                <c:ptCount val="20"/>
                <c:pt idx="0">
                  <c:v>50</c:v>
                </c:pt>
                <c:pt idx="2">
                  <c:v>50</c:v>
                </c:pt>
                <c:pt idx="3">
                  <c:v>50</c:v>
                </c:pt>
                <c:pt idx="4">
                  <c:v>50</c:v>
                </c:pt>
                <c:pt idx="5">
                  <c:v>50</c:v>
                </c:pt>
                <c:pt idx="6">
                  <c:v>50</c:v>
                </c:pt>
                <c:pt idx="7">
                  <c:v>50</c:v>
                </c:pt>
                <c:pt idx="8">
                  <c:v>50</c:v>
                </c:pt>
                <c:pt idx="9">
                  <c:v>50</c:v>
                </c:pt>
                <c:pt idx="10">
                  <c:v>50</c:v>
                </c:pt>
                <c:pt idx="11">
                  <c:v>50</c:v>
                </c:pt>
                <c:pt idx="12">
                  <c:v>50</c:v>
                </c:pt>
                <c:pt idx="13">
                  <c:v>50</c:v>
                </c:pt>
                <c:pt idx="14">
                  <c:v>50</c:v>
                </c:pt>
                <c:pt idx="15">
                  <c:v>50</c:v>
                </c:pt>
                <c:pt idx="16">
                  <c:v>50</c:v>
                </c:pt>
                <c:pt idx="17">
                  <c:v>50</c:v>
                </c:pt>
                <c:pt idx="18">
                  <c:v>50</c:v>
                </c:pt>
                <c:pt idx="19">
                  <c:v>50</c:v>
                </c:pt>
              </c:numCache>
            </c:numRef>
          </c:val>
          <c:smooth val="0"/>
          <c:extLst>
            <c:ext xmlns:c16="http://schemas.microsoft.com/office/drawing/2014/chart" uri="{C3380CC4-5D6E-409C-BE32-E72D297353CC}">
              <c16:uniqueId val="{00000004-61EC-3946-9DF9-331DCAAE322D}"/>
            </c:ext>
          </c:extLst>
        </c:ser>
        <c:ser>
          <c:idx val="2"/>
          <c:order val="5"/>
          <c:tx>
            <c:strRef>
              <c:f>'Prediction tool'!$AA$36</c:f>
              <c:strCache>
                <c:ptCount val="1"/>
                <c:pt idx="0">
                  <c:v>No intervention</c:v>
                </c:pt>
              </c:strCache>
            </c:strRef>
          </c:tx>
          <c:spPr>
            <a:ln w="38100">
              <a:solidFill>
                <a:schemeClr val="tx1">
                  <a:lumMod val="50000"/>
                  <a:lumOff val="50000"/>
                </a:schemeClr>
              </a:solidFill>
              <a:prstDash val="sysDash"/>
            </a:ln>
          </c:spPr>
          <c:marker>
            <c:symbol val="none"/>
          </c:marker>
          <c:cat>
            <c:numRef>
              <c:f>'Full Results Baseline'!$BA$6:$BT$6</c:f>
              <c:numCache>
                <c:formatCode>General</c:formatCode>
                <c:ptCount val="20"/>
                <c:pt idx="0">
                  <c:v>2011</c:v>
                </c:pt>
                <c:pt idx="1">
                  <c:v>2012</c:v>
                </c:pt>
                <c:pt idx="2">
                  <c:v>2013</c:v>
                </c:pt>
                <c:pt idx="3">
                  <c:v>2014</c:v>
                </c:pt>
                <c:pt idx="4">
                  <c:v>2015</c:v>
                </c:pt>
                <c:pt idx="5">
                  <c:v>2016</c:v>
                </c:pt>
                <c:pt idx="6">
                  <c:v>2017</c:v>
                </c:pt>
                <c:pt idx="7">
                  <c:v>2018</c:v>
                </c:pt>
                <c:pt idx="8">
                  <c:v>2019</c:v>
                </c:pt>
                <c:pt idx="9">
                  <c:v>2020</c:v>
                </c:pt>
                <c:pt idx="10">
                  <c:v>2021</c:v>
                </c:pt>
                <c:pt idx="11">
                  <c:v>2022</c:v>
                </c:pt>
                <c:pt idx="12">
                  <c:v>2023</c:v>
                </c:pt>
                <c:pt idx="13">
                  <c:v>2024</c:v>
                </c:pt>
                <c:pt idx="14">
                  <c:v>2025</c:v>
                </c:pt>
                <c:pt idx="15">
                  <c:v>2026</c:v>
                </c:pt>
                <c:pt idx="16">
                  <c:v>2027</c:v>
                </c:pt>
                <c:pt idx="17">
                  <c:v>2028</c:v>
                </c:pt>
                <c:pt idx="18">
                  <c:v>2029</c:v>
                </c:pt>
                <c:pt idx="19">
                  <c:v>2030</c:v>
                </c:pt>
              </c:numCache>
            </c:numRef>
          </c:cat>
          <c:val>
            <c:numRef>
              <c:f>'Full Results Baseline'!$G$85:$Z$85</c:f>
              <c:numCache>
                <c:formatCode>0</c:formatCode>
                <c:ptCount val="20"/>
                <c:pt idx="0">
                  <c:v>191.02143705905704</c:v>
                </c:pt>
                <c:pt idx="1">
                  <c:v>409.73081857015063</c:v>
                </c:pt>
                <c:pt idx="2">
                  <c:v>56.329606392239192</c:v>
                </c:pt>
                <c:pt idx="3">
                  <c:v>154.7478957665154</c:v>
                </c:pt>
                <c:pt idx="4">
                  <c:v>140.8566980530484</c:v>
                </c:pt>
                <c:pt idx="5">
                  <c:v>55.551910637487346</c:v>
                </c:pt>
                <c:pt idx="6">
                  <c:v>62.319066618691345</c:v>
                </c:pt>
                <c:pt idx="7">
                  <c:v>#N/A</c:v>
                </c:pt>
                <c:pt idx="8">
                  <c:v>50.913792447492739</c:v>
                </c:pt>
                <c:pt idx="9">
                  <c:v>50.913792447492732</c:v>
                </c:pt>
                <c:pt idx="10">
                  <c:v>50.913792447492739</c:v>
                </c:pt>
                <c:pt idx="11">
                  <c:v>50.913792447492746</c:v>
                </c:pt>
                <c:pt idx="12">
                  <c:v>50.913792447492739</c:v>
                </c:pt>
                <c:pt idx="13">
                  <c:v>50.913792447492725</c:v>
                </c:pt>
                <c:pt idx="14">
                  <c:v>50.913792447492725</c:v>
                </c:pt>
                <c:pt idx="15">
                  <c:v>50.913792447492739</c:v>
                </c:pt>
                <c:pt idx="16">
                  <c:v>50.913792447492732</c:v>
                </c:pt>
                <c:pt idx="17">
                  <c:v>50.913792447492732</c:v>
                </c:pt>
                <c:pt idx="18">
                  <c:v>50.913792447492732</c:v>
                </c:pt>
                <c:pt idx="19">
                  <c:v>50.913792447492732</c:v>
                </c:pt>
              </c:numCache>
            </c:numRef>
          </c:val>
          <c:smooth val="0"/>
          <c:extLst>
            <c:ext xmlns:c16="http://schemas.microsoft.com/office/drawing/2014/chart" uri="{C3380CC4-5D6E-409C-BE32-E72D297353CC}">
              <c16:uniqueId val="{00000005-61EC-3946-9DF9-331DCAAE322D}"/>
            </c:ext>
          </c:extLst>
        </c:ser>
        <c:ser>
          <c:idx val="3"/>
          <c:order val="6"/>
          <c:tx>
            <c:strRef>
              <c:f>'Prediction tool'!$AA$37</c:f>
              <c:strCache>
                <c:ptCount val="1"/>
                <c:pt idx="0">
                  <c:v>Intervention</c:v>
                </c:pt>
              </c:strCache>
            </c:strRef>
          </c:tx>
          <c:spPr>
            <a:ln>
              <a:solidFill>
                <a:srgbClr val="E34123"/>
              </a:solidFill>
            </a:ln>
          </c:spPr>
          <c:marker>
            <c:symbol val="none"/>
          </c:marker>
          <c:cat>
            <c:numRef>
              <c:f>'Full Results Baseline'!$BA$6:$BT$6</c:f>
              <c:numCache>
                <c:formatCode>General</c:formatCode>
                <c:ptCount val="20"/>
                <c:pt idx="0">
                  <c:v>2011</c:v>
                </c:pt>
                <c:pt idx="1">
                  <c:v>2012</c:v>
                </c:pt>
                <c:pt idx="2">
                  <c:v>2013</c:v>
                </c:pt>
                <c:pt idx="3">
                  <c:v>2014</c:v>
                </c:pt>
                <c:pt idx="4">
                  <c:v>2015</c:v>
                </c:pt>
                <c:pt idx="5">
                  <c:v>2016</c:v>
                </c:pt>
                <c:pt idx="6">
                  <c:v>2017</c:v>
                </c:pt>
                <c:pt idx="7">
                  <c:v>2018</c:v>
                </c:pt>
                <c:pt idx="8">
                  <c:v>2019</c:v>
                </c:pt>
                <c:pt idx="9">
                  <c:v>2020</c:v>
                </c:pt>
                <c:pt idx="10">
                  <c:v>2021</c:v>
                </c:pt>
                <c:pt idx="11">
                  <c:v>2022</c:v>
                </c:pt>
                <c:pt idx="12">
                  <c:v>2023</c:v>
                </c:pt>
                <c:pt idx="13">
                  <c:v>2024</c:v>
                </c:pt>
                <c:pt idx="14">
                  <c:v>2025</c:v>
                </c:pt>
                <c:pt idx="15">
                  <c:v>2026</c:v>
                </c:pt>
                <c:pt idx="16">
                  <c:v>2027</c:v>
                </c:pt>
                <c:pt idx="17">
                  <c:v>2028</c:v>
                </c:pt>
                <c:pt idx="18">
                  <c:v>2029</c:v>
                </c:pt>
                <c:pt idx="19">
                  <c:v>2030</c:v>
                </c:pt>
              </c:numCache>
            </c:numRef>
          </c:cat>
          <c:val>
            <c:numRef>
              <c:f>'Full Results'!$G$85:$Z$85</c:f>
              <c:numCache>
                <c:formatCode>0</c:formatCode>
                <c:ptCount val="20"/>
                <c:pt idx="0">
                  <c:v>191.02143705905704</c:v>
                </c:pt>
                <c:pt idx="1">
                  <c:v>409.73081857015063</c:v>
                </c:pt>
                <c:pt idx="2">
                  <c:v>56.329606392239192</c:v>
                </c:pt>
                <c:pt idx="3">
                  <c:v>154.7478957665154</c:v>
                </c:pt>
                <c:pt idx="4">
                  <c:v>140.8566980530484</c:v>
                </c:pt>
                <c:pt idx="5">
                  <c:v>55.551910637487346</c:v>
                </c:pt>
                <c:pt idx="6">
                  <c:v>62.319066618691345</c:v>
                </c:pt>
                <c:pt idx="7">
                  <c:v>#N/A</c:v>
                </c:pt>
                <c:pt idx="8">
                  <c:v>50.913792447492739</c:v>
                </c:pt>
                <c:pt idx="9">
                  <c:v>50.913792447492732</c:v>
                </c:pt>
                <c:pt idx="10">
                  <c:v>47.259529106839786</c:v>
                </c:pt>
                <c:pt idx="11">
                  <c:v>43.370283924955238</c:v>
                </c:pt>
                <c:pt idx="12">
                  <c:v>39.246785342920795</c:v>
                </c:pt>
                <c:pt idx="13">
                  <c:v>34.889761801818167</c:v>
                </c:pt>
                <c:pt idx="14">
                  <c:v>30.299941742729096</c:v>
                </c:pt>
                <c:pt idx="15">
                  <c:v>25.478053606735262</c:v>
                </c:pt>
                <c:pt idx="16">
                  <c:v>20.424825834918387</c:v>
                </c:pt>
                <c:pt idx="17">
                  <c:v>15.140986868360176</c:v>
                </c:pt>
                <c:pt idx="18">
                  <c:v>9.6272651481423512</c:v>
                </c:pt>
                <c:pt idx="19">
                  <c:v>3.8843891153466132</c:v>
                </c:pt>
              </c:numCache>
            </c:numRef>
          </c:val>
          <c:smooth val="0"/>
          <c:extLst>
            <c:ext xmlns:c16="http://schemas.microsoft.com/office/drawing/2014/chart" uri="{C3380CC4-5D6E-409C-BE32-E72D297353CC}">
              <c16:uniqueId val="{00000006-61EC-3946-9DF9-331DCAAE322D}"/>
            </c:ext>
          </c:extLst>
        </c:ser>
        <c:dLbls>
          <c:showLegendKey val="0"/>
          <c:showVal val="0"/>
          <c:showCatName val="0"/>
          <c:showSerName val="0"/>
          <c:showPercent val="0"/>
          <c:showBubbleSize val="0"/>
        </c:dLbls>
        <c:marker val="1"/>
        <c:smooth val="0"/>
        <c:axId val="1998930944"/>
        <c:axId val="1998683280"/>
      </c:lineChart>
      <c:catAx>
        <c:axId val="1998930944"/>
        <c:scaling>
          <c:orientation val="minMax"/>
        </c:scaling>
        <c:delete val="0"/>
        <c:axPos val="b"/>
        <c:title>
          <c:tx>
            <c:strRef>
              <c:f>'Figure Legends'!$B$12</c:f>
              <c:strCache>
                <c:ptCount val="1"/>
                <c:pt idx="0">
                  <c:v>Year</c:v>
                </c:pt>
              </c:strCache>
            </c:strRef>
          </c:tx>
          <c:layout>
            <c:manualLayout>
              <c:xMode val="edge"/>
              <c:yMode val="edge"/>
              <c:x val="0.48840670306249601"/>
              <c:y val="0.90998639280854599"/>
            </c:manualLayout>
          </c:layout>
          <c:overlay val="0"/>
          <c:txPr>
            <a:bodyPr/>
            <a:lstStyle/>
            <a:p>
              <a:pPr>
                <a:defRPr sz="1800">
                  <a:latin typeface="Helvetica" charset="0"/>
                  <a:ea typeface="Helvetica" charset="0"/>
                  <a:cs typeface="Helvetica" charset="0"/>
                </a:defRPr>
              </a:pPr>
              <a:endParaRPr lang="en-US"/>
            </a:p>
          </c:txPr>
        </c:title>
        <c:numFmt formatCode="General" sourceLinked="1"/>
        <c:majorTickMark val="out"/>
        <c:minorTickMark val="none"/>
        <c:tickLblPos val="nextTo"/>
        <c:txPr>
          <a:bodyPr rot="-3360000" vert="horz"/>
          <a:lstStyle/>
          <a:p>
            <a:pPr>
              <a:defRPr sz="1200">
                <a:latin typeface="Helvetica"/>
                <a:cs typeface="Helvetica"/>
              </a:defRPr>
            </a:pPr>
            <a:endParaRPr lang="en-US"/>
          </a:p>
        </c:txPr>
        <c:crossAx val="1998683280"/>
        <c:crosses val="autoZero"/>
        <c:auto val="1"/>
        <c:lblAlgn val="ctr"/>
        <c:lblOffset val="100"/>
        <c:noMultiLvlLbl val="0"/>
      </c:catAx>
      <c:valAx>
        <c:axId val="1998683280"/>
        <c:scaling>
          <c:orientation val="minMax"/>
        </c:scaling>
        <c:delete val="0"/>
        <c:axPos val="l"/>
        <c:majorGridlines>
          <c:spPr>
            <a:ln>
              <a:noFill/>
            </a:ln>
          </c:spPr>
        </c:majorGridlines>
        <c:title>
          <c:tx>
            <c:strRef>
              <c:f>'Figure Legends'!$B$10</c:f>
              <c:strCache>
                <c:ptCount val="1"/>
                <c:pt idx="0">
                  <c:v>Case rate per 100,000 live births</c:v>
                </c:pt>
              </c:strCache>
            </c:strRef>
          </c:tx>
          <c:layout>
            <c:manualLayout>
              <c:xMode val="edge"/>
              <c:yMode val="edge"/>
              <c:x val="3.2910132812618301E-2"/>
              <c:y val="0.21185047089453901"/>
            </c:manualLayout>
          </c:layout>
          <c:overlay val="0"/>
          <c:txPr>
            <a:bodyPr/>
            <a:lstStyle/>
            <a:p>
              <a:pPr>
                <a:defRPr sz="1800">
                  <a:latin typeface="Helvetica" charset="0"/>
                  <a:ea typeface="Helvetica" charset="0"/>
                  <a:cs typeface="Helvetica" charset="0"/>
                </a:defRPr>
              </a:pPr>
              <a:endParaRPr lang="en-US"/>
            </a:p>
          </c:txPr>
        </c:title>
        <c:numFmt formatCode="0" sourceLinked="1"/>
        <c:majorTickMark val="out"/>
        <c:minorTickMark val="none"/>
        <c:tickLblPos val="nextTo"/>
        <c:txPr>
          <a:bodyPr/>
          <a:lstStyle/>
          <a:p>
            <a:pPr>
              <a:defRPr sz="1200">
                <a:latin typeface="Helvetica"/>
                <a:cs typeface="Helvetica"/>
              </a:defRPr>
            </a:pPr>
            <a:endParaRPr lang="en-US"/>
          </a:p>
        </c:txPr>
        <c:crossAx val="1998930944"/>
        <c:crosses val="autoZero"/>
        <c:crossBetween val="between"/>
      </c:valAx>
    </c:plotArea>
    <c:legend>
      <c:legendPos val="b"/>
      <c:legendEntry>
        <c:idx val="0"/>
        <c:delete val="1"/>
      </c:legendEntry>
      <c:legendEntry>
        <c:idx val="1"/>
        <c:delete val="1"/>
      </c:legendEntry>
      <c:legendEntry>
        <c:idx val="2"/>
        <c:delete val="1"/>
      </c:legendEntry>
      <c:legendEntry>
        <c:idx val="3"/>
        <c:delete val="1"/>
      </c:legendEntry>
      <c:layout>
        <c:manualLayout>
          <c:xMode val="edge"/>
          <c:yMode val="edge"/>
          <c:x val="0.170755047804064"/>
          <c:y val="0.84649434946122404"/>
          <c:w val="0.78306704396389204"/>
          <c:h val="5.4687878581258099E-2"/>
        </c:manualLayout>
      </c:layout>
      <c:overlay val="0"/>
    </c:legend>
    <c:plotVisOnly val="1"/>
    <c:dispBlanksAs val="gap"/>
    <c:showDLblsOverMax val="0"/>
  </c:chart>
  <c:spPr>
    <a:solidFill>
      <a:schemeClr val="bg1"/>
    </a:solidFill>
    <a:ln>
      <a:solidFill>
        <a:srgbClr val="7674CB"/>
      </a:solidFill>
    </a:ln>
  </c:spPr>
  <c:printSettings>
    <c:headerFooter/>
    <c:pageMargins b="1" l="0.75" r="0.75" t="1" header="0.5" footer="0.5"/>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1"/>
  <c:lang val="en-GB"/>
  <c:roundedCorners val="0"/>
  <mc:AlternateContent xmlns:mc="http://schemas.openxmlformats.org/markup-compatibility/2006">
    <mc:Choice xmlns:c14="http://schemas.microsoft.com/office/drawing/2007/8/2/chart" Requires="c14">
      <c14:style val="118"/>
    </mc:Choice>
    <mc:Fallback>
      <c:style val="18"/>
    </mc:Fallback>
  </mc:AlternateContent>
  <c:chart>
    <c:title>
      <c:tx>
        <c:strRef>
          <c:f>'Figure Legends'!$B$18</c:f>
          <c:strCache>
            <c:ptCount val="1"/>
            <c:pt idx="0">
              <c:v>(2b) Trend in number of congenital syphilis cases*</c:v>
            </c:pt>
          </c:strCache>
        </c:strRef>
      </c:tx>
      <c:layout>
        <c:manualLayout>
          <c:xMode val="edge"/>
          <c:yMode val="edge"/>
          <c:x val="0.203777629844174"/>
          <c:y val="3.0373771315197001E-2"/>
        </c:manualLayout>
      </c:layout>
      <c:overlay val="0"/>
      <c:txPr>
        <a:bodyPr/>
        <a:lstStyle/>
        <a:p>
          <a:pPr>
            <a:defRPr>
              <a:latin typeface="Helvetica"/>
              <a:cs typeface="Helvetica"/>
            </a:defRPr>
          </a:pPr>
          <a:endParaRPr lang="en-US"/>
        </a:p>
      </c:txPr>
    </c:title>
    <c:autoTitleDeleted val="0"/>
    <c:plotArea>
      <c:layout/>
      <c:areaChart>
        <c:grouping val="standard"/>
        <c:varyColors val="0"/>
        <c:ser>
          <c:idx val="6"/>
          <c:order val="0"/>
          <c:tx>
            <c:v>BHigh</c:v>
          </c:tx>
          <c:spPr>
            <a:solidFill>
              <a:srgbClr val="A3A3A3">
                <a:alpha val="25098"/>
              </a:srgbClr>
            </a:solidFill>
            <a:effectLst/>
          </c:spPr>
          <c:val>
            <c:numRef>
              <c:f>'Full Results Baseline'!$BA$86:$BT$86</c:f>
              <c:numCache>
                <c:formatCode>0</c:formatCode>
                <c:ptCount val="20"/>
                <c:pt idx="0">
                  <c:v>69732.00494281709</c:v>
                </c:pt>
                <c:pt idx="1">
                  <c:v>128481.43771828953</c:v>
                </c:pt>
                <c:pt idx="2">
                  <c:v>32106.904431950254</c:v>
                </c:pt>
                <c:pt idx="3">
                  <c:v>58024.095492711058</c:v>
                </c:pt>
                <c:pt idx="4">
                  <c:v>54264.132415896936</c:v>
                </c:pt>
                <c:pt idx="5">
                  <c:v>31499.306330205596</c:v>
                </c:pt>
                <c:pt idx="6">
                  <c:v>33250.124637519577</c:v>
                </c:pt>
                <c:pt idx="7">
                  <c:v>#N/A</c:v>
                </c:pt>
                <c:pt idx="8">
                  <c:v>28590.816608466172</c:v>
                </c:pt>
                <c:pt idx="9">
                  <c:v>28519.333462917792</c:v>
                </c:pt>
                <c:pt idx="10">
                  <c:v>28427.665516831294</c:v>
                </c:pt>
                <c:pt idx="11">
                  <c:v>28322.855664227609</c:v>
                </c:pt>
                <c:pt idx="12">
                  <c:v>28210.041205966911</c:v>
                </c:pt>
                <c:pt idx="13">
                  <c:v>28089.039383406911</c:v>
                </c:pt>
                <c:pt idx="14">
                  <c:v>27958.754759075659</c:v>
                </c:pt>
                <c:pt idx="15">
                  <c:v>27817.614940020081</c:v>
                </c:pt>
                <c:pt idx="16">
                  <c:v>27664.517802476461</c:v>
                </c:pt>
                <c:pt idx="17">
                  <c:v>27499.106744215889</c:v>
                </c:pt>
                <c:pt idx="18">
                  <c:v>27321.855377573629</c:v>
                </c:pt>
                <c:pt idx="19">
                  <c:v>27132.547512448407</c:v>
                </c:pt>
              </c:numCache>
            </c:numRef>
          </c:val>
          <c:extLst>
            <c:ext xmlns:c16="http://schemas.microsoft.com/office/drawing/2014/chart" uri="{C3380CC4-5D6E-409C-BE32-E72D297353CC}">
              <c16:uniqueId val="{00000000-49D7-6E4A-93BC-EF5ADC5382CC}"/>
            </c:ext>
          </c:extLst>
        </c:ser>
        <c:ser>
          <c:idx val="5"/>
          <c:order val="1"/>
          <c:tx>
            <c:v>BLow</c:v>
          </c:tx>
          <c:spPr>
            <a:solidFill>
              <a:schemeClr val="bg1"/>
            </a:solidFill>
            <a:ln w="25400">
              <a:noFill/>
            </a:ln>
            <a:effectLst/>
          </c:spPr>
          <c:val>
            <c:numRef>
              <c:f>'Full Results Baseline'!$AD$86:$AW$86</c:f>
              <c:numCache>
                <c:formatCode>0</c:formatCode>
                <c:ptCount val="20"/>
                <c:pt idx="0">
                  <c:v>31663.657666836552</c:v>
                </c:pt>
                <c:pt idx="1">
                  <c:v>86085.554400432942</c:v>
                </c:pt>
                <c:pt idx="2">
                  <c:v>0</c:v>
                </c:pt>
                <c:pt idx="3">
                  <c:v>22267.867163939125</c:v>
                </c:pt>
                <c:pt idx="4">
                  <c:v>18709.201706165102</c:v>
                </c:pt>
                <c:pt idx="5">
                  <c:v>0</c:v>
                </c:pt>
                <c:pt idx="6">
                  <c:v>0</c:v>
                </c:pt>
                <c:pt idx="7">
                  <c:v>#N/A</c:v>
                </c:pt>
                <c:pt idx="8">
                  <c:v>0</c:v>
                </c:pt>
                <c:pt idx="9">
                  <c:v>0</c:v>
                </c:pt>
                <c:pt idx="10">
                  <c:v>0</c:v>
                </c:pt>
                <c:pt idx="11">
                  <c:v>0</c:v>
                </c:pt>
                <c:pt idx="12">
                  <c:v>0</c:v>
                </c:pt>
                <c:pt idx="13">
                  <c:v>0</c:v>
                </c:pt>
                <c:pt idx="14">
                  <c:v>0</c:v>
                </c:pt>
                <c:pt idx="15">
                  <c:v>0</c:v>
                </c:pt>
                <c:pt idx="16">
                  <c:v>0</c:v>
                </c:pt>
                <c:pt idx="17">
                  <c:v>0</c:v>
                </c:pt>
                <c:pt idx="18">
                  <c:v>0</c:v>
                </c:pt>
                <c:pt idx="19">
                  <c:v>0</c:v>
                </c:pt>
              </c:numCache>
            </c:numRef>
          </c:val>
          <c:extLst>
            <c:ext xmlns:c16="http://schemas.microsoft.com/office/drawing/2014/chart" uri="{C3380CC4-5D6E-409C-BE32-E72D297353CC}">
              <c16:uniqueId val="{00000001-49D7-6E4A-93BC-EF5ADC5382CC}"/>
            </c:ext>
          </c:extLst>
        </c:ser>
        <c:ser>
          <c:idx val="4"/>
          <c:order val="2"/>
          <c:tx>
            <c:v>High</c:v>
          </c:tx>
          <c:spPr>
            <a:solidFill>
              <a:srgbClr val="FF6D67">
                <a:alpha val="25098"/>
              </a:srgbClr>
            </a:solidFill>
            <a:effectLst/>
          </c:spPr>
          <c:cat>
            <c:numRef>
              <c:f>'Full Results Baseline'!$BA$6:$BT$6</c:f>
              <c:numCache>
                <c:formatCode>General</c:formatCode>
                <c:ptCount val="20"/>
                <c:pt idx="0">
                  <c:v>2011</c:v>
                </c:pt>
                <c:pt idx="1">
                  <c:v>2012</c:v>
                </c:pt>
                <c:pt idx="2">
                  <c:v>2013</c:v>
                </c:pt>
                <c:pt idx="3">
                  <c:v>2014</c:v>
                </c:pt>
                <c:pt idx="4">
                  <c:v>2015</c:v>
                </c:pt>
                <c:pt idx="5">
                  <c:v>2016</c:v>
                </c:pt>
                <c:pt idx="6">
                  <c:v>2017</c:v>
                </c:pt>
                <c:pt idx="7">
                  <c:v>2018</c:v>
                </c:pt>
                <c:pt idx="8">
                  <c:v>2019</c:v>
                </c:pt>
                <c:pt idx="9">
                  <c:v>2020</c:v>
                </c:pt>
                <c:pt idx="10">
                  <c:v>2021</c:v>
                </c:pt>
                <c:pt idx="11">
                  <c:v>2022</c:v>
                </c:pt>
                <c:pt idx="12">
                  <c:v>2023</c:v>
                </c:pt>
                <c:pt idx="13">
                  <c:v>2024</c:v>
                </c:pt>
                <c:pt idx="14">
                  <c:v>2025</c:v>
                </c:pt>
                <c:pt idx="15">
                  <c:v>2026</c:v>
                </c:pt>
                <c:pt idx="16">
                  <c:v>2027</c:v>
                </c:pt>
                <c:pt idx="17">
                  <c:v>2028</c:v>
                </c:pt>
                <c:pt idx="18">
                  <c:v>2029</c:v>
                </c:pt>
                <c:pt idx="19">
                  <c:v>2030</c:v>
                </c:pt>
              </c:numCache>
            </c:numRef>
          </c:cat>
          <c:val>
            <c:numRef>
              <c:f>'Full Results'!$BA$86:$BT$86</c:f>
              <c:numCache>
                <c:formatCode>0</c:formatCode>
                <c:ptCount val="20"/>
                <c:pt idx="0">
                  <c:v>69732.00494281709</c:v>
                </c:pt>
                <c:pt idx="1">
                  <c:v>128481.43771828953</c:v>
                </c:pt>
                <c:pt idx="2">
                  <c:v>32106.904431950254</c:v>
                </c:pt>
                <c:pt idx="3">
                  <c:v>58024.095492711058</c:v>
                </c:pt>
                <c:pt idx="4">
                  <c:v>54264.132415896936</c:v>
                </c:pt>
                <c:pt idx="5">
                  <c:v>31499.306330205596</c:v>
                </c:pt>
                <c:pt idx="6">
                  <c:v>33250.124637519577</c:v>
                </c:pt>
                <c:pt idx="7">
                  <c:v>#N/A</c:v>
                </c:pt>
                <c:pt idx="8">
                  <c:v>28590.816608466172</c:v>
                </c:pt>
                <c:pt idx="9">
                  <c:v>28519.333462917792</c:v>
                </c:pt>
                <c:pt idx="10">
                  <c:v>26770.708394012981</c:v>
                </c:pt>
                <c:pt idx="11">
                  <c:v>24905.422103465498</c:v>
                </c:pt>
                <c:pt idx="12">
                  <c:v>22931.770387591965</c:v>
                </c:pt>
                <c:pt idx="13">
                  <c:v>20852.965884141166</c:v>
                </c:pt>
                <c:pt idx="14">
                  <c:v>18671.854965409853</c:v>
                </c:pt>
                <c:pt idx="15">
                  <c:v>16391.539408799785</c:v>
                </c:pt>
                <c:pt idx="16">
                  <c:v>14016.096241657273</c:v>
                </c:pt>
                <c:pt idx="17">
                  <c:v>11550.551463018288</c:v>
                </c:pt>
                <c:pt idx="18">
                  <c:v>9000.6127682533734</c:v>
                </c:pt>
                <c:pt idx="19">
                  <c:v>6371.9325534711297</c:v>
                </c:pt>
              </c:numCache>
            </c:numRef>
          </c:val>
          <c:extLst>
            <c:ext xmlns:c16="http://schemas.microsoft.com/office/drawing/2014/chart" uri="{C3380CC4-5D6E-409C-BE32-E72D297353CC}">
              <c16:uniqueId val="{00000002-49D7-6E4A-93BC-EF5ADC5382CC}"/>
            </c:ext>
          </c:extLst>
        </c:ser>
        <c:ser>
          <c:idx val="1"/>
          <c:order val="3"/>
          <c:tx>
            <c:v>Low</c:v>
          </c:tx>
          <c:spPr>
            <a:solidFill>
              <a:schemeClr val="bg1"/>
            </a:solidFill>
            <a:ln w="25400">
              <a:noFill/>
            </a:ln>
            <a:effectLst/>
          </c:spPr>
          <c:cat>
            <c:numRef>
              <c:f>'Full Results Baseline'!$BA$6:$BT$6</c:f>
              <c:numCache>
                <c:formatCode>General</c:formatCode>
                <c:ptCount val="20"/>
                <c:pt idx="0">
                  <c:v>2011</c:v>
                </c:pt>
                <c:pt idx="1">
                  <c:v>2012</c:v>
                </c:pt>
                <c:pt idx="2">
                  <c:v>2013</c:v>
                </c:pt>
                <c:pt idx="3">
                  <c:v>2014</c:v>
                </c:pt>
                <c:pt idx="4">
                  <c:v>2015</c:v>
                </c:pt>
                <c:pt idx="5">
                  <c:v>2016</c:v>
                </c:pt>
                <c:pt idx="6">
                  <c:v>2017</c:v>
                </c:pt>
                <c:pt idx="7">
                  <c:v>2018</c:v>
                </c:pt>
                <c:pt idx="8">
                  <c:v>2019</c:v>
                </c:pt>
                <c:pt idx="9">
                  <c:v>2020</c:v>
                </c:pt>
                <c:pt idx="10">
                  <c:v>2021</c:v>
                </c:pt>
                <c:pt idx="11">
                  <c:v>2022</c:v>
                </c:pt>
                <c:pt idx="12">
                  <c:v>2023</c:v>
                </c:pt>
                <c:pt idx="13">
                  <c:v>2024</c:v>
                </c:pt>
                <c:pt idx="14">
                  <c:v>2025</c:v>
                </c:pt>
                <c:pt idx="15">
                  <c:v>2026</c:v>
                </c:pt>
                <c:pt idx="16">
                  <c:v>2027</c:v>
                </c:pt>
                <c:pt idx="17">
                  <c:v>2028</c:v>
                </c:pt>
                <c:pt idx="18">
                  <c:v>2029</c:v>
                </c:pt>
                <c:pt idx="19">
                  <c:v>2030</c:v>
                </c:pt>
              </c:numCache>
            </c:numRef>
          </c:cat>
          <c:val>
            <c:numRef>
              <c:f>'Full Results'!$AD$86:$AW$86</c:f>
              <c:numCache>
                <c:formatCode>0</c:formatCode>
                <c:ptCount val="20"/>
                <c:pt idx="0">
                  <c:v>31663.657666836552</c:v>
                </c:pt>
                <c:pt idx="1">
                  <c:v>86085.554400432942</c:v>
                </c:pt>
                <c:pt idx="2">
                  <c:v>0</c:v>
                </c:pt>
                <c:pt idx="3">
                  <c:v>22267.867163939125</c:v>
                </c:pt>
                <c:pt idx="4">
                  <c:v>18709.201706165102</c:v>
                </c:pt>
                <c:pt idx="5">
                  <c:v>0</c:v>
                </c:pt>
                <c:pt idx="6">
                  <c:v>0</c:v>
                </c:pt>
                <c:pt idx="7">
                  <c:v>#N/A</c:v>
                </c:pt>
                <c:pt idx="8">
                  <c:v>0</c:v>
                </c:pt>
                <c:pt idx="9">
                  <c:v>0</c:v>
                </c:pt>
                <c:pt idx="10">
                  <c:v>0</c:v>
                </c:pt>
                <c:pt idx="11">
                  <c:v>0</c:v>
                </c:pt>
                <c:pt idx="12">
                  <c:v>0</c:v>
                </c:pt>
                <c:pt idx="13">
                  <c:v>0</c:v>
                </c:pt>
                <c:pt idx="14">
                  <c:v>0</c:v>
                </c:pt>
                <c:pt idx="15">
                  <c:v>0</c:v>
                </c:pt>
                <c:pt idx="16">
                  <c:v>0</c:v>
                </c:pt>
                <c:pt idx="17">
                  <c:v>0</c:v>
                </c:pt>
                <c:pt idx="18">
                  <c:v>0</c:v>
                </c:pt>
                <c:pt idx="19">
                  <c:v>0</c:v>
                </c:pt>
              </c:numCache>
            </c:numRef>
          </c:val>
          <c:extLst>
            <c:ext xmlns:c16="http://schemas.microsoft.com/office/drawing/2014/chart" uri="{C3380CC4-5D6E-409C-BE32-E72D297353CC}">
              <c16:uniqueId val="{00000003-49D7-6E4A-93BC-EF5ADC5382CC}"/>
            </c:ext>
          </c:extLst>
        </c:ser>
        <c:dLbls>
          <c:showLegendKey val="0"/>
          <c:showVal val="0"/>
          <c:showCatName val="0"/>
          <c:showSerName val="0"/>
          <c:showPercent val="0"/>
          <c:showBubbleSize val="0"/>
        </c:dLbls>
        <c:axId val="2001127360"/>
        <c:axId val="2003684096"/>
      </c:areaChart>
      <c:lineChart>
        <c:grouping val="standard"/>
        <c:varyColors val="0"/>
        <c:ser>
          <c:idx val="2"/>
          <c:order val="4"/>
          <c:tx>
            <c:v>No intervention</c:v>
          </c:tx>
          <c:spPr>
            <a:ln w="38100">
              <a:solidFill>
                <a:schemeClr val="tx1">
                  <a:lumMod val="50000"/>
                  <a:lumOff val="50000"/>
                </a:schemeClr>
              </a:solidFill>
              <a:prstDash val="sysDash"/>
            </a:ln>
          </c:spPr>
          <c:marker>
            <c:symbol val="none"/>
          </c:marker>
          <c:cat>
            <c:numRef>
              <c:f>'Full Results Baseline'!$BA$6:$BT$6</c:f>
              <c:numCache>
                <c:formatCode>General</c:formatCode>
                <c:ptCount val="20"/>
                <c:pt idx="0">
                  <c:v>2011</c:v>
                </c:pt>
                <c:pt idx="1">
                  <c:v>2012</c:v>
                </c:pt>
                <c:pt idx="2">
                  <c:v>2013</c:v>
                </c:pt>
                <c:pt idx="3">
                  <c:v>2014</c:v>
                </c:pt>
                <c:pt idx="4">
                  <c:v>2015</c:v>
                </c:pt>
                <c:pt idx="5">
                  <c:v>2016</c:v>
                </c:pt>
                <c:pt idx="6">
                  <c:v>2017</c:v>
                </c:pt>
                <c:pt idx="7">
                  <c:v>2018</c:v>
                </c:pt>
                <c:pt idx="8">
                  <c:v>2019</c:v>
                </c:pt>
                <c:pt idx="9">
                  <c:v>2020</c:v>
                </c:pt>
                <c:pt idx="10">
                  <c:v>2021</c:v>
                </c:pt>
                <c:pt idx="11">
                  <c:v>2022</c:v>
                </c:pt>
                <c:pt idx="12">
                  <c:v>2023</c:v>
                </c:pt>
                <c:pt idx="13">
                  <c:v>2024</c:v>
                </c:pt>
                <c:pt idx="14">
                  <c:v>2025</c:v>
                </c:pt>
                <c:pt idx="15">
                  <c:v>2026</c:v>
                </c:pt>
                <c:pt idx="16">
                  <c:v>2027</c:v>
                </c:pt>
                <c:pt idx="17">
                  <c:v>2028</c:v>
                </c:pt>
                <c:pt idx="18">
                  <c:v>2029</c:v>
                </c:pt>
                <c:pt idx="19">
                  <c:v>2030</c:v>
                </c:pt>
              </c:numCache>
            </c:numRef>
          </c:cat>
          <c:val>
            <c:numRef>
              <c:f>'Full Results Baseline'!$G$86:$Z$86</c:f>
              <c:numCache>
                <c:formatCode>0</c:formatCode>
                <c:ptCount val="20"/>
                <c:pt idx="0">
                  <c:v>50295.457272985208</c:v>
                </c:pt>
                <c:pt idx="1">
                  <c:v>107053.18172123865</c:v>
                </c:pt>
                <c:pt idx="2">
                  <c:v>14628.95424977816</c:v>
                </c:pt>
                <c:pt idx="3">
                  <c:v>40018.520780499326</c:v>
                </c:pt>
                <c:pt idx="4">
                  <c:v>36332.117502967652</c:v>
                </c:pt>
                <c:pt idx="5">
                  <c:v>14308.965037198586</c:v>
                </c:pt>
                <c:pt idx="6">
                  <c:v>16036.462586527921</c:v>
                </c:pt>
                <c:pt idx="7">
                  <c:v>#N/A</c:v>
                </c:pt>
                <c:pt idx="8">
                  <c:v>13062.549000154952</c:v>
                </c:pt>
                <c:pt idx="9">
                  <c:v>13029.889838851581</c:v>
                </c:pt>
                <c:pt idx="10">
                  <c:v>12988.0086623222</c:v>
                </c:pt>
                <c:pt idx="11">
                  <c:v>12940.123222249484</c:v>
                </c:pt>
                <c:pt idx="12">
                  <c:v>12888.580644465263</c:v>
                </c:pt>
                <c:pt idx="13">
                  <c:v>12833.297430349925</c:v>
                </c:pt>
                <c:pt idx="14">
                  <c:v>12773.773097323714</c:v>
                </c:pt>
                <c:pt idx="15">
                  <c:v>12709.28925177519</c:v>
                </c:pt>
                <c:pt idx="16">
                  <c:v>12639.342356297053</c:v>
                </c:pt>
                <c:pt idx="17">
                  <c:v>12563.769486753466</c:v>
                </c:pt>
                <c:pt idx="18">
                  <c:v>12482.787026762331</c:v>
                </c:pt>
                <c:pt idx="19">
                  <c:v>12396.296203566304</c:v>
                </c:pt>
              </c:numCache>
            </c:numRef>
          </c:val>
          <c:smooth val="0"/>
          <c:extLst>
            <c:ext xmlns:c16="http://schemas.microsoft.com/office/drawing/2014/chart" uri="{C3380CC4-5D6E-409C-BE32-E72D297353CC}">
              <c16:uniqueId val="{00000004-49D7-6E4A-93BC-EF5ADC5382CC}"/>
            </c:ext>
          </c:extLst>
        </c:ser>
        <c:ser>
          <c:idx val="3"/>
          <c:order val="5"/>
          <c:tx>
            <c:v>Intervention</c:v>
          </c:tx>
          <c:spPr>
            <a:ln>
              <a:solidFill>
                <a:srgbClr val="E34123"/>
              </a:solidFill>
            </a:ln>
          </c:spPr>
          <c:marker>
            <c:symbol val="none"/>
          </c:marker>
          <c:cat>
            <c:numRef>
              <c:f>'Full Results Baseline'!$BA$6:$BT$6</c:f>
              <c:numCache>
                <c:formatCode>General</c:formatCode>
                <c:ptCount val="20"/>
                <c:pt idx="0">
                  <c:v>2011</c:v>
                </c:pt>
                <c:pt idx="1">
                  <c:v>2012</c:v>
                </c:pt>
                <c:pt idx="2">
                  <c:v>2013</c:v>
                </c:pt>
                <c:pt idx="3">
                  <c:v>2014</c:v>
                </c:pt>
                <c:pt idx="4">
                  <c:v>2015</c:v>
                </c:pt>
                <c:pt idx="5">
                  <c:v>2016</c:v>
                </c:pt>
                <c:pt idx="6">
                  <c:v>2017</c:v>
                </c:pt>
                <c:pt idx="7">
                  <c:v>2018</c:v>
                </c:pt>
                <c:pt idx="8">
                  <c:v>2019</c:v>
                </c:pt>
                <c:pt idx="9">
                  <c:v>2020</c:v>
                </c:pt>
                <c:pt idx="10">
                  <c:v>2021</c:v>
                </c:pt>
                <c:pt idx="11">
                  <c:v>2022</c:v>
                </c:pt>
                <c:pt idx="12">
                  <c:v>2023</c:v>
                </c:pt>
                <c:pt idx="13">
                  <c:v>2024</c:v>
                </c:pt>
                <c:pt idx="14">
                  <c:v>2025</c:v>
                </c:pt>
                <c:pt idx="15">
                  <c:v>2026</c:v>
                </c:pt>
                <c:pt idx="16">
                  <c:v>2027</c:v>
                </c:pt>
                <c:pt idx="17">
                  <c:v>2028</c:v>
                </c:pt>
                <c:pt idx="18">
                  <c:v>2029</c:v>
                </c:pt>
                <c:pt idx="19">
                  <c:v>2030</c:v>
                </c:pt>
              </c:numCache>
            </c:numRef>
          </c:cat>
          <c:val>
            <c:numRef>
              <c:f>'Full Results'!$G$86:$Z$86</c:f>
              <c:numCache>
                <c:formatCode>0</c:formatCode>
                <c:ptCount val="20"/>
                <c:pt idx="0">
                  <c:v>50295.457272985208</c:v>
                </c:pt>
                <c:pt idx="1">
                  <c:v>107053.18172123865</c:v>
                </c:pt>
                <c:pt idx="2">
                  <c:v>14628.95424977816</c:v>
                </c:pt>
                <c:pt idx="3">
                  <c:v>40018.520780499326</c:v>
                </c:pt>
                <c:pt idx="4">
                  <c:v>36332.117502967652</c:v>
                </c:pt>
                <c:pt idx="5">
                  <c:v>14308.965037198586</c:v>
                </c:pt>
                <c:pt idx="6">
                  <c:v>16036.462586527921</c:v>
                </c:pt>
                <c:pt idx="7">
                  <c:v>#N/A</c:v>
                </c:pt>
                <c:pt idx="8">
                  <c:v>13062.549000154952</c:v>
                </c:pt>
                <c:pt idx="9">
                  <c:v>13029.889838851581</c:v>
                </c:pt>
                <c:pt idx="10">
                  <c:v>12055.813246477777</c:v>
                </c:pt>
                <c:pt idx="11">
                  <c:v>11022.883804062487</c:v>
                </c:pt>
                <c:pt idx="12">
                  <c:v>9935.1341475871905</c:v>
                </c:pt>
                <c:pt idx="13">
                  <c:v>8794.2906814211165</c:v>
                </c:pt>
                <c:pt idx="14">
                  <c:v>7601.9593528199039</c:v>
                </c:pt>
                <c:pt idx="15">
                  <c:v>6359.9260101116006</c:v>
                </c:pt>
                <c:pt idx="16">
                  <c:v>5070.4603582911304</c:v>
                </c:pt>
                <c:pt idx="17">
                  <c:v>3736.2738007038079</c:v>
                </c:pt>
                <c:pt idx="18">
                  <c:v>2360.3643476051948</c:v>
                </c:pt>
                <c:pt idx="19">
                  <c:v>945.75626228206386</c:v>
                </c:pt>
              </c:numCache>
            </c:numRef>
          </c:val>
          <c:smooth val="0"/>
          <c:extLst>
            <c:ext xmlns:c16="http://schemas.microsoft.com/office/drawing/2014/chart" uri="{C3380CC4-5D6E-409C-BE32-E72D297353CC}">
              <c16:uniqueId val="{00000005-49D7-6E4A-93BC-EF5ADC5382CC}"/>
            </c:ext>
          </c:extLst>
        </c:ser>
        <c:dLbls>
          <c:showLegendKey val="0"/>
          <c:showVal val="0"/>
          <c:showCatName val="0"/>
          <c:showSerName val="0"/>
          <c:showPercent val="0"/>
          <c:showBubbleSize val="0"/>
        </c:dLbls>
        <c:marker val="1"/>
        <c:smooth val="0"/>
        <c:axId val="2001127360"/>
        <c:axId val="2003684096"/>
      </c:lineChart>
      <c:catAx>
        <c:axId val="2001127360"/>
        <c:scaling>
          <c:orientation val="minMax"/>
        </c:scaling>
        <c:delete val="0"/>
        <c:axPos val="b"/>
        <c:title>
          <c:tx>
            <c:strRef>
              <c:f>'Figure Legends'!$B$12</c:f>
              <c:strCache>
                <c:ptCount val="1"/>
                <c:pt idx="0">
                  <c:v>Year</c:v>
                </c:pt>
              </c:strCache>
            </c:strRef>
          </c:tx>
          <c:layout>
            <c:manualLayout>
              <c:xMode val="edge"/>
              <c:yMode val="edge"/>
              <c:x val="0.48840670306249601"/>
              <c:y val="0.90998639280854599"/>
            </c:manualLayout>
          </c:layout>
          <c:overlay val="0"/>
          <c:txPr>
            <a:bodyPr/>
            <a:lstStyle/>
            <a:p>
              <a:pPr>
                <a:defRPr sz="1800">
                  <a:latin typeface="Helvetica" charset="0"/>
                  <a:ea typeface="Helvetica" charset="0"/>
                  <a:cs typeface="Helvetica" charset="0"/>
                </a:defRPr>
              </a:pPr>
              <a:endParaRPr lang="en-US"/>
            </a:p>
          </c:txPr>
        </c:title>
        <c:numFmt formatCode="General" sourceLinked="1"/>
        <c:majorTickMark val="out"/>
        <c:minorTickMark val="none"/>
        <c:tickLblPos val="nextTo"/>
        <c:txPr>
          <a:bodyPr rot="-3360000" vert="horz"/>
          <a:lstStyle/>
          <a:p>
            <a:pPr>
              <a:defRPr sz="1200">
                <a:latin typeface="Helvetica"/>
                <a:cs typeface="Helvetica"/>
              </a:defRPr>
            </a:pPr>
            <a:endParaRPr lang="en-US"/>
          </a:p>
        </c:txPr>
        <c:crossAx val="2003684096"/>
        <c:crosses val="autoZero"/>
        <c:auto val="1"/>
        <c:lblAlgn val="ctr"/>
        <c:lblOffset val="100"/>
        <c:noMultiLvlLbl val="0"/>
      </c:catAx>
      <c:valAx>
        <c:axId val="2003684096"/>
        <c:scaling>
          <c:orientation val="minMax"/>
        </c:scaling>
        <c:delete val="0"/>
        <c:axPos val="l"/>
        <c:majorGridlines>
          <c:spPr>
            <a:ln>
              <a:noFill/>
            </a:ln>
          </c:spPr>
        </c:majorGridlines>
        <c:title>
          <c:tx>
            <c:strRef>
              <c:f>'Figure Legends'!$B$11</c:f>
              <c:strCache>
                <c:ptCount val="1"/>
                <c:pt idx="0">
                  <c:v>Case numbers</c:v>
                </c:pt>
              </c:strCache>
            </c:strRef>
          </c:tx>
          <c:layout>
            <c:manualLayout>
              <c:xMode val="edge"/>
              <c:yMode val="edge"/>
              <c:x val="3.2910118996038802E-2"/>
              <c:y val="0.29354362564041198"/>
            </c:manualLayout>
          </c:layout>
          <c:overlay val="0"/>
          <c:txPr>
            <a:bodyPr/>
            <a:lstStyle/>
            <a:p>
              <a:pPr>
                <a:defRPr sz="1800">
                  <a:latin typeface="Helvetica" charset="0"/>
                  <a:ea typeface="Helvetica" charset="0"/>
                  <a:cs typeface="Helvetica" charset="0"/>
                </a:defRPr>
              </a:pPr>
              <a:endParaRPr lang="en-US"/>
            </a:p>
          </c:txPr>
        </c:title>
        <c:numFmt formatCode="0" sourceLinked="1"/>
        <c:majorTickMark val="out"/>
        <c:minorTickMark val="none"/>
        <c:tickLblPos val="nextTo"/>
        <c:txPr>
          <a:bodyPr/>
          <a:lstStyle/>
          <a:p>
            <a:pPr>
              <a:defRPr sz="1200">
                <a:latin typeface="Helvetica"/>
                <a:cs typeface="Helvetica"/>
              </a:defRPr>
            </a:pPr>
            <a:endParaRPr lang="en-US"/>
          </a:p>
        </c:txPr>
        <c:crossAx val="2001127360"/>
        <c:crosses val="autoZero"/>
        <c:crossBetween val="between"/>
      </c:valAx>
    </c:plotArea>
    <c:legend>
      <c:legendPos val="b"/>
      <c:legendEntry>
        <c:idx val="0"/>
        <c:delete val="1"/>
      </c:legendEntry>
      <c:legendEntry>
        <c:idx val="1"/>
        <c:delete val="1"/>
      </c:legendEntry>
      <c:legendEntry>
        <c:idx val="2"/>
        <c:delete val="1"/>
      </c:legendEntry>
      <c:legendEntry>
        <c:idx val="3"/>
        <c:delete val="1"/>
      </c:legendEntry>
      <c:layout>
        <c:manualLayout>
          <c:xMode val="edge"/>
          <c:yMode val="edge"/>
          <c:x val="0.170755047804064"/>
          <c:y val="0.84649434946122404"/>
          <c:w val="0.78306704396389204"/>
          <c:h val="5.4687878581258099E-2"/>
        </c:manualLayout>
      </c:layout>
      <c:overlay val="0"/>
    </c:legend>
    <c:plotVisOnly val="1"/>
    <c:dispBlanksAs val="gap"/>
    <c:showDLblsOverMax val="0"/>
  </c:chart>
  <c:spPr>
    <a:solidFill>
      <a:schemeClr val="bg1"/>
    </a:solidFill>
    <a:ln>
      <a:solidFill>
        <a:srgbClr val="7674CB"/>
      </a:solidFill>
    </a:ln>
  </c:spPr>
  <c:printSettings>
    <c:headerFooter/>
    <c:pageMargins b="1" l="0.75" r="0.75" t="1" header="0.5" footer="0.5"/>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chart" Target="../charts/chart4.xml"/><Relationship Id="rId5" Type="http://schemas.openxmlformats.org/officeDocument/2006/relationships/chart" Target="../charts/chart8.xml"/><Relationship Id="rId4"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editAs="oneCell">
    <xdr:from>
      <xdr:col>1</xdr:col>
      <xdr:colOff>50800</xdr:colOff>
      <xdr:row>26</xdr:row>
      <xdr:rowOff>127000</xdr:rowOff>
    </xdr:from>
    <xdr:to>
      <xdr:col>10</xdr:col>
      <xdr:colOff>38100</xdr:colOff>
      <xdr:row>55</xdr:row>
      <xdr:rowOff>35666</xdr:rowOff>
    </xdr:to>
    <xdr:pic>
      <xdr:nvPicPr>
        <xdr:cNvPr id="2" name="Picture 1">
          <a:extLst>
            <a:ext uri="{FF2B5EF4-FFF2-40B4-BE49-F238E27FC236}">
              <a16:creationId xmlns:a16="http://schemas.microsoft.com/office/drawing/2014/main" id="{F8C4377D-72FC-FF42-B484-F46C58265351}"/>
            </a:ext>
          </a:extLst>
        </xdr:cNvPr>
        <xdr:cNvPicPr>
          <a:picLocks noChangeAspect="1"/>
        </xdr:cNvPicPr>
      </xdr:nvPicPr>
      <xdr:blipFill>
        <a:blip xmlns:r="http://schemas.openxmlformats.org/officeDocument/2006/relationships" r:embed="rId1"/>
        <a:stretch>
          <a:fillRect/>
        </a:stretch>
      </xdr:blipFill>
      <xdr:spPr>
        <a:xfrm>
          <a:off x="685800" y="6248400"/>
          <a:ext cx="8839200" cy="577606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25</xdr:col>
      <xdr:colOff>295346</xdr:colOff>
      <xdr:row>19</xdr:row>
      <xdr:rowOff>206746</xdr:rowOff>
    </xdr:from>
    <xdr:to>
      <xdr:col>32</xdr:col>
      <xdr:colOff>546395</xdr:colOff>
      <xdr:row>42</xdr:row>
      <xdr:rowOff>73837</xdr:rowOff>
    </xdr:to>
    <xdr:graphicFrame macro="">
      <xdr:nvGraphicFramePr>
        <xdr:cNvPr id="2" name="Chart 1">
          <a:extLst>
            <a:ext uri="{FF2B5EF4-FFF2-40B4-BE49-F238E27FC236}">
              <a16:creationId xmlns:a16="http://schemas.microsoft.com/office/drawing/2014/main" id="{00000000-0008-0000-0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33</xdr:col>
      <xdr:colOff>445589</xdr:colOff>
      <xdr:row>19</xdr:row>
      <xdr:rowOff>225148</xdr:rowOff>
    </xdr:from>
    <xdr:to>
      <xdr:col>40</xdr:col>
      <xdr:colOff>208027</xdr:colOff>
      <xdr:row>42</xdr:row>
      <xdr:rowOff>77475</xdr:rowOff>
    </xdr:to>
    <xdr:graphicFrame macro="">
      <xdr:nvGraphicFramePr>
        <xdr:cNvPr id="3" name="Chart 2">
          <a:extLst>
            <a:ext uri="{FF2B5EF4-FFF2-40B4-BE49-F238E27FC236}">
              <a16:creationId xmlns:a16="http://schemas.microsoft.com/office/drawing/2014/main" id="{00000000-0008-0000-02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26</xdr:col>
      <xdr:colOff>369185</xdr:colOff>
      <xdr:row>44</xdr:row>
      <xdr:rowOff>132906</xdr:rowOff>
    </xdr:from>
    <xdr:to>
      <xdr:col>37</xdr:col>
      <xdr:colOff>0</xdr:colOff>
      <xdr:row>62</xdr:row>
      <xdr:rowOff>177799</xdr:rowOff>
    </xdr:to>
    <xdr:graphicFrame macro="">
      <xdr:nvGraphicFramePr>
        <xdr:cNvPr id="4" name="Chart 3">
          <a:extLst>
            <a:ext uri="{FF2B5EF4-FFF2-40B4-BE49-F238E27FC236}">
              <a16:creationId xmlns:a16="http://schemas.microsoft.com/office/drawing/2014/main" id="{00000000-0008-0000-02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4</xdr:col>
      <xdr:colOff>570286</xdr:colOff>
      <xdr:row>61</xdr:row>
      <xdr:rowOff>175384</xdr:rowOff>
    </xdr:from>
    <xdr:to>
      <xdr:col>9</xdr:col>
      <xdr:colOff>489286</xdr:colOff>
      <xdr:row>78</xdr:row>
      <xdr:rowOff>120096</xdr:rowOff>
    </xdr:to>
    <xdr:graphicFrame macro="">
      <xdr:nvGraphicFramePr>
        <xdr:cNvPr id="2" name="Chart 1">
          <a:extLst>
            <a:ext uri="{FF2B5EF4-FFF2-40B4-BE49-F238E27FC236}">
              <a16:creationId xmlns:a16="http://schemas.microsoft.com/office/drawing/2014/main" id="{00000000-0008-0000-05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1011619</xdr:colOff>
      <xdr:row>108</xdr:row>
      <xdr:rowOff>145142</xdr:rowOff>
    </xdr:from>
    <xdr:to>
      <xdr:col>9</xdr:col>
      <xdr:colOff>671286</xdr:colOff>
      <xdr:row>123</xdr:row>
      <xdr:rowOff>598714</xdr:rowOff>
    </xdr:to>
    <xdr:graphicFrame macro="">
      <xdr:nvGraphicFramePr>
        <xdr:cNvPr id="4" name="Chart 3">
          <a:extLst>
            <a:ext uri="{FF2B5EF4-FFF2-40B4-BE49-F238E27FC236}">
              <a16:creationId xmlns:a16="http://schemas.microsoft.com/office/drawing/2014/main" id="{00000000-0008-0000-05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326572</xdr:colOff>
      <xdr:row>82</xdr:row>
      <xdr:rowOff>208197</xdr:rowOff>
    </xdr:from>
    <xdr:to>
      <xdr:col>9</xdr:col>
      <xdr:colOff>437213</xdr:colOff>
      <xdr:row>96</xdr:row>
      <xdr:rowOff>35428</xdr:rowOff>
    </xdr:to>
    <xdr:graphicFrame macro="">
      <xdr:nvGraphicFramePr>
        <xdr:cNvPr id="6" name="Chart 5">
          <a:extLst>
            <a:ext uri="{FF2B5EF4-FFF2-40B4-BE49-F238E27FC236}">
              <a16:creationId xmlns:a16="http://schemas.microsoft.com/office/drawing/2014/main" id="{00000000-0008-0000-05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14</xdr:col>
      <xdr:colOff>304431</xdr:colOff>
      <xdr:row>34</xdr:row>
      <xdr:rowOff>0</xdr:rowOff>
    </xdr:from>
    <xdr:to>
      <xdr:col>17</xdr:col>
      <xdr:colOff>1006346</xdr:colOff>
      <xdr:row>50</xdr:row>
      <xdr:rowOff>91794</xdr:rowOff>
    </xdr:to>
    <xdr:graphicFrame macro="">
      <xdr:nvGraphicFramePr>
        <xdr:cNvPr id="10" name="Chart 9">
          <a:extLst>
            <a:ext uri="{FF2B5EF4-FFF2-40B4-BE49-F238E27FC236}">
              <a16:creationId xmlns:a16="http://schemas.microsoft.com/office/drawing/2014/main" id="{00000000-0008-0000-05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17</xdr:col>
      <xdr:colOff>1185333</xdr:colOff>
      <xdr:row>34</xdr:row>
      <xdr:rowOff>1</xdr:rowOff>
    </xdr:from>
    <xdr:to>
      <xdr:col>24</xdr:col>
      <xdr:colOff>651115</xdr:colOff>
      <xdr:row>50</xdr:row>
      <xdr:rowOff>91795</xdr:rowOff>
    </xdr:to>
    <xdr:graphicFrame macro="">
      <xdr:nvGraphicFramePr>
        <xdr:cNvPr id="11" name="Chart 10">
          <a:extLst>
            <a:ext uri="{FF2B5EF4-FFF2-40B4-BE49-F238E27FC236}">
              <a16:creationId xmlns:a16="http://schemas.microsoft.com/office/drawing/2014/main" id="{00000000-0008-0000-05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theme/theme1.xml><?xml version="1.0" encoding="utf-8"?>
<a:theme xmlns:a="http://schemas.openxmlformats.org/drawingml/2006/main" name="Office Theme">
  <a:themeElements>
    <a:clrScheme name="Habitat">
      <a:dk1>
        <a:sysClr val="windowText" lastClr="000000"/>
      </a:dk1>
      <a:lt1>
        <a:sysClr val="window" lastClr="FFFFFF"/>
      </a:lt1>
      <a:dk2>
        <a:srgbClr val="194431"/>
      </a:dk2>
      <a:lt2>
        <a:srgbClr val="F0E6C3"/>
      </a:lt2>
      <a:accent1>
        <a:srgbClr val="F8C000"/>
      </a:accent1>
      <a:accent2>
        <a:srgbClr val="F88600"/>
      </a:accent2>
      <a:accent3>
        <a:srgbClr val="F83500"/>
      </a:accent3>
      <a:accent4>
        <a:srgbClr val="8B723D"/>
      </a:accent4>
      <a:accent5>
        <a:srgbClr val="818B3D"/>
      </a:accent5>
      <a:accent6>
        <a:srgbClr val="586215"/>
      </a:accent6>
      <a:hlink>
        <a:srgbClr val="FF621D"/>
      </a:hlink>
      <a:folHlink>
        <a:srgbClr val="F3D26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mailto:mdt7@cdc.gov" TargetMode="External"/><Relationship Id="rId1" Type="http://schemas.openxmlformats.org/officeDocument/2006/relationships/hyperlink" Target="mailto:katie.heath@burnet.edu.au" TargetMode="Externa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L168"/>
  <sheetViews>
    <sheetView showGridLines="0" tabSelected="1" zoomScaleNormal="67" workbookViewId="0">
      <selection activeCell="E4" sqref="E4:F4"/>
    </sheetView>
  </sheetViews>
  <sheetFormatPr baseColWidth="10" defaultColWidth="11" defaultRowHeight="13"/>
  <cols>
    <col min="1" max="1" width="8.33203125" style="468" customWidth="1"/>
    <col min="2" max="2" width="23" customWidth="1"/>
    <col min="3" max="3" width="23.83203125" customWidth="1"/>
    <col min="4" max="4" width="2.1640625" customWidth="1"/>
    <col min="9" max="9" width="12.1640625" customWidth="1"/>
    <col min="12" max="12" width="11" style="461"/>
  </cols>
  <sheetData>
    <row r="1" spans="1:8">
      <c r="A1" s="468" t="s">
        <v>378</v>
      </c>
      <c r="B1" s="436"/>
    </row>
    <row r="2" spans="1:8" ht="14" thickBot="1">
      <c r="A2" s="468" t="s">
        <v>379</v>
      </c>
      <c r="B2" s="436"/>
    </row>
    <row r="3" spans="1:8" ht="14" thickBot="1">
      <c r="A3" s="468" t="s">
        <v>380</v>
      </c>
      <c r="B3" s="453"/>
      <c r="C3" s="454"/>
      <c r="D3" s="454"/>
      <c r="E3" s="454"/>
      <c r="F3" s="454"/>
      <c r="G3" s="455"/>
    </row>
    <row r="4" spans="1:8" ht="33" thickTop="1" thickBot="1">
      <c r="B4" s="456"/>
      <c r="C4" s="463" t="s">
        <v>395</v>
      </c>
      <c r="D4" s="462"/>
      <c r="E4" s="791" t="s">
        <v>378</v>
      </c>
      <c r="F4" s="792"/>
      <c r="G4" s="457"/>
    </row>
    <row r="5" spans="1:8" ht="15" thickTop="1" thickBot="1">
      <c r="B5" s="458"/>
      <c r="C5" s="459"/>
      <c r="D5" s="459"/>
      <c r="E5" s="459"/>
      <c r="F5" s="459"/>
      <c r="G5" s="460"/>
    </row>
    <row r="7" spans="1:8" ht="39">
      <c r="B7" s="53" t="str">
        <f ca="1">INDIRECT("'"&amp;Cover!$E$4&amp;"'!"&amp;CELL("address",B6))</f>
        <v>Syphilis estimation tool</v>
      </c>
    </row>
    <row r="8" spans="1:8" ht="14">
      <c r="B8" s="38"/>
      <c r="C8" s="38"/>
      <c r="D8" s="38"/>
      <c r="E8" s="38"/>
      <c r="F8" s="38"/>
      <c r="G8" s="38"/>
    </row>
    <row r="9" spans="1:8" ht="16">
      <c r="B9" s="52" t="str">
        <f ca="1">INDIRECT("'"&amp;Cover!$E$4&amp;"'!"&amp;CELL("address",B7))</f>
        <v>This tool was developed for the WHO by Ms. Katherine Heath[1] and Dr Melanie Taylor[2].</v>
      </c>
      <c r="C9" s="17"/>
      <c r="D9" s="17"/>
      <c r="E9" s="38"/>
      <c r="F9" s="38"/>
      <c r="G9" s="38"/>
    </row>
    <row r="10" spans="1:8" ht="15" customHeight="1">
      <c r="B10" s="52"/>
      <c r="C10" s="95" t="s">
        <v>899</v>
      </c>
      <c r="D10" s="95"/>
      <c r="E10" s="38"/>
      <c r="F10" s="38"/>
      <c r="G10" s="38"/>
    </row>
    <row r="11" spans="1:8" ht="15" customHeight="1">
      <c r="B11" s="52"/>
      <c r="C11" s="95" t="s">
        <v>383</v>
      </c>
      <c r="D11" s="95"/>
      <c r="E11" s="38"/>
      <c r="F11" s="38"/>
      <c r="G11" s="38"/>
    </row>
    <row r="12" spans="1:8" ht="13" customHeight="1">
      <c r="A12" s="468" t="s">
        <v>16</v>
      </c>
      <c r="B12" s="52"/>
      <c r="D12" s="95"/>
      <c r="E12" s="38"/>
      <c r="F12" s="38"/>
      <c r="G12" s="38"/>
    </row>
    <row r="13" spans="1:8" ht="16" customHeight="1">
      <c r="B13" s="52"/>
      <c r="C13" s="95"/>
      <c r="D13" s="95"/>
      <c r="E13" s="38"/>
      <c r="F13" s="38"/>
      <c r="G13" s="38"/>
    </row>
    <row r="14" spans="1:8" ht="19">
      <c r="B14" s="784" t="str">
        <f ca="1">INDIRECT("'"&amp;Cover!$E$4&amp;"'!"&amp;CELL("address",B9))</f>
        <v>Version</v>
      </c>
      <c r="C14" s="785" t="s">
        <v>956</v>
      </c>
      <c r="D14" s="17"/>
      <c r="E14" s="38"/>
      <c r="F14" s="38"/>
      <c r="G14" s="38"/>
    </row>
    <row r="15" spans="1:8" ht="21" customHeight="1">
      <c r="B15" s="52"/>
      <c r="C15" s="437"/>
      <c r="D15" s="17"/>
      <c r="E15" s="38"/>
      <c r="F15" s="38"/>
      <c r="G15" s="38"/>
    </row>
    <row r="16" spans="1:8" ht="14">
      <c r="A16" s="469"/>
      <c r="B16" s="43"/>
      <c r="C16" s="43"/>
      <c r="D16" s="43"/>
      <c r="E16" s="43"/>
      <c r="F16" s="43"/>
      <c r="G16" s="43"/>
      <c r="H16" s="48"/>
    </row>
    <row r="17" spans="1:12" ht="19">
      <c r="A17" s="469"/>
      <c r="B17" s="44" t="str">
        <f ca="1">INDIRECT("'"&amp;Cover!$E$4&amp;"'!"&amp;CELL("address",B8))</f>
        <v>Contact information</v>
      </c>
      <c r="C17" s="39"/>
      <c r="D17" s="39"/>
      <c r="E17" s="40"/>
      <c r="F17" s="40"/>
      <c r="G17" s="40"/>
      <c r="H17" s="48"/>
    </row>
    <row r="18" spans="1:12" ht="19">
      <c r="A18" s="469"/>
      <c r="B18" s="45"/>
      <c r="C18" s="51" t="s">
        <v>895</v>
      </c>
      <c r="D18" s="51"/>
      <c r="E18" s="106" t="s">
        <v>896</v>
      </c>
      <c r="F18" s="49"/>
      <c r="G18" s="47"/>
      <c r="H18" s="48"/>
    </row>
    <row r="19" spans="1:12" ht="19">
      <c r="A19" s="469"/>
      <c r="B19" s="45"/>
      <c r="C19" t="s">
        <v>894</v>
      </c>
      <c r="E19" s="322" t="s">
        <v>897</v>
      </c>
      <c r="F19" s="49"/>
      <c r="G19" s="47"/>
      <c r="H19" s="48"/>
    </row>
    <row r="20" spans="1:12" ht="16">
      <c r="A20" s="469"/>
      <c r="B20" s="40"/>
      <c r="F20" s="49"/>
      <c r="G20" s="40"/>
    </row>
    <row r="21" spans="1:12" ht="16">
      <c r="A21" s="469"/>
      <c r="B21" s="40"/>
      <c r="C21" s="46"/>
      <c r="D21" s="46"/>
      <c r="E21" s="106"/>
      <c r="F21" s="49"/>
      <c r="G21" s="40"/>
    </row>
    <row r="22" spans="1:12" ht="16">
      <c r="A22" s="469"/>
      <c r="B22" s="40"/>
      <c r="C22" s="51"/>
      <c r="D22" s="51"/>
      <c r="E22" s="49"/>
      <c r="F22" s="49"/>
      <c r="G22" s="40"/>
      <c r="H22" s="48"/>
      <c r="L22" s="464"/>
    </row>
    <row r="23" spans="1:12" ht="19">
      <c r="A23" s="469"/>
      <c r="B23" s="44" t="str">
        <f ca="1">INDIRECT("'"&amp;Cover!$E$4&amp;"'!"&amp;CELL("address",B10))</f>
        <v>Purpose of this tool</v>
      </c>
      <c r="C23" s="39"/>
      <c r="D23" s="39"/>
      <c r="E23" s="40"/>
      <c r="F23" s="40"/>
      <c r="G23" s="40"/>
      <c r="H23" s="48"/>
      <c r="L23" s="465"/>
    </row>
    <row r="24" spans="1:12" ht="42" customHeight="1">
      <c r="B24" s="790" t="str">
        <f ca="1">INDIRECT("'"&amp;Cover!$E$4&amp;"'!"&amp;CELL("address",B11))</f>
        <v>This tool is designed to predict the case rates of congenital syphilis over a ten year time horizon. This tool uses user-inputted testing and treatment parameters to assess the effects of intervention scale-up upon birth outcomes</v>
      </c>
      <c r="C24" s="790"/>
      <c r="D24" s="790"/>
      <c r="E24" s="790"/>
      <c r="F24" s="790"/>
      <c r="G24" s="790"/>
      <c r="H24" s="790"/>
      <c r="I24" s="790"/>
      <c r="J24" s="790"/>
    </row>
    <row r="25" spans="1:12" ht="16">
      <c r="B25" s="40"/>
      <c r="C25" s="50"/>
      <c r="D25" s="50"/>
      <c r="E25" s="41"/>
      <c r="F25" s="41"/>
      <c r="G25" s="41"/>
    </row>
    <row r="26" spans="1:12" ht="16">
      <c r="B26" s="40"/>
      <c r="C26" s="332" t="str">
        <f ca="1">INDIRECT("'"&amp;Cover!$E$4&amp;"'!"&amp;CELL("address",B12))</f>
        <v>Countries covered by the congenital syphilis estimation tool</v>
      </c>
      <c r="D26" s="50"/>
      <c r="E26" s="41"/>
      <c r="F26" s="41"/>
      <c r="G26" s="41"/>
    </row>
    <row r="27" spans="1:12" ht="16">
      <c r="B27" s="40"/>
      <c r="C27" s="50"/>
      <c r="D27" s="50"/>
      <c r="E27" s="41"/>
      <c r="F27" s="41"/>
      <c r="G27" s="41"/>
    </row>
    <row r="28" spans="1:12" ht="16">
      <c r="B28" s="40"/>
      <c r="C28" s="50"/>
      <c r="D28" s="50"/>
      <c r="E28" s="41"/>
      <c r="F28" s="41"/>
      <c r="G28" s="41"/>
    </row>
    <row r="29" spans="1:12" ht="16">
      <c r="B29" s="40"/>
      <c r="C29" s="50"/>
      <c r="D29" s="50"/>
      <c r="E29" s="41"/>
      <c r="F29" s="41"/>
      <c r="G29" s="41"/>
    </row>
    <row r="30" spans="1:12" ht="16">
      <c r="B30" s="40"/>
      <c r="C30" s="50"/>
      <c r="D30" s="50"/>
      <c r="E30" s="41"/>
      <c r="F30" s="41"/>
      <c r="G30" s="41"/>
    </row>
    <row r="31" spans="1:12" ht="16">
      <c r="B31" s="40"/>
      <c r="C31" s="50"/>
      <c r="D31" s="50"/>
      <c r="E31" s="41"/>
      <c r="F31" s="41"/>
      <c r="G31" s="41"/>
    </row>
    <row r="32" spans="1:12" ht="16">
      <c r="B32" s="40"/>
      <c r="C32" s="50"/>
      <c r="D32" s="50"/>
      <c r="E32" s="41"/>
      <c r="F32" s="41"/>
      <c r="G32" s="41"/>
    </row>
    <row r="33" spans="2:7" ht="16">
      <c r="B33" s="40"/>
      <c r="C33" s="50"/>
      <c r="D33" s="50"/>
      <c r="E33" s="41"/>
      <c r="F33" s="41"/>
      <c r="G33" s="41"/>
    </row>
    <row r="34" spans="2:7" ht="16">
      <c r="B34" s="40"/>
      <c r="C34" s="50"/>
      <c r="D34" s="50"/>
      <c r="E34" s="41"/>
      <c r="F34" s="41"/>
      <c r="G34" s="41"/>
    </row>
    <row r="35" spans="2:7" ht="16">
      <c r="B35" s="40"/>
      <c r="C35" s="50"/>
      <c r="D35" s="50"/>
      <c r="E35" s="41"/>
      <c r="F35" s="41"/>
      <c r="G35" s="41"/>
    </row>
    <row r="36" spans="2:7" ht="16">
      <c r="B36" s="40"/>
      <c r="C36" s="50"/>
      <c r="D36" s="50"/>
      <c r="E36" s="41"/>
      <c r="F36" s="41"/>
      <c r="G36" s="41"/>
    </row>
    <row r="37" spans="2:7" ht="16">
      <c r="B37" s="40"/>
      <c r="C37" s="50"/>
      <c r="D37" s="50"/>
      <c r="E37" s="41"/>
      <c r="F37" s="41"/>
      <c r="G37" s="41"/>
    </row>
    <row r="38" spans="2:7" ht="16">
      <c r="B38" s="40"/>
      <c r="C38" s="50"/>
      <c r="D38" s="50"/>
      <c r="E38" s="41"/>
      <c r="F38" s="41"/>
      <c r="G38" s="41"/>
    </row>
    <row r="39" spans="2:7" ht="16">
      <c r="B39" s="40"/>
      <c r="C39" s="50"/>
      <c r="D39" s="50"/>
      <c r="E39" s="41"/>
      <c r="F39" s="41"/>
      <c r="G39" s="41"/>
    </row>
    <row r="40" spans="2:7" ht="16">
      <c r="B40" s="40"/>
      <c r="C40" s="50"/>
      <c r="D40" s="50"/>
      <c r="E40" s="41"/>
      <c r="F40" s="41"/>
      <c r="G40" s="41"/>
    </row>
    <row r="41" spans="2:7" ht="16">
      <c r="B41" s="40"/>
      <c r="C41" s="50"/>
      <c r="D41" s="50"/>
      <c r="E41" s="41"/>
      <c r="F41" s="41"/>
      <c r="G41" s="41"/>
    </row>
    <row r="42" spans="2:7" ht="16">
      <c r="B42" s="40"/>
      <c r="C42" s="50"/>
      <c r="D42" s="50"/>
      <c r="E42" s="41"/>
      <c r="F42" s="41"/>
      <c r="G42" s="41"/>
    </row>
    <row r="43" spans="2:7" ht="16">
      <c r="B43" s="40"/>
      <c r="C43" s="50"/>
      <c r="D43" s="50"/>
      <c r="E43" s="41"/>
      <c r="F43" s="41"/>
      <c r="G43" s="41"/>
    </row>
    <row r="44" spans="2:7" ht="16">
      <c r="B44" s="40"/>
      <c r="C44" s="50"/>
      <c r="D44" s="50"/>
      <c r="E44" s="41"/>
      <c r="F44" s="41"/>
      <c r="G44" s="41"/>
    </row>
    <row r="45" spans="2:7" ht="16">
      <c r="B45" s="40"/>
      <c r="C45" s="50"/>
      <c r="D45" s="50"/>
      <c r="E45" s="41"/>
      <c r="F45" s="41"/>
      <c r="G45" s="41"/>
    </row>
    <row r="46" spans="2:7" ht="16">
      <c r="B46" s="40"/>
      <c r="C46" s="50"/>
      <c r="D46" s="50"/>
      <c r="E46" s="41"/>
      <c r="F46" s="41"/>
      <c r="G46" s="41"/>
    </row>
    <row r="47" spans="2:7" ht="16">
      <c r="B47" s="40"/>
      <c r="C47" s="50"/>
      <c r="D47" s="50"/>
      <c r="E47" s="41"/>
      <c r="F47" s="41"/>
      <c r="G47" s="41"/>
    </row>
    <row r="48" spans="2:7" ht="16">
      <c r="B48" s="40"/>
      <c r="C48" s="50"/>
      <c r="D48" s="50"/>
      <c r="E48" s="41"/>
      <c r="F48" s="41"/>
      <c r="G48" s="41"/>
    </row>
    <row r="49" spans="2:12" ht="16">
      <c r="B49" s="40"/>
      <c r="C49" s="50"/>
      <c r="D49" s="50"/>
      <c r="E49" s="41"/>
      <c r="F49" s="41"/>
      <c r="G49" s="41"/>
    </row>
    <row r="50" spans="2:12" ht="16">
      <c r="B50" s="40"/>
      <c r="C50" s="50"/>
      <c r="D50" s="50"/>
      <c r="E50" s="41"/>
      <c r="F50" s="41"/>
      <c r="G50" s="41"/>
    </row>
    <row r="51" spans="2:12" ht="16">
      <c r="B51" s="40"/>
      <c r="C51" s="50"/>
      <c r="D51" s="50"/>
      <c r="E51" s="41"/>
      <c r="F51" s="41"/>
      <c r="G51" s="41"/>
    </row>
    <row r="52" spans="2:12" ht="16">
      <c r="B52" s="40"/>
      <c r="C52" s="50"/>
      <c r="D52" s="50"/>
      <c r="E52" s="41"/>
      <c r="F52" s="41"/>
      <c r="G52" s="41"/>
    </row>
    <row r="53" spans="2:12" ht="16">
      <c r="B53" s="40"/>
      <c r="C53" s="50"/>
      <c r="D53" s="50"/>
      <c r="E53" s="41"/>
      <c r="F53" s="41"/>
      <c r="G53" s="41"/>
    </row>
    <row r="54" spans="2:12" ht="15">
      <c r="B54" s="40"/>
      <c r="C54" s="42"/>
      <c r="D54" s="42"/>
      <c r="E54" s="41"/>
      <c r="F54" s="41"/>
      <c r="G54" s="41"/>
    </row>
    <row r="55" spans="2:12" ht="15">
      <c r="B55" s="40"/>
      <c r="C55" s="42"/>
      <c r="D55" s="42"/>
      <c r="E55" s="41"/>
      <c r="F55" s="41"/>
      <c r="G55" s="41"/>
    </row>
    <row r="56" spans="2:12" ht="14">
      <c r="B56" s="40"/>
      <c r="C56" s="40"/>
      <c r="D56" s="40"/>
      <c r="E56" s="40"/>
      <c r="F56" s="40"/>
      <c r="G56" s="40"/>
    </row>
    <row r="57" spans="2:12" ht="19">
      <c r="B57" s="44" t="str">
        <f ca="1">INDIRECT("'"&amp;Cover!$E$4&amp;"'!"&amp;CELL("address",B13))</f>
        <v>Version control</v>
      </c>
      <c r="C57" s="39"/>
      <c r="D57" s="39"/>
      <c r="E57" s="40"/>
      <c r="F57" s="40"/>
      <c r="G57" s="40"/>
      <c r="J57" s="56" t="s">
        <v>4</v>
      </c>
    </row>
    <row r="58" spans="2:12" ht="19">
      <c r="B58" s="44"/>
      <c r="C58" s="39"/>
      <c r="D58" s="39"/>
      <c r="E58" s="40"/>
      <c r="F58" s="40"/>
      <c r="G58" s="40"/>
      <c r="J58" s="56"/>
    </row>
    <row r="59" spans="2:12" ht="19">
      <c r="B59" s="44"/>
      <c r="C59" s="503" t="s">
        <v>954</v>
      </c>
      <c r="D59" s="196" t="s">
        <v>40</v>
      </c>
      <c r="E59" s="333" t="s">
        <v>955</v>
      </c>
      <c r="F59" s="333"/>
      <c r="G59" s="333"/>
      <c r="H59" s="488"/>
      <c r="I59" s="488"/>
      <c r="J59" s="778" t="s">
        <v>14</v>
      </c>
    </row>
    <row r="60" spans="2:12" ht="16">
      <c r="B60" s="770"/>
      <c r="C60" s="769" t="s">
        <v>943</v>
      </c>
      <c r="D60" s="39" t="s">
        <v>40</v>
      </c>
      <c r="E60" s="50" t="s">
        <v>946</v>
      </c>
      <c r="F60" s="50"/>
      <c r="G60" s="50"/>
      <c r="H60" s="104"/>
      <c r="I60" s="104"/>
      <c r="J60" s="777" t="s">
        <v>14</v>
      </c>
      <c r="K60" s="104"/>
      <c r="L60" s="771"/>
    </row>
    <row r="61" spans="2:12" ht="16">
      <c r="B61" s="770"/>
      <c r="C61" s="769"/>
      <c r="D61" s="39" t="s">
        <v>40</v>
      </c>
      <c r="E61" s="17" t="s">
        <v>945</v>
      </c>
      <c r="F61" s="50"/>
      <c r="G61" s="50"/>
      <c r="H61" s="104"/>
      <c r="I61" s="104"/>
      <c r="J61" s="777" t="s">
        <v>14</v>
      </c>
      <c r="K61" s="104"/>
      <c r="L61" s="771"/>
    </row>
    <row r="62" spans="2:12" ht="16">
      <c r="B62" s="770"/>
      <c r="C62" s="104"/>
      <c r="D62" s="39" t="s">
        <v>40</v>
      </c>
      <c r="E62" s="17" t="s">
        <v>944</v>
      </c>
      <c r="F62" s="50"/>
      <c r="G62" s="50"/>
      <c r="H62" s="104"/>
      <c r="I62" s="104"/>
      <c r="J62" s="777" t="s">
        <v>14</v>
      </c>
      <c r="K62" s="104"/>
      <c r="L62" s="771"/>
    </row>
    <row r="63" spans="2:12" ht="16">
      <c r="B63" s="770"/>
      <c r="C63" s="503"/>
      <c r="D63" s="196" t="s">
        <v>40</v>
      </c>
      <c r="E63" s="333" t="s">
        <v>898</v>
      </c>
      <c r="F63" s="333"/>
      <c r="G63" s="333"/>
      <c r="H63" s="488"/>
      <c r="I63" s="488"/>
      <c r="J63" s="778" t="s">
        <v>14</v>
      </c>
      <c r="K63" s="104"/>
      <c r="L63" s="771"/>
    </row>
    <row r="64" spans="2:12" ht="16">
      <c r="B64" s="770"/>
      <c r="C64" s="503" t="s">
        <v>892</v>
      </c>
      <c r="D64" s="196" t="s">
        <v>40</v>
      </c>
      <c r="E64" s="333" t="s">
        <v>898</v>
      </c>
      <c r="F64" s="333"/>
      <c r="G64" s="333"/>
      <c r="H64" s="488"/>
      <c r="I64" s="488"/>
      <c r="J64" s="778" t="s">
        <v>14</v>
      </c>
      <c r="K64" s="104"/>
      <c r="L64" s="771"/>
    </row>
    <row r="65" spans="2:12" ht="16">
      <c r="B65" s="770"/>
      <c r="C65" s="503" t="s">
        <v>892</v>
      </c>
      <c r="D65" s="196" t="s">
        <v>40</v>
      </c>
      <c r="E65" s="333" t="s">
        <v>893</v>
      </c>
      <c r="F65" s="333"/>
      <c r="G65" s="333"/>
      <c r="H65" s="488"/>
      <c r="I65" s="488"/>
      <c r="J65" s="778" t="s">
        <v>14</v>
      </c>
      <c r="K65" s="104"/>
      <c r="L65" s="771"/>
    </row>
    <row r="66" spans="2:12" ht="16">
      <c r="B66" s="770"/>
      <c r="C66" s="503" t="s">
        <v>869</v>
      </c>
      <c r="D66" s="196" t="s">
        <v>40</v>
      </c>
      <c r="E66" s="333" t="s">
        <v>870</v>
      </c>
      <c r="F66" s="333"/>
      <c r="G66" s="333"/>
      <c r="H66" s="488"/>
      <c r="I66" s="488"/>
      <c r="J66" s="778" t="s">
        <v>14</v>
      </c>
      <c r="K66" s="104"/>
      <c r="L66" s="771"/>
    </row>
    <row r="67" spans="2:12" ht="16">
      <c r="B67" s="770"/>
      <c r="C67" s="503" t="s">
        <v>867</v>
      </c>
      <c r="D67" s="196" t="s">
        <v>40</v>
      </c>
      <c r="E67" s="333" t="s">
        <v>868</v>
      </c>
      <c r="F67" s="333"/>
      <c r="G67" s="333"/>
      <c r="H67" s="488"/>
      <c r="I67" s="488"/>
      <c r="J67" s="778" t="s">
        <v>14</v>
      </c>
      <c r="K67" s="104"/>
      <c r="L67" s="771"/>
    </row>
    <row r="68" spans="2:12" ht="16">
      <c r="B68" s="770"/>
      <c r="C68" s="503" t="s">
        <v>836</v>
      </c>
      <c r="D68" s="196" t="s">
        <v>40</v>
      </c>
      <c r="E68" s="333" t="s">
        <v>864</v>
      </c>
      <c r="F68" s="333"/>
      <c r="G68" s="333"/>
      <c r="H68" s="488"/>
      <c r="I68" s="488"/>
      <c r="J68" s="778" t="s">
        <v>14</v>
      </c>
      <c r="K68" s="104"/>
      <c r="L68" s="771"/>
    </row>
    <row r="69" spans="2:12" ht="16">
      <c r="B69" s="770"/>
      <c r="C69" s="502" t="s">
        <v>836</v>
      </c>
      <c r="D69" s="58" t="s">
        <v>40</v>
      </c>
      <c r="E69" s="50" t="s">
        <v>841</v>
      </c>
      <c r="F69" s="50"/>
      <c r="G69" s="50"/>
      <c r="H69" s="104"/>
      <c r="I69" s="104"/>
      <c r="J69" s="777" t="s">
        <v>14</v>
      </c>
      <c r="K69" s="104"/>
      <c r="L69" s="771"/>
    </row>
    <row r="70" spans="2:12" ht="16">
      <c r="B70" s="770"/>
      <c r="C70" s="502"/>
      <c r="D70" s="58" t="s">
        <v>40</v>
      </c>
      <c r="E70" s="50" t="s">
        <v>861</v>
      </c>
      <c r="F70" s="50"/>
      <c r="G70" s="50"/>
      <c r="H70" s="104"/>
      <c r="I70" s="104"/>
      <c r="J70" s="777"/>
      <c r="K70" s="104"/>
      <c r="L70" s="771"/>
    </row>
    <row r="71" spans="2:12" ht="16">
      <c r="B71" s="770"/>
      <c r="C71" s="503"/>
      <c r="D71" s="196" t="s">
        <v>40</v>
      </c>
      <c r="E71" s="333" t="s">
        <v>845</v>
      </c>
      <c r="F71" s="333"/>
      <c r="G71" s="333"/>
      <c r="H71" s="488"/>
      <c r="I71" s="488"/>
      <c r="J71" s="778"/>
      <c r="K71" s="104"/>
      <c r="L71" s="771"/>
    </row>
    <row r="72" spans="2:12" ht="16">
      <c r="B72" s="770"/>
      <c r="C72" s="503" t="s">
        <v>839</v>
      </c>
      <c r="D72" s="196" t="s">
        <v>40</v>
      </c>
      <c r="E72" s="333" t="s">
        <v>840</v>
      </c>
      <c r="F72" s="333"/>
      <c r="G72" s="333"/>
      <c r="H72" s="488"/>
      <c r="I72" s="488"/>
      <c r="J72" s="778" t="s">
        <v>14</v>
      </c>
      <c r="K72" s="104"/>
      <c r="L72" s="771"/>
    </row>
    <row r="73" spans="2:12" ht="16">
      <c r="B73" s="770"/>
      <c r="C73" s="502" t="s">
        <v>833</v>
      </c>
      <c r="D73" s="58" t="s">
        <v>40</v>
      </c>
      <c r="E73" s="50" t="s">
        <v>837</v>
      </c>
      <c r="F73" s="50"/>
      <c r="G73" s="50"/>
      <c r="H73" s="104"/>
      <c r="I73" s="104"/>
      <c r="J73" s="774" t="s">
        <v>14</v>
      </c>
      <c r="K73" s="104"/>
      <c r="L73" s="771"/>
    </row>
    <row r="74" spans="2:12" ht="16">
      <c r="B74" s="770"/>
      <c r="C74" s="504"/>
      <c r="D74" s="58" t="s">
        <v>40</v>
      </c>
      <c r="E74" s="50" t="s">
        <v>832</v>
      </c>
      <c r="F74" s="50"/>
      <c r="G74" s="50"/>
      <c r="H74" s="104"/>
      <c r="I74" s="104"/>
      <c r="J74" s="779"/>
      <c r="K74" s="104"/>
      <c r="L74" s="771"/>
    </row>
    <row r="75" spans="2:12" ht="16">
      <c r="B75" s="770"/>
      <c r="C75" s="505"/>
      <c r="D75" s="196" t="s">
        <v>40</v>
      </c>
      <c r="E75" s="333" t="s">
        <v>838</v>
      </c>
      <c r="F75" s="333"/>
      <c r="G75" s="333"/>
      <c r="H75" s="488"/>
      <c r="I75" s="488"/>
      <c r="J75" s="780"/>
      <c r="K75" s="104"/>
      <c r="L75" s="771"/>
    </row>
    <row r="76" spans="2:12" ht="16">
      <c r="B76" s="770"/>
      <c r="C76" s="502" t="s">
        <v>830</v>
      </c>
      <c r="D76" s="58" t="s">
        <v>40</v>
      </c>
      <c r="E76" s="50" t="s">
        <v>829</v>
      </c>
      <c r="F76" s="50"/>
      <c r="G76" s="50"/>
      <c r="H76" s="104"/>
      <c r="I76" s="104"/>
      <c r="J76" s="774" t="s">
        <v>14</v>
      </c>
      <c r="K76" s="104"/>
      <c r="L76" s="771"/>
    </row>
    <row r="77" spans="2:12" ht="16">
      <c r="B77" s="770"/>
      <c r="C77" s="771"/>
      <c r="D77" s="58" t="s">
        <v>40</v>
      </c>
      <c r="E77" s="50" t="s">
        <v>772</v>
      </c>
      <c r="F77" s="50"/>
      <c r="G77" s="50"/>
      <c r="H77" s="487"/>
      <c r="I77" s="487"/>
      <c r="J77" s="774"/>
      <c r="K77" s="104"/>
      <c r="L77" s="771"/>
    </row>
    <row r="78" spans="2:12" ht="16">
      <c r="B78" s="770"/>
      <c r="C78" s="502"/>
      <c r="D78" s="58" t="s">
        <v>40</v>
      </c>
      <c r="E78" s="50" t="s">
        <v>797</v>
      </c>
      <c r="F78" s="50"/>
      <c r="G78" s="50"/>
      <c r="H78" s="487"/>
      <c r="I78" s="487"/>
      <c r="J78" s="774"/>
      <c r="K78" s="104"/>
      <c r="L78" s="771"/>
    </row>
    <row r="79" spans="2:12" ht="16">
      <c r="B79" s="770"/>
      <c r="C79" s="505"/>
      <c r="D79" s="196" t="s">
        <v>40</v>
      </c>
      <c r="E79" s="333" t="s">
        <v>773</v>
      </c>
      <c r="F79" s="333"/>
      <c r="G79" s="333"/>
      <c r="H79" s="488"/>
      <c r="I79" s="488"/>
      <c r="J79" s="780"/>
      <c r="K79" s="104"/>
      <c r="L79" s="771"/>
    </row>
    <row r="80" spans="2:12" ht="16">
      <c r="B80" s="770"/>
      <c r="C80" s="502" t="s">
        <v>831</v>
      </c>
      <c r="D80" s="196" t="s">
        <v>40</v>
      </c>
      <c r="E80" s="50" t="s">
        <v>760</v>
      </c>
      <c r="F80" s="50"/>
      <c r="G80" s="50"/>
      <c r="H80" s="104"/>
      <c r="I80" s="104"/>
      <c r="J80" s="774" t="s">
        <v>14</v>
      </c>
      <c r="K80" s="104"/>
      <c r="L80" s="771"/>
    </row>
    <row r="81" spans="2:12" ht="16">
      <c r="B81" s="770"/>
      <c r="C81" s="506" t="s">
        <v>377</v>
      </c>
      <c r="D81" s="199" t="s">
        <v>40</v>
      </c>
      <c r="E81" s="200" t="s">
        <v>376</v>
      </c>
      <c r="F81" s="200"/>
      <c r="G81" s="200"/>
      <c r="H81" s="489"/>
      <c r="I81" s="489"/>
      <c r="J81" s="781" t="s">
        <v>14</v>
      </c>
      <c r="K81" s="104"/>
      <c r="L81" s="771"/>
    </row>
    <row r="82" spans="2:12" ht="16">
      <c r="B82" s="770"/>
      <c r="C82" s="502" t="s">
        <v>372</v>
      </c>
      <c r="D82" s="58" t="s">
        <v>40</v>
      </c>
      <c r="E82" s="50" t="s">
        <v>373</v>
      </c>
      <c r="F82" s="50"/>
      <c r="G82" s="50"/>
      <c r="H82" s="104"/>
      <c r="I82" s="104"/>
      <c r="J82" s="774" t="s">
        <v>14</v>
      </c>
      <c r="K82" s="104"/>
      <c r="L82" s="771"/>
    </row>
    <row r="83" spans="2:12" ht="16">
      <c r="B83" s="770"/>
      <c r="C83" s="502" t="s">
        <v>341</v>
      </c>
      <c r="D83" s="58" t="s">
        <v>40</v>
      </c>
      <c r="E83" s="50" t="s">
        <v>342</v>
      </c>
      <c r="F83" s="50"/>
      <c r="G83" s="50"/>
      <c r="H83" s="104"/>
      <c r="I83" s="104"/>
      <c r="J83" s="777" t="s">
        <v>14</v>
      </c>
      <c r="K83" s="104"/>
      <c r="L83" s="771"/>
    </row>
    <row r="84" spans="2:12" ht="16">
      <c r="B84" s="770"/>
      <c r="C84" s="504"/>
      <c r="D84" s="196" t="s">
        <v>40</v>
      </c>
      <c r="E84" s="50" t="s">
        <v>367</v>
      </c>
      <c r="F84" s="50"/>
      <c r="G84" s="50"/>
      <c r="H84" s="104"/>
      <c r="I84" s="104"/>
      <c r="J84" s="779"/>
      <c r="K84" s="104"/>
      <c r="L84" s="771"/>
    </row>
    <row r="85" spans="2:12" ht="16">
      <c r="B85" s="770"/>
      <c r="C85" s="506" t="s">
        <v>339</v>
      </c>
      <c r="D85" s="199" t="s">
        <v>40</v>
      </c>
      <c r="E85" s="200" t="s">
        <v>340</v>
      </c>
      <c r="F85" s="200"/>
      <c r="G85" s="200"/>
      <c r="H85" s="489"/>
      <c r="I85" s="489"/>
      <c r="J85" s="781" t="s">
        <v>14</v>
      </c>
      <c r="K85" s="104"/>
      <c r="L85" s="771"/>
    </row>
    <row r="86" spans="2:12" ht="16">
      <c r="B86" s="770"/>
      <c r="C86" s="506" t="s">
        <v>81</v>
      </c>
      <c r="D86" s="199" t="s">
        <v>40</v>
      </c>
      <c r="E86" s="200" t="s">
        <v>328</v>
      </c>
      <c r="F86" s="200"/>
      <c r="G86" s="200"/>
      <c r="H86" s="489"/>
      <c r="I86" s="489"/>
      <c r="J86" s="781" t="s">
        <v>14</v>
      </c>
      <c r="K86" s="104"/>
      <c r="L86" s="771"/>
    </row>
    <row r="87" spans="2:12" ht="16">
      <c r="B87" s="770"/>
      <c r="C87" s="502" t="s">
        <v>326</v>
      </c>
      <c r="D87" s="58" t="s">
        <v>40</v>
      </c>
      <c r="E87" s="50" t="s">
        <v>327</v>
      </c>
      <c r="F87" s="50"/>
      <c r="G87" s="50"/>
      <c r="H87" s="104"/>
      <c r="I87" s="104"/>
      <c r="J87" s="774" t="s">
        <v>14</v>
      </c>
      <c r="K87" s="104"/>
      <c r="L87" s="771"/>
    </row>
    <row r="88" spans="2:12" ht="16">
      <c r="B88" s="770"/>
      <c r="C88" s="506" t="s">
        <v>324</v>
      </c>
      <c r="D88" s="199" t="s">
        <v>40</v>
      </c>
      <c r="E88" s="200" t="s">
        <v>325</v>
      </c>
      <c r="F88" s="200"/>
      <c r="G88" s="200"/>
      <c r="H88" s="489"/>
      <c r="I88" s="489"/>
      <c r="J88" s="781" t="s">
        <v>14</v>
      </c>
      <c r="K88" s="104"/>
      <c r="L88" s="771"/>
    </row>
    <row r="89" spans="2:12" ht="16">
      <c r="B89" s="770"/>
      <c r="C89" s="502" t="s">
        <v>299</v>
      </c>
      <c r="D89" s="58" t="s">
        <v>40</v>
      </c>
      <c r="E89" s="50" t="s">
        <v>300</v>
      </c>
      <c r="F89" s="50"/>
      <c r="G89" s="50"/>
      <c r="H89" s="104"/>
      <c r="I89" s="104"/>
      <c r="J89" s="779"/>
      <c r="K89" s="104"/>
      <c r="L89" s="771"/>
    </row>
    <row r="90" spans="2:12" ht="16">
      <c r="B90" s="770"/>
      <c r="C90" s="503" t="s">
        <v>299</v>
      </c>
      <c r="D90" s="196" t="s">
        <v>40</v>
      </c>
      <c r="E90" s="333" t="s">
        <v>298</v>
      </c>
      <c r="F90" s="333"/>
      <c r="G90" s="333"/>
      <c r="H90" s="488"/>
      <c r="I90" s="488"/>
      <c r="J90" s="778" t="s">
        <v>14</v>
      </c>
      <c r="K90" s="104"/>
      <c r="L90" s="771"/>
    </row>
    <row r="91" spans="2:12" ht="16">
      <c r="B91" s="770"/>
      <c r="C91" s="503" t="s">
        <v>293</v>
      </c>
      <c r="D91" s="196" t="s">
        <v>40</v>
      </c>
      <c r="E91" s="333" t="s">
        <v>294</v>
      </c>
      <c r="F91" s="333"/>
      <c r="G91" s="333"/>
      <c r="H91" s="488"/>
      <c r="I91" s="488"/>
      <c r="J91" s="778" t="s">
        <v>14</v>
      </c>
      <c r="K91" s="104"/>
      <c r="L91" s="771"/>
    </row>
    <row r="92" spans="2:12" ht="16">
      <c r="B92" s="770"/>
      <c r="C92" s="502" t="s">
        <v>290</v>
      </c>
      <c r="D92" s="58" t="s">
        <v>40</v>
      </c>
      <c r="E92" s="50" t="s">
        <v>289</v>
      </c>
      <c r="F92" s="50"/>
      <c r="G92" s="50"/>
      <c r="H92" s="487"/>
      <c r="I92" s="487"/>
      <c r="J92" s="774" t="s">
        <v>14</v>
      </c>
      <c r="K92" s="104"/>
      <c r="L92" s="771"/>
    </row>
    <row r="93" spans="2:12" ht="16">
      <c r="B93" s="770"/>
      <c r="C93" s="502"/>
      <c r="D93" s="58" t="s">
        <v>40</v>
      </c>
      <c r="E93" s="50" t="s">
        <v>291</v>
      </c>
      <c r="F93" s="50"/>
      <c r="G93" s="50"/>
      <c r="H93" s="487"/>
      <c r="I93" s="487"/>
      <c r="J93" s="774"/>
      <c r="K93" s="104"/>
      <c r="L93" s="771"/>
    </row>
    <row r="94" spans="2:12" ht="16">
      <c r="B94" s="770"/>
      <c r="C94" s="503"/>
      <c r="D94" s="196" t="s">
        <v>40</v>
      </c>
      <c r="E94" s="333" t="s">
        <v>292</v>
      </c>
      <c r="F94" s="333"/>
      <c r="G94" s="333"/>
      <c r="H94" s="488"/>
      <c r="I94" s="488"/>
      <c r="J94" s="778"/>
      <c r="K94" s="104"/>
      <c r="L94" s="771"/>
    </row>
    <row r="95" spans="2:12" ht="16">
      <c r="B95" s="770"/>
      <c r="C95" s="503" t="s">
        <v>286</v>
      </c>
      <c r="D95" s="196" t="s">
        <v>40</v>
      </c>
      <c r="E95" s="333" t="s">
        <v>285</v>
      </c>
      <c r="F95" s="333"/>
      <c r="G95" s="333"/>
      <c r="H95" s="488"/>
      <c r="I95" s="488"/>
      <c r="J95" s="778" t="s">
        <v>14</v>
      </c>
      <c r="K95" s="104"/>
      <c r="L95" s="771"/>
    </row>
    <row r="96" spans="2:12" ht="16">
      <c r="B96" s="770"/>
      <c r="C96" s="503" t="s">
        <v>283</v>
      </c>
      <c r="D96" s="196" t="s">
        <v>40</v>
      </c>
      <c r="E96" s="333" t="s">
        <v>284</v>
      </c>
      <c r="F96" s="333"/>
      <c r="G96" s="333"/>
      <c r="H96" s="488"/>
      <c r="I96" s="488"/>
      <c r="J96" s="778" t="s">
        <v>14</v>
      </c>
      <c r="K96" s="104"/>
      <c r="L96" s="771"/>
    </row>
    <row r="97" spans="2:12" ht="16">
      <c r="B97" s="770"/>
      <c r="C97" s="503" t="s">
        <v>281</v>
      </c>
      <c r="D97" s="196" t="s">
        <v>40</v>
      </c>
      <c r="E97" s="333" t="s">
        <v>282</v>
      </c>
      <c r="F97" s="333"/>
      <c r="G97" s="333"/>
      <c r="H97" s="488"/>
      <c r="I97" s="488"/>
      <c r="J97" s="778" t="s">
        <v>14</v>
      </c>
      <c r="K97" s="104"/>
      <c r="L97" s="771"/>
    </row>
    <row r="98" spans="2:12" ht="16">
      <c r="B98" s="770"/>
      <c r="C98" s="502" t="s">
        <v>239</v>
      </c>
      <c r="D98" s="58" t="s">
        <v>40</v>
      </c>
      <c r="E98" s="50" t="s">
        <v>240</v>
      </c>
      <c r="F98" s="50"/>
      <c r="G98" s="50"/>
      <c r="H98" s="487"/>
      <c r="I98" s="487"/>
      <c r="J98" s="774" t="s">
        <v>14</v>
      </c>
      <c r="K98" s="104"/>
      <c r="L98" s="771"/>
    </row>
    <row r="99" spans="2:12" ht="16">
      <c r="B99" s="770"/>
      <c r="C99" s="772"/>
      <c r="D99" s="196" t="s">
        <v>40</v>
      </c>
      <c r="E99" s="488" t="s">
        <v>241</v>
      </c>
      <c r="F99" s="488"/>
      <c r="G99" s="488"/>
      <c r="H99" s="488"/>
      <c r="I99" s="488"/>
      <c r="J99" s="782"/>
      <c r="K99" s="104"/>
      <c r="L99" s="771"/>
    </row>
    <row r="100" spans="2:12" ht="16">
      <c r="B100" s="770"/>
      <c r="C100" s="503" t="s">
        <v>236</v>
      </c>
      <c r="D100" s="196" t="s">
        <v>40</v>
      </c>
      <c r="E100" s="333" t="s">
        <v>237</v>
      </c>
      <c r="F100" s="333"/>
      <c r="G100" s="333"/>
      <c r="H100" s="488"/>
      <c r="I100" s="488"/>
      <c r="J100" s="778" t="s">
        <v>14</v>
      </c>
      <c r="K100" s="104"/>
      <c r="L100" s="771"/>
    </row>
    <row r="101" spans="2:12" ht="16">
      <c r="B101" s="770"/>
      <c r="C101" s="503" t="s">
        <v>234</v>
      </c>
      <c r="D101" s="196" t="s">
        <v>40</v>
      </c>
      <c r="E101" s="333" t="s">
        <v>235</v>
      </c>
      <c r="F101" s="333"/>
      <c r="G101" s="333"/>
      <c r="H101" s="488"/>
      <c r="I101" s="488"/>
      <c r="J101" s="778" t="s">
        <v>14</v>
      </c>
      <c r="K101" s="104"/>
      <c r="L101" s="771"/>
    </row>
    <row r="102" spans="2:12" ht="16">
      <c r="B102" s="770"/>
      <c r="C102" s="502" t="s">
        <v>226</v>
      </c>
      <c r="D102" s="58" t="s">
        <v>40</v>
      </c>
      <c r="E102" s="50" t="s">
        <v>227</v>
      </c>
      <c r="F102" s="50"/>
      <c r="G102" s="50"/>
      <c r="H102" s="487"/>
      <c r="I102" s="487"/>
      <c r="J102" s="774" t="s">
        <v>14</v>
      </c>
      <c r="K102" s="104"/>
      <c r="L102" s="771"/>
    </row>
    <row r="103" spans="2:12" ht="16">
      <c r="B103" s="770"/>
      <c r="C103" s="502"/>
      <c r="D103" s="58" t="s">
        <v>40</v>
      </c>
      <c r="E103" s="50" t="s">
        <v>229</v>
      </c>
      <c r="F103" s="50"/>
      <c r="G103" s="50"/>
      <c r="H103" s="487"/>
      <c r="I103" s="487"/>
      <c r="J103" s="774"/>
      <c r="K103" s="104"/>
      <c r="L103" s="771"/>
    </row>
    <row r="104" spans="2:12" ht="16">
      <c r="B104" s="770"/>
      <c r="C104" s="502"/>
      <c r="D104" s="58" t="s">
        <v>40</v>
      </c>
      <c r="E104" s="50" t="s">
        <v>233</v>
      </c>
      <c r="F104" s="50"/>
      <c r="G104" s="50"/>
      <c r="H104" s="487"/>
      <c r="I104" s="487"/>
      <c r="J104" s="774"/>
      <c r="K104" s="104"/>
      <c r="L104" s="771"/>
    </row>
    <row r="105" spans="2:12" ht="16">
      <c r="B105" s="770"/>
      <c r="C105" s="772"/>
      <c r="D105" s="196" t="s">
        <v>40</v>
      </c>
      <c r="E105" s="198" t="s">
        <v>228</v>
      </c>
      <c r="F105" s="488"/>
      <c r="G105" s="488"/>
      <c r="H105" s="488"/>
      <c r="I105" s="488"/>
      <c r="J105" s="782"/>
      <c r="K105" s="104"/>
      <c r="L105" s="771"/>
    </row>
    <row r="106" spans="2:12" ht="16">
      <c r="B106" s="104"/>
      <c r="C106" s="502" t="s">
        <v>202</v>
      </c>
      <c r="D106" s="58" t="s">
        <v>40</v>
      </c>
      <c r="E106" s="50" t="s">
        <v>203</v>
      </c>
      <c r="F106" s="50"/>
      <c r="G106" s="50"/>
      <c r="H106" s="487"/>
      <c r="I106" s="487"/>
      <c r="J106" s="774" t="s">
        <v>14</v>
      </c>
      <c r="K106" s="104"/>
      <c r="L106" s="771"/>
    </row>
    <row r="107" spans="2:12" ht="16">
      <c r="B107" s="770"/>
      <c r="C107" s="772"/>
      <c r="D107" s="196" t="s">
        <v>40</v>
      </c>
      <c r="E107" s="198" t="s">
        <v>204</v>
      </c>
      <c r="F107" s="488"/>
      <c r="G107" s="488"/>
      <c r="H107" s="488"/>
      <c r="I107" s="488"/>
      <c r="J107" s="782"/>
      <c r="K107" s="487"/>
      <c r="L107" s="771"/>
    </row>
    <row r="108" spans="2:12" ht="16">
      <c r="B108" s="770"/>
      <c r="C108" s="502" t="s">
        <v>201</v>
      </c>
      <c r="D108" s="58" t="s">
        <v>40</v>
      </c>
      <c r="E108" s="50" t="s">
        <v>199</v>
      </c>
      <c r="F108" s="50"/>
      <c r="G108" s="50"/>
      <c r="H108" s="487"/>
      <c r="I108" s="487"/>
      <c r="J108" s="774" t="s">
        <v>14</v>
      </c>
      <c r="K108" s="487"/>
      <c r="L108" s="771"/>
    </row>
    <row r="109" spans="2:12" ht="16">
      <c r="B109" s="770"/>
      <c r="C109" s="772"/>
      <c r="D109" s="196" t="s">
        <v>40</v>
      </c>
      <c r="E109" s="198" t="s">
        <v>200</v>
      </c>
      <c r="F109" s="488"/>
      <c r="G109" s="488"/>
      <c r="H109" s="488"/>
      <c r="I109" s="488"/>
      <c r="J109" s="782"/>
      <c r="K109" s="487"/>
      <c r="L109" s="771"/>
    </row>
    <row r="110" spans="2:12" ht="16">
      <c r="B110" s="770"/>
      <c r="C110" s="502" t="s">
        <v>189</v>
      </c>
      <c r="D110" s="58" t="s">
        <v>40</v>
      </c>
      <c r="E110" s="50" t="s">
        <v>190</v>
      </c>
      <c r="F110" s="50"/>
      <c r="G110" s="50"/>
      <c r="H110" s="487"/>
      <c r="I110" s="487"/>
      <c r="J110" s="774" t="s">
        <v>14</v>
      </c>
      <c r="K110" s="487"/>
      <c r="L110" s="771"/>
    </row>
    <row r="111" spans="2:12" ht="16">
      <c r="B111" s="770"/>
      <c r="C111" s="773"/>
      <c r="D111" s="58" t="s">
        <v>40</v>
      </c>
      <c r="E111" s="17" t="s">
        <v>146</v>
      </c>
      <c r="F111" s="104"/>
      <c r="G111" s="104"/>
      <c r="H111" s="104"/>
      <c r="I111" s="104"/>
      <c r="J111" s="771"/>
      <c r="K111" s="487"/>
      <c r="L111" s="771"/>
    </row>
    <row r="112" spans="2:12" ht="16">
      <c r="B112" s="770"/>
      <c r="C112" s="506" t="s">
        <v>158</v>
      </c>
      <c r="D112" s="199" t="s">
        <v>40</v>
      </c>
      <c r="E112" s="200" t="s">
        <v>157</v>
      </c>
      <c r="F112" s="200"/>
      <c r="G112" s="200"/>
      <c r="H112" s="489"/>
      <c r="I112" s="489"/>
      <c r="J112" s="781" t="s">
        <v>14</v>
      </c>
      <c r="K112" s="487"/>
      <c r="L112" s="771"/>
    </row>
    <row r="113" spans="2:12" ht="16">
      <c r="B113" s="770"/>
      <c r="C113" s="506" t="s">
        <v>155</v>
      </c>
      <c r="D113" s="199" t="s">
        <v>40</v>
      </c>
      <c r="E113" s="200" t="s">
        <v>156</v>
      </c>
      <c r="F113" s="200"/>
      <c r="G113" s="200"/>
      <c r="H113" s="489"/>
      <c r="I113" s="489"/>
      <c r="J113" s="781" t="s">
        <v>14</v>
      </c>
      <c r="K113" s="487"/>
      <c r="L113" s="771"/>
    </row>
    <row r="114" spans="2:12" ht="16">
      <c r="B114" s="770"/>
      <c r="C114" s="506" t="s">
        <v>148</v>
      </c>
      <c r="D114" s="199" t="s">
        <v>40</v>
      </c>
      <c r="E114" s="200" t="s">
        <v>147</v>
      </c>
      <c r="F114" s="200"/>
      <c r="G114" s="200"/>
      <c r="H114" s="489"/>
      <c r="I114" s="489"/>
      <c r="J114" s="781" t="s">
        <v>14</v>
      </c>
      <c r="K114" s="487"/>
      <c r="L114" s="771"/>
    </row>
    <row r="115" spans="2:12" ht="16">
      <c r="B115" s="770"/>
      <c r="C115" s="506" t="s">
        <v>145</v>
      </c>
      <c r="D115" s="199" t="s">
        <v>40</v>
      </c>
      <c r="E115" s="200" t="s">
        <v>146</v>
      </c>
      <c r="F115" s="200"/>
      <c r="G115" s="200"/>
      <c r="H115" s="489"/>
      <c r="I115" s="489"/>
      <c r="J115" s="781" t="s">
        <v>14</v>
      </c>
      <c r="K115" s="487"/>
      <c r="L115" s="771"/>
    </row>
    <row r="116" spans="2:12" ht="16">
      <c r="B116" s="770"/>
      <c r="C116" s="506" t="s">
        <v>115</v>
      </c>
      <c r="D116" s="199" t="s">
        <v>40</v>
      </c>
      <c r="E116" s="200" t="s">
        <v>116</v>
      </c>
      <c r="F116" s="200"/>
      <c r="G116" s="200"/>
      <c r="H116" s="489"/>
      <c r="I116" s="489"/>
      <c r="J116" s="781" t="s">
        <v>14</v>
      </c>
      <c r="K116" s="487"/>
      <c r="L116" s="771"/>
    </row>
    <row r="117" spans="2:12" ht="16">
      <c r="B117" s="770"/>
      <c r="C117" s="506" t="s">
        <v>91</v>
      </c>
      <c r="D117" s="199" t="s">
        <v>40</v>
      </c>
      <c r="E117" s="200" t="s">
        <v>89</v>
      </c>
      <c r="F117" s="200"/>
      <c r="G117" s="200"/>
      <c r="H117" s="489"/>
      <c r="I117" s="489"/>
      <c r="J117" s="781" t="s">
        <v>14</v>
      </c>
      <c r="K117" s="487"/>
      <c r="L117" s="771"/>
    </row>
    <row r="118" spans="2:12" ht="16">
      <c r="B118" s="770"/>
      <c r="C118" s="506" t="s">
        <v>87</v>
      </c>
      <c r="D118" s="199" t="s">
        <v>40</v>
      </c>
      <c r="E118" s="200" t="s">
        <v>88</v>
      </c>
      <c r="F118" s="200"/>
      <c r="G118" s="200"/>
      <c r="H118" s="489"/>
      <c r="I118" s="489"/>
      <c r="J118" s="781" t="s">
        <v>14</v>
      </c>
      <c r="K118" s="487"/>
      <c r="L118" s="771"/>
    </row>
    <row r="119" spans="2:12" ht="16">
      <c r="B119" s="770"/>
      <c r="C119" s="506" t="s">
        <v>85</v>
      </c>
      <c r="D119" s="199" t="s">
        <v>40</v>
      </c>
      <c r="E119" s="200" t="s">
        <v>86</v>
      </c>
      <c r="F119" s="200"/>
      <c r="G119" s="200"/>
      <c r="H119" s="489"/>
      <c r="I119" s="489"/>
      <c r="J119" s="781" t="s">
        <v>14</v>
      </c>
      <c r="K119" s="487"/>
      <c r="L119" s="771"/>
    </row>
    <row r="120" spans="2:12" ht="16">
      <c r="B120" s="770"/>
      <c r="C120" s="775" t="s">
        <v>80</v>
      </c>
      <c r="D120" s="199" t="s">
        <v>40</v>
      </c>
      <c r="E120" s="17" t="s">
        <v>84</v>
      </c>
      <c r="F120" s="104"/>
      <c r="G120" s="104"/>
      <c r="H120" s="104"/>
      <c r="I120" s="104"/>
      <c r="J120" s="777" t="s">
        <v>14</v>
      </c>
      <c r="K120" s="487"/>
      <c r="L120" s="771"/>
    </row>
    <row r="121" spans="2:12" ht="16">
      <c r="B121" s="770"/>
      <c r="C121" s="506" t="s">
        <v>81</v>
      </c>
      <c r="D121" s="199" t="s">
        <v>40</v>
      </c>
      <c r="E121" s="200" t="s">
        <v>41</v>
      </c>
      <c r="F121" s="200"/>
      <c r="G121" s="200"/>
      <c r="H121" s="489"/>
      <c r="I121" s="489"/>
      <c r="J121" s="781" t="s">
        <v>14</v>
      </c>
      <c r="K121" s="487"/>
      <c r="L121" s="771"/>
    </row>
    <row r="122" spans="2:12" ht="16">
      <c r="B122" s="770"/>
      <c r="C122" s="776" t="s">
        <v>82</v>
      </c>
      <c r="D122" s="220" t="s">
        <v>40</v>
      </c>
      <c r="E122" s="201" t="s">
        <v>42</v>
      </c>
      <c r="F122" s="490"/>
      <c r="G122" s="490"/>
      <c r="H122" s="490"/>
      <c r="I122" s="490"/>
      <c r="J122" s="783" t="s">
        <v>14</v>
      </c>
      <c r="K122" s="487"/>
      <c r="L122" s="771"/>
    </row>
    <row r="123" spans="2:12" ht="16">
      <c r="B123" s="770"/>
      <c r="C123" s="502"/>
      <c r="D123" s="58" t="s">
        <v>40</v>
      </c>
      <c r="E123" s="50" t="s">
        <v>43</v>
      </c>
      <c r="F123" s="50"/>
      <c r="G123" s="50"/>
      <c r="H123" s="487"/>
      <c r="I123" s="487"/>
      <c r="J123" s="774"/>
      <c r="K123" s="487"/>
      <c r="L123" s="771"/>
    </row>
    <row r="124" spans="2:12" ht="16">
      <c r="B124" s="770"/>
      <c r="C124" s="773"/>
      <c r="D124" s="58" t="s">
        <v>40</v>
      </c>
      <c r="E124" s="114" t="s">
        <v>48</v>
      </c>
      <c r="F124" s="104"/>
      <c r="G124" s="104"/>
      <c r="H124" s="104"/>
      <c r="I124" s="104"/>
      <c r="J124" s="771"/>
      <c r="K124" s="487"/>
      <c r="L124" s="771"/>
    </row>
    <row r="125" spans="2:12" ht="16">
      <c r="B125" s="770"/>
      <c r="C125" s="773"/>
      <c r="D125" s="104" t="s">
        <v>40</v>
      </c>
      <c r="E125" s="50" t="s">
        <v>44</v>
      </c>
      <c r="F125" s="104"/>
      <c r="G125" s="104"/>
      <c r="H125" s="104"/>
      <c r="I125" s="104"/>
      <c r="J125" s="771"/>
      <c r="K125" s="487"/>
      <c r="L125" s="771"/>
    </row>
    <row r="126" spans="2:12" ht="16">
      <c r="B126" s="770"/>
      <c r="C126" s="502"/>
      <c r="D126" s="58" t="s">
        <v>40</v>
      </c>
      <c r="E126" s="195" t="s">
        <v>45</v>
      </c>
      <c r="F126" s="50"/>
      <c r="G126" s="50"/>
      <c r="H126" s="487"/>
      <c r="I126" s="487"/>
      <c r="J126" s="774"/>
      <c r="K126" s="487"/>
      <c r="L126" s="771"/>
    </row>
    <row r="127" spans="2:12" ht="16">
      <c r="B127" s="770"/>
      <c r="C127" s="503"/>
      <c r="D127" s="196" t="s">
        <v>40</v>
      </c>
      <c r="E127" s="197" t="s">
        <v>46</v>
      </c>
      <c r="F127" s="491"/>
      <c r="G127" s="491"/>
      <c r="H127" s="488"/>
      <c r="I127" s="488"/>
      <c r="J127" s="778"/>
      <c r="K127" s="487"/>
      <c r="L127" s="771"/>
    </row>
    <row r="128" spans="2:12" ht="16">
      <c r="B128" s="770"/>
      <c r="C128" s="506" t="s">
        <v>83</v>
      </c>
      <c r="D128" s="199" t="s">
        <v>40</v>
      </c>
      <c r="E128" s="200" t="s">
        <v>47</v>
      </c>
      <c r="F128" s="200"/>
      <c r="G128" s="200"/>
      <c r="H128" s="489"/>
      <c r="I128" s="489"/>
      <c r="J128" s="781" t="s">
        <v>14</v>
      </c>
      <c r="K128" s="487"/>
      <c r="L128" s="771"/>
    </row>
    <row r="129" spans="2:12" ht="16">
      <c r="B129" s="770"/>
      <c r="C129" s="504"/>
      <c r="D129" s="58"/>
      <c r="E129" s="28"/>
      <c r="F129" s="492"/>
      <c r="G129" s="492"/>
      <c r="H129" s="487"/>
      <c r="I129" s="487"/>
      <c r="J129" s="774"/>
      <c r="K129" s="487"/>
      <c r="L129" s="771"/>
    </row>
    <row r="130" spans="2:12" ht="16">
      <c r="B130" s="770"/>
      <c r="C130" s="504"/>
      <c r="D130" s="58"/>
      <c r="E130" s="28"/>
      <c r="F130" s="492"/>
      <c r="G130" s="492"/>
      <c r="H130" s="487"/>
      <c r="I130" s="487"/>
      <c r="J130" s="774"/>
      <c r="K130" s="487"/>
      <c r="L130" s="771"/>
    </row>
    <row r="131" spans="2:12" ht="16">
      <c r="B131" s="770"/>
      <c r="C131" s="504"/>
      <c r="D131" s="58"/>
      <c r="E131" s="28"/>
      <c r="F131" s="492"/>
      <c r="G131" s="492"/>
      <c r="H131" s="487"/>
      <c r="I131" s="487"/>
      <c r="J131" s="774"/>
      <c r="K131" s="487"/>
      <c r="L131" s="771"/>
    </row>
    <row r="132" spans="2:12" ht="16">
      <c r="B132" s="770"/>
      <c r="C132" s="504"/>
      <c r="D132" s="58"/>
      <c r="E132" s="28"/>
      <c r="F132" s="492"/>
      <c r="G132" s="492"/>
      <c r="H132" s="487"/>
      <c r="I132" s="487"/>
      <c r="J132" s="774"/>
      <c r="K132" s="487"/>
      <c r="L132" s="771"/>
    </row>
    <row r="133" spans="2:12" ht="16">
      <c r="B133" s="770"/>
      <c r="C133" s="504"/>
      <c r="D133" s="58"/>
      <c r="E133" s="28"/>
      <c r="F133" s="492"/>
      <c r="G133" s="492"/>
      <c r="H133" s="487"/>
      <c r="I133" s="487"/>
      <c r="J133" s="774"/>
      <c r="K133" s="487"/>
      <c r="L133" s="771"/>
    </row>
    <row r="134" spans="2:12" ht="16">
      <c r="B134" s="770"/>
      <c r="C134" s="504"/>
      <c r="D134" s="58"/>
      <c r="E134" s="28"/>
      <c r="F134" s="492"/>
      <c r="G134" s="492"/>
      <c r="H134" s="487"/>
      <c r="I134" s="487"/>
      <c r="J134" s="774"/>
      <c r="K134" s="487"/>
      <c r="L134" s="771"/>
    </row>
    <row r="135" spans="2:12" ht="16">
      <c r="B135" s="770"/>
      <c r="C135" s="504"/>
      <c r="D135" s="58"/>
      <c r="E135" s="28"/>
      <c r="F135" s="492"/>
      <c r="G135" s="492"/>
      <c r="H135" s="487"/>
      <c r="I135" s="487"/>
      <c r="J135" s="774"/>
      <c r="K135" s="487"/>
      <c r="L135" s="771"/>
    </row>
    <row r="136" spans="2:12" ht="16">
      <c r="B136" s="770"/>
      <c r="C136" s="504"/>
      <c r="D136" s="58"/>
      <c r="E136" s="28"/>
      <c r="F136" s="492"/>
      <c r="G136" s="492"/>
      <c r="H136" s="487"/>
      <c r="I136" s="487"/>
      <c r="J136" s="774"/>
      <c r="K136" s="487"/>
      <c r="L136" s="771"/>
    </row>
    <row r="137" spans="2:12" ht="16">
      <c r="B137" s="770"/>
      <c r="C137" s="504"/>
      <c r="D137" s="58"/>
      <c r="E137" s="28"/>
      <c r="F137" s="492"/>
      <c r="G137" s="492"/>
      <c r="H137" s="487"/>
      <c r="I137" s="487"/>
      <c r="J137" s="774"/>
      <c r="K137" s="487"/>
      <c r="L137" s="771"/>
    </row>
    <row r="138" spans="2:12" ht="16">
      <c r="B138" s="770"/>
      <c r="C138" s="504"/>
      <c r="D138" s="58"/>
      <c r="E138" s="28"/>
      <c r="F138" s="492"/>
      <c r="G138" s="492"/>
      <c r="H138" s="487"/>
      <c r="I138" s="487"/>
      <c r="J138" s="774"/>
      <c r="K138" s="487"/>
      <c r="L138" s="771"/>
    </row>
    <row r="139" spans="2:12" ht="16">
      <c r="B139" s="770"/>
      <c r="C139" s="504"/>
      <c r="D139" s="58"/>
      <c r="E139" s="28"/>
      <c r="F139" s="492"/>
      <c r="G139" s="492"/>
      <c r="H139" s="487"/>
      <c r="I139" s="487"/>
      <c r="J139" s="774"/>
      <c r="K139" s="487"/>
      <c r="L139" s="771"/>
    </row>
    <row r="140" spans="2:12" ht="16">
      <c r="B140" s="770"/>
      <c r="C140" s="504"/>
      <c r="D140" s="58"/>
      <c r="E140" s="28"/>
      <c r="F140" s="492"/>
      <c r="G140" s="492"/>
      <c r="H140" s="487"/>
      <c r="I140" s="487"/>
      <c r="J140" s="774"/>
      <c r="K140" s="487"/>
      <c r="L140" s="771"/>
    </row>
    <row r="141" spans="2:12" ht="16">
      <c r="B141" s="770"/>
      <c r="C141" s="504"/>
      <c r="D141" s="58"/>
      <c r="E141" s="28"/>
      <c r="F141" s="492"/>
      <c r="G141" s="492"/>
      <c r="H141" s="487"/>
      <c r="I141" s="487"/>
      <c r="J141" s="28"/>
      <c r="K141" s="487"/>
      <c r="L141" s="771"/>
    </row>
    <row r="142" spans="2:12" ht="16">
      <c r="B142" s="770"/>
      <c r="C142" s="504"/>
      <c r="D142" s="58"/>
      <c r="E142" s="28"/>
      <c r="F142" s="492"/>
      <c r="G142" s="492"/>
      <c r="H142" s="487"/>
      <c r="I142" s="487"/>
      <c r="J142" s="28"/>
      <c r="K142" s="487"/>
      <c r="L142" s="771"/>
    </row>
    <row r="143" spans="2:12" ht="16">
      <c r="B143" s="770"/>
      <c r="C143" s="504"/>
      <c r="D143" s="58"/>
      <c r="E143" s="28"/>
      <c r="F143" s="50"/>
      <c r="G143" s="50"/>
      <c r="H143" s="487"/>
      <c r="I143" s="487"/>
      <c r="J143" s="28"/>
      <c r="K143" s="487"/>
      <c r="L143" s="771"/>
    </row>
    <row r="144" spans="2:12" ht="16">
      <c r="B144" s="28"/>
      <c r="C144" s="507"/>
      <c r="D144" s="57"/>
      <c r="E144" s="28"/>
      <c r="F144" s="28"/>
      <c r="G144" s="28"/>
      <c r="H144" s="487"/>
      <c r="I144" s="487"/>
      <c r="J144" s="487"/>
      <c r="K144" s="487"/>
      <c r="L144" s="771"/>
    </row>
    <row r="145" spans="2:12" ht="16">
      <c r="B145" s="28"/>
      <c r="C145" s="507"/>
      <c r="D145" s="57"/>
      <c r="E145" s="28"/>
      <c r="F145" s="28"/>
      <c r="G145" s="28"/>
      <c r="H145" s="487"/>
      <c r="I145" s="487"/>
      <c r="J145" s="487"/>
      <c r="K145" s="487"/>
      <c r="L145" s="771"/>
    </row>
    <row r="146" spans="2:12" ht="16">
      <c r="B146" s="17"/>
      <c r="C146" s="507"/>
      <c r="D146" s="57"/>
      <c r="E146" s="28"/>
      <c r="F146" s="28"/>
      <c r="G146" s="28"/>
      <c r="H146" s="487"/>
      <c r="I146" s="487"/>
      <c r="J146" s="487"/>
      <c r="K146" s="487"/>
      <c r="L146" s="771"/>
    </row>
    <row r="147" spans="2:12" ht="16">
      <c r="B147" s="17"/>
      <c r="C147" s="774"/>
      <c r="D147" s="28"/>
      <c r="E147" s="28"/>
      <c r="F147" s="28"/>
      <c r="G147" s="28"/>
      <c r="H147" s="487"/>
      <c r="I147" s="487"/>
      <c r="J147" s="487"/>
      <c r="K147" s="487"/>
      <c r="L147" s="771"/>
    </row>
    <row r="148" spans="2:12">
      <c r="C148" s="461"/>
    </row>
    <row r="149" spans="2:12">
      <c r="C149" s="461"/>
    </row>
    <row r="150" spans="2:12">
      <c r="C150" s="461"/>
    </row>
    <row r="151" spans="2:12">
      <c r="C151" s="461"/>
    </row>
    <row r="152" spans="2:12">
      <c r="C152" s="461"/>
    </row>
    <row r="153" spans="2:12">
      <c r="C153" s="461"/>
    </row>
    <row r="154" spans="2:12">
      <c r="C154" s="461"/>
    </row>
    <row r="155" spans="2:12">
      <c r="C155" s="461"/>
    </row>
    <row r="156" spans="2:12">
      <c r="C156" s="461"/>
    </row>
    <row r="157" spans="2:12">
      <c r="C157" s="461"/>
    </row>
    <row r="158" spans="2:12">
      <c r="C158" s="461"/>
    </row>
    <row r="159" spans="2:12">
      <c r="C159" s="461"/>
    </row>
    <row r="160" spans="2:12">
      <c r="C160" s="461"/>
    </row>
    <row r="161" spans="3:3">
      <c r="C161" s="461"/>
    </row>
    <row r="162" spans="3:3">
      <c r="C162" s="461"/>
    </row>
    <row r="163" spans="3:3">
      <c r="C163" s="461"/>
    </row>
    <row r="164" spans="3:3">
      <c r="C164" s="461"/>
    </row>
    <row r="165" spans="3:3">
      <c r="C165" s="461"/>
    </row>
    <row r="166" spans="3:3">
      <c r="C166" s="461"/>
    </row>
    <row r="167" spans="3:3">
      <c r="C167" s="461"/>
    </row>
    <row r="168" spans="3:3">
      <c r="C168" s="461"/>
    </row>
  </sheetData>
  <sheetProtection sheet="1" selectLockedCells="1"/>
  <customSheetViews>
    <customSheetView guid="{8967CA62-3554-8A40-ACFF-3515F2B518C8}" showGridLines="0" fitToPage="1">
      <selection sqref="A1:A1048576"/>
      <pageMargins left="0.7" right="0.7" top="0.75" bottom="0.75" header="0.3" footer="0.3"/>
      <pageSetup paperSize="9" orientation="portrait" horizontalDpi="4294967292" verticalDpi="4294967292"/>
    </customSheetView>
    <customSheetView guid="{EB877D66-0749-4C48-89AA-FFA94A34014C}" showGridLines="0" fitToPage="1" topLeftCell="A6">
      <selection sqref="A1:A1048576"/>
      <pageMargins left="0.7" right="0.7" top="0.75" bottom="0.75" header="0.3" footer="0.3"/>
      <pageSetup paperSize="9" orientation="portrait" horizontalDpi="4294967292" verticalDpi="4294967292"/>
    </customSheetView>
  </customSheetViews>
  <mergeCells count="2">
    <mergeCell ref="B24:J24"/>
    <mergeCell ref="E4:F4"/>
  </mergeCells>
  <phoneticPr fontId="2" type="noConversion"/>
  <dataValidations count="1">
    <dataValidation type="list" allowBlank="1" showInputMessage="1" showErrorMessage="1" sqref="E4" xr:uid="{00000000-0002-0000-0000-000000000000}">
      <formula1>$A$1:$A$3</formula1>
    </dataValidation>
  </dataValidations>
  <hyperlinks>
    <hyperlink ref="E18" r:id="rId1" xr:uid="{00000000-0004-0000-0000-000000000000}"/>
    <hyperlink ref="E19" r:id="rId2" xr:uid="{00000000-0004-0000-0000-000001000000}"/>
  </hyperlinks>
  <pageMargins left="0.7" right="0.7" top="0.75" bottom="0.75" header="0.3" footer="0.3"/>
  <pageSetup paperSize="9" orientation="portrait" horizontalDpi="4294967292" verticalDpi="429496729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2:BT167"/>
  <sheetViews>
    <sheetView showGridLines="0" topLeftCell="P7" zoomScale="75" zoomScaleNormal="85" zoomScalePageLayoutView="85" workbookViewId="0">
      <selection activeCell="N48" sqref="N48"/>
    </sheetView>
  </sheetViews>
  <sheetFormatPr baseColWidth="10" defaultColWidth="10.83203125" defaultRowHeight="16"/>
  <cols>
    <col min="1" max="2" width="4.33203125" style="1" customWidth="1"/>
    <col min="3" max="3" width="2.1640625" style="1" customWidth="1"/>
    <col min="4" max="4" width="42.33203125" style="1" customWidth="1"/>
    <col min="5" max="5" width="12.83203125" style="1" customWidth="1"/>
    <col min="6" max="14" width="7.1640625" style="1" customWidth="1"/>
    <col min="15" max="15" width="9.1640625" style="1" customWidth="1"/>
    <col min="16" max="25" width="7.1640625" style="1" customWidth="1"/>
    <col min="26" max="26" width="7.6640625" style="1" customWidth="1"/>
    <col min="27" max="27" width="5.33203125" style="1" customWidth="1"/>
    <col min="28" max="49" width="7" style="1" customWidth="1"/>
    <col min="50" max="50" width="6" style="112" customWidth="1"/>
    <col min="51" max="51" width="5.6640625" style="112" customWidth="1"/>
    <col min="52" max="72" width="7.5" style="1" customWidth="1"/>
    <col min="73" max="16384" width="10.83203125" style="1"/>
  </cols>
  <sheetData>
    <row r="2" spans="2:72" ht="39">
      <c r="D2" s="12" t="s">
        <v>10</v>
      </c>
      <c r="E2" s="8"/>
      <c r="F2" s="65" t="str">
        <f>Data!I7</f>
        <v>India</v>
      </c>
    </row>
    <row r="5" spans="2:72">
      <c r="D5" s="267" t="s">
        <v>92</v>
      </c>
      <c r="I5" s="359"/>
      <c r="J5" s="359"/>
      <c r="K5" s="359"/>
      <c r="L5" s="359"/>
      <c r="M5" s="359"/>
      <c r="N5" s="359"/>
      <c r="O5" s="359"/>
      <c r="P5" s="359"/>
      <c r="Q5" s="359"/>
      <c r="R5" s="359"/>
      <c r="S5" s="359"/>
      <c r="T5" s="359"/>
      <c r="U5" s="359"/>
      <c r="V5" s="359"/>
      <c r="W5" s="359"/>
      <c r="X5" s="359"/>
      <c r="Y5" s="359"/>
      <c r="Z5" s="359"/>
      <c r="AA5" s="359"/>
      <c r="AB5" s="359"/>
      <c r="AC5" s="359"/>
    </row>
    <row r="6" spans="2:72" ht="31" customHeight="1">
      <c r="D6" s="267" t="s">
        <v>93</v>
      </c>
      <c r="I6" s="359"/>
      <c r="J6" s="389"/>
      <c r="K6" s="112"/>
      <c r="L6" s="112"/>
      <c r="M6" s="112"/>
      <c r="N6" s="112"/>
      <c r="O6" s="112"/>
      <c r="P6" s="112"/>
      <c r="Q6" s="112"/>
      <c r="R6" s="112"/>
      <c r="S6" s="112"/>
      <c r="T6" s="112"/>
      <c r="U6" s="112"/>
      <c r="V6" s="112"/>
      <c r="W6" s="112"/>
      <c r="X6" s="112"/>
      <c r="Y6" s="112"/>
      <c r="Z6" s="112"/>
      <c r="AA6" s="112"/>
      <c r="AB6" s="112"/>
      <c r="AC6" s="359"/>
    </row>
    <row r="7" spans="2:72">
      <c r="D7" s="267" t="s">
        <v>95</v>
      </c>
      <c r="I7" s="359"/>
      <c r="J7" s="112"/>
      <c r="K7" s="112"/>
      <c r="L7" s="112"/>
      <c r="M7" s="112"/>
      <c r="N7" s="112"/>
      <c r="O7" s="112"/>
      <c r="P7" s="112"/>
      <c r="Q7" s="112"/>
      <c r="R7" s="112"/>
      <c r="S7" s="112"/>
      <c r="T7" s="112"/>
      <c r="U7" s="112"/>
      <c r="V7" s="112"/>
      <c r="W7" s="112"/>
      <c r="X7" s="112"/>
      <c r="Y7" s="112"/>
      <c r="Z7" s="112"/>
      <c r="AA7" s="112"/>
      <c r="AB7" s="112"/>
      <c r="AC7" s="359"/>
    </row>
    <row r="8" spans="2:72">
      <c r="D8" s="267" t="s">
        <v>94</v>
      </c>
      <c r="I8" s="359"/>
      <c r="J8" s="112"/>
      <c r="K8" s="376"/>
      <c r="L8" s="112"/>
      <c r="M8" s="112"/>
      <c r="N8" s="112"/>
      <c r="O8" s="112"/>
      <c r="P8" s="112"/>
      <c r="Q8" s="112"/>
      <c r="R8" s="112"/>
      <c r="S8" s="112"/>
      <c r="T8" s="112"/>
      <c r="U8" s="112"/>
      <c r="V8" s="112"/>
      <c r="W8" s="112"/>
      <c r="X8" s="112"/>
      <c r="Y8" s="112"/>
      <c r="Z8" s="112"/>
      <c r="AA8" s="112"/>
      <c r="AB8" s="112"/>
      <c r="AC8" s="359"/>
    </row>
    <row r="9" spans="2:72" ht="15" customHeight="1">
      <c r="D9" s="267" t="s">
        <v>96</v>
      </c>
      <c r="I9" s="359"/>
      <c r="J9" s="112"/>
      <c r="K9" s="376"/>
      <c r="L9" s="112"/>
      <c r="M9" s="112"/>
      <c r="N9" s="112"/>
      <c r="O9" s="112"/>
      <c r="P9" s="112"/>
      <c r="Q9" s="112"/>
      <c r="R9" s="112"/>
      <c r="S9" s="112"/>
      <c r="T9" s="343"/>
      <c r="U9" s="112"/>
      <c r="V9" s="112"/>
      <c r="W9" s="112"/>
      <c r="X9" s="112"/>
      <c r="Y9" s="112"/>
      <c r="Z9" s="112"/>
      <c r="AA9" s="112"/>
      <c r="AB9" s="112"/>
      <c r="AC9" s="359"/>
    </row>
    <row r="10" spans="2:72">
      <c r="I10" s="359"/>
      <c r="J10" s="112"/>
      <c r="K10" s="112"/>
      <c r="L10" s="112"/>
      <c r="M10" s="112"/>
      <c r="N10" s="112"/>
      <c r="O10" s="112"/>
      <c r="P10" s="112"/>
      <c r="Q10" s="112"/>
      <c r="R10" s="112"/>
      <c r="S10" s="112"/>
      <c r="T10" s="345"/>
      <c r="U10" s="112"/>
      <c r="V10" s="112"/>
      <c r="W10" s="112"/>
      <c r="X10" s="112"/>
      <c r="Y10" s="112"/>
      <c r="Z10" s="112"/>
      <c r="AA10" s="112"/>
      <c r="AB10" s="112"/>
      <c r="AC10" s="359"/>
    </row>
    <row r="11" spans="2:72" s="112" customFormat="1" ht="17">
      <c r="L11" s="112" t="s">
        <v>874</v>
      </c>
      <c r="M11" s="112" t="s">
        <v>873</v>
      </c>
    </row>
    <row r="12" spans="2:72" s="112" customFormat="1">
      <c r="L12" s="343"/>
    </row>
    <row r="13" spans="2:72" s="112" customFormat="1" ht="16" customHeight="1">
      <c r="D13" s="1"/>
      <c r="E13" s="7" t="s">
        <v>2</v>
      </c>
      <c r="F13" s="7"/>
      <c r="G13" s="1"/>
      <c r="H13" s="1"/>
      <c r="I13" s="1"/>
      <c r="J13" s="1"/>
      <c r="K13" s="1"/>
      <c r="L13" s="1"/>
      <c r="M13" s="1"/>
      <c r="N13" s="1"/>
      <c r="O13" s="1"/>
      <c r="P13" s="1"/>
      <c r="Q13" s="1"/>
      <c r="R13" s="710"/>
      <c r="S13" s="1"/>
      <c r="T13" s="1"/>
      <c r="U13" s="1"/>
      <c r="V13" s="1"/>
      <c r="W13" s="1"/>
      <c r="X13" s="1"/>
      <c r="Y13" s="1"/>
      <c r="Z13" s="1"/>
      <c r="AA13" s="1"/>
      <c r="AB13" s="1"/>
      <c r="AC13" s="1"/>
      <c r="AD13" s="1"/>
      <c r="AE13" s="1"/>
      <c r="AF13" s="1"/>
      <c r="AG13" s="1"/>
    </row>
    <row r="14" spans="2:72" s="112" customFormat="1" ht="38" customHeight="1">
      <c r="D14" s="1"/>
      <c r="E14" s="1"/>
      <c r="F14" s="1"/>
      <c r="G14" s="1"/>
      <c r="H14" s="1"/>
      <c r="I14" s="1"/>
      <c r="J14" s="1"/>
      <c r="K14" s="1"/>
      <c r="L14" s="1"/>
      <c r="M14" s="1"/>
      <c r="N14" s="1"/>
      <c r="O14" s="1"/>
      <c r="P14" s="1"/>
      <c r="Q14" s="1"/>
      <c r="R14" s="710"/>
      <c r="T14" s="1"/>
      <c r="U14" s="1"/>
      <c r="V14" s="1"/>
      <c r="W14" s="1"/>
      <c r="X14" s="1"/>
      <c r="Y14" s="1"/>
      <c r="Z14" s="1"/>
      <c r="AA14" s="1"/>
      <c r="AB14" s="1"/>
      <c r="AC14" s="1" t="s">
        <v>887</v>
      </c>
      <c r="AD14" s="1"/>
      <c r="AE14" s="1"/>
      <c r="AF14" s="1"/>
      <c r="AG14" s="1"/>
      <c r="AZ14" s="112" t="s">
        <v>886</v>
      </c>
    </row>
    <row r="15" spans="2:72" s="112" customFormat="1" ht="19">
      <c r="D15" s="1"/>
      <c r="E15" s="1"/>
      <c r="F15" s="115" t="s">
        <v>389</v>
      </c>
      <c r="G15" s="115"/>
      <c r="H15" s="115"/>
      <c r="I15" s="115"/>
      <c r="J15" s="115"/>
      <c r="K15" s="115"/>
      <c r="L15" s="115"/>
      <c r="M15" s="115"/>
      <c r="N15" s="380"/>
      <c r="O15" s="380"/>
      <c r="P15" s="380"/>
      <c r="Q15" s="380"/>
      <c r="R15" s="380"/>
      <c r="S15" s="380"/>
      <c r="T15" s="380"/>
      <c r="U15" s="380"/>
      <c r="V15" s="380"/>
      <c r="W15" s="380"/>
      <c r="X15" s="380"/>
      <c r="Y15" s="380"/>
      <c r="Z15" s="380"/>
      <c r="AC15" s="115" t="s">
        <v>389</v>
      </c>
      <c r="AD15" s="115"/>
      <c r="AE15" s="115"/>
      <c r="AF15" s="115"/>
      <c r="AG15" s="115"/>
      <c r="AH15" s="115"/>
      <c r="AI15" s="115"/>
      <c r="AJ15" s="115"/>
      <c r="AK15" s="380"/>
      <c r="AL15" s="380"/>
      <c r="AM15" s="380"/>
      <c r="AN15" s="380"/>
      <c r="AO15" s="380"/>
      <c r="AP15" s="380"/>
      <c r="AQ15" s="380"/>
      <c r="AR15" s="380"/>
      <c r="AS15" s="380"/>
      <c r="AT15" s="380"/>
      <c r="AU15" s="380"/>
      <c r="AV15" s="380"/>
      <c r="AW15" s="380"/>
      <c r="AZ15" s="115" t="s">
        <v>389</v>
      </c>
      <c r="BA15" s="115"/>
      <c r="BB15" s="115"/>
      <c r="BC15" s="115"/>
      <c r="BD15" s="115"/>
      <c r="BE15" s="115"/>
      <c r="BF15" s="115"/>
      <c r="BG15" s="115"/>
      <c r="BH15" s="380"/>
      <c r="BI15" s="380"/>
      <c r="BJ15" s="380"/>
      <c r="BK15" s="380"/>
      <c r="BL15" s="380"/>
      <c r="BM15" s="380"/>
      <c r="BN15" s="380"/>
      <c r="BO15" s="380"/>
      <c r="BP15" s="380"/>
      <c r="BQ15" s="380"/>
      <c r="BR15" s="380"/>
      <c r="BS15" s="380"/>
      <c r="BT15" s="380"/>
    </row>
    <row r="16" spans="2:72" s="112" customFormat="1" ht="21" customHeight="1">
      <c r="B16" s="1"/>
      <c r="C16" s="1"/>
      <c r="D16" s="1"/>
      <c r="E16" s="1"/>
      <c r="F16" s="81">
        <v>2010</v>
      </c>
      <c r="G16" s="81">
        <v>2011</v>
      </c>
      <c r="H16" s="81">
        <v>2012</v>
      </c>
      <c r="I16" s="81">
        <v>2013</v>
      </c>
      <c r="J16" s="81">
        <v>2014</v>
      </c>
      <c r="K16" s="81">
        <v>2015</v>
      </c>
      <c r="L16" s="81">
        <v>2016</v>
      </c>
      <c r="M16" s="81">
        <v>2017</v>
      </c>
      <c r="N16" s="81">
        <v>2018</v>
      </c>
      <c r="O16" s="724">
        <v>2019</v>
      </c>
      <c r="P16" s="381">
        <v>2020</v>
      </c>
      <c r="Q16" s="381">
        <v>2021</v>
      </c>
      <c r="R16" s="381">
        <v>2022</v>
      </c>
      <c r="S16" s="381">
        <v>2023</v>
      </c>
      <c r="T16" s="381">
        <v>2024</v>
      </c>
      <c r="U16" s="381">
        <v>2025</v>
      </c>
      <c r="V16" s="381">
        <v>2026</v>
      </c>
      <c r="W16" s="381">
        <v>2027</v>
      </c>
      <c r="X16" s="381">
        <v>2028</v>
      </c>
      <c r="Y16" s="381">
        <v>2029</v>
      </c>
      <c r="Z16" s="381">
        <v>2030</v>
      </c>
      <c r="AC16" s="81">
        <v>2010</v>
      </c>
      <c r="AD16" s="81">
        <v>2011</v>
      </c>
      <c r="AE16" s="81">
        <v>2012</v>
      </c>
      <c r="AF16" s="81">
        <v>2013</v>
      </c>
      <c r="AG16" s="81">
        <v>2014</v>
      </c>
      <c r="AH16" s="81">
        <v>2015</v>
      </c>
      <c r="AI16" s="81">
        <v>2016</v>
      </c>
      <c r="AJ16" s="81">
        <v>2017</v>
      </c>
      <c r="AK16" s="81">
        <v>2018</v>
      </c>
      <c r="AL16" s="381">
        <v>2019</v>
      </c>
      <c r="AM16" s="381">
        <v>2020</v>
      </c>
      <c r="AN16" s="381">
        <v>2021</v>
      </c>
      <c r="AO16" s="381">
        <v>2022</v>
      </c>
      <c r="AP16" s="381">
        <v>2023</v>
      </c>
      <c r="AQ16" s="381">
        <v>2024</v>
      </c>
      <c r="AR16" s="381">
        <v>2025</v>
      </c>
      <c r="AS16" s="381">
        <v>2026</v>
      </c>
      <c r="AT16" s="381">
        <v>2027</v>
      </c>
      <c r="AU16" s="381">
        <v>2028</v>
      </c>
      <c r="AV16" s="381">
        <v>2029</v>
      </c>
      <c r="AW16" s="381">
        <v>2030</v>
      </c>
      <c r="AZ16" s="81">
        <v>2010</v>
      </c>
      <c r="BA16" s="81">
        <v>2011</v>
      </c>
      <c r="BB16" s="81">
        <v>2012</v>
      </c>
      <c r="BC16" s="81">
        <v>2013</v>
      </c>
      <c r="BD16" s="81">
        <v>2014</v>
      </c>
      <c r="BE16" s="81">
        <v>2015</v>
      </c>
      <c r="BF16" s="81">
        <v>2016</v>
      </c>
      <c r="BG16" s="81">
        <v>2017</v>
      </c>
      <c r="BH16" s="81">
        <v>2018</v>
      </c>
      <c r="BI16" s="381">
        <v>2019</v>
      </c>
      <c r="BJ16" s="381">
        <v>2020</v>
      </c>
      <c r="BK16" s="381">
        <v>2021</v>
      </c>
      <c r="BL16" s="381">
        <v>2022</v>
      </c>
      <c r="BM16" s="381">
        <v>2023</v>
      </c>
      <c r="BN16" s="381">
        <v>2024</v>
      </c>
      <c r="BO16" s="381">
        <v>2025</v>
      </c>
      <c r="BP16" s="381">
        <v>2026</v>
      </c>
      <c r="BQ16" s="381">
        <v>2027</v>
      </c>
      <c r="BR16" s="381">
        <v>2028</v>
      </c>
      <c r="BS16" s="381">
        <v>2029</v>
      </c>
      <c r="BT16" s="381">
        <v>2030</v>
      </c>
    </row>
    <row r="17" spans="2:72" s="112" customFormat="1">
      <c r="B17" s="1"/>
      <c r="C17" s="1"/>
      <c r="D17" s="1"/>
      <c r="E17" s="1"/>
      <c r="H17" s="1"/>
      <c r="I17" s="1"/>
      <c r="J17" s="1"/>
      <c r="K17" s="1"/>
      <c r="L17" s="1"/>
      <c r="M17" s="1"/>
      <c r="N17" s="382"/>
      <c r="O17" s="382"/>
      <c r="P17" s="382"/>
      <c r="Q17" s="382"/>
      <c r="R17" s="382"/>
      <c r="S17" s="382"/>
      <c r="T17" s="382"/>
      <c r="U17" s="382"/>
      <c r="V17" s="382"/>
      <c r="W17" s="382"/>
      <c r="X17" s="382"/>
      <c r="Y17" s="382"/>
      <c r="Z17" s="382"/>
      <c r="AH17" s="1"/>
      <c r="BE17" s="1"/>
    </row>
    <row r="18" spans="2:72" s="112" customFormat="1" ht="19">
      <c r="B18" s="1"/>
      <c r="C18" s="1"/>
      <c r="D18" s="54" t="s">
        <v>50</v>
      </c>
      <c r="E18" s="54" t="s">
        <v>7</v>
      </c>
      <c r="F18" s="55"/>
      <c r="G18" s="55"/>
      <c r="H18" s="55"/>
      <c r="I18" s="55"/>
      <c r="J18" s="55"/>
      <c r="K18" s="55"/>
      <c r="L18" s="55"/>
      <c r="M18" s="55"/>
      <c r="N18" s="383"/>
      <c r="O18" s="383"/>
      <c r="P18" s="383"/>
      <c r="Q18" s="383"/>
      <c r="R18" s="383"/>
      <c r="S18" s="383"/>
      <c r="T18" s="383"/>
      <c r="U18" s="383"/>
      <c r="V18" s="383"/>
      <c r="W18" s="383"/>
      <c r="X18" s="383"/>
      <c r="Y18" s="383"/>
      <c r="Z18" s="383"/>
      <c r="AC18" s="54" t="s">
        <v>50</v>
      </c>
      <c r="AD18" s="54" t="s">
        <v>7</v>
      </c>
      <c r="AE18" s="55"/>
      <c r="AF18" s="55"/>
      <c r="AG18" s="55"/>
      <c r="AH18" s="55"/>
      <c r="AI18" s="55"/>
      <c r="AJ18" s="55"/>
      <c r="AK18" s="55"/>
      <c r="AL18" s="55"/>
      <c r="AM18" s="383"/>
      <c r="AN18" s="383"/>
      <c r="AO18" s="383"/>
      <c r="AP18" s="383"/>
      <c r="AQ18" s="383"/>
      <c r="AR18" s="383"/>
      <c r="AS18" s="383"/>
      <c r="AT18" s="383"/>
      <c r="AU18" s="383"/>
      <c r="AV18" s="383"/>
      <c r="AW18" s="383"/>
      <c r="AX18" s="697"/>
      <c r="AY18" s="697"/>
      <c r="AZ18" s="54"/>
      <c r="BA18" s="54"/>
      <c r="BB18" s="55"/>
      <c r="BC18" s="55"/>
      <c r="BD18" s="55"/>
      <c r="BE18" s="55"/>
      <c r="BF18" s="55"/>
      <c r="BG18" s="55"/>
      <c r="BH18" s="55"/>
      <c r="BI18" s="55"/>
      <c r="BJ18" s="383"/>
      <c r="BK18" s="383"/>
      <c r="BL18" s="383"/>
      <c r="BM18" s="383"/>
      <c r="BN18" s="383"/>
      <c r="BO18" s="383"/>
      <c r="BP18" s="383"/>
      <c r="BQ18" s="383"/>
      <c r="BR18" s="383"/>
      <c r="BS18" s="383"/>
      <c r="BT18" s="383"/>
    </row>
    <row r="19" spans="2:72" s="112" customFormat="1" ht="28" customHeight="1">
      <c r="B19" s="1"/>
      <c r="C19" s="1"/>
      <c r="D19" s="96"/>
      <c r="E19" s="1"/>
      <c r="F19" s="1">
        <f>IF(Data!$F$24="Yes",Data!H24,Data!H26)</f>
        <v>26566075</v>
      </c>
      <c r="G19" s="1">
        <f>IF(Data!$F$24="Yes",Data!I24,Data!I26)</f>
        <v>26329745</v>
      </c>
      <c r="H19" s="1">
        <f>IF(Data!$F$24="Yes",Data!J24,Data!J26)</f>
        <v>26127686</v>
      </c>
      <c r="I19" s="1">
        <f>IF(Data!$F$24="Yes",Data!K24,Data!K26)</f>
        <v>25970276</v>
      </c>
      <c r="J19" s="1">
        <f>IF(Data!$F$24="Yes",Data!L24,Data!L26)</f>
        <v>25860462</v>
      </c>
      <c r="K19" s="1">
        <f>IF(Data!$F$24="Yes",Data!M24,Data!M26)</f>
        <v>25793674</v>
      </c>
      <c r="L19" s="1">
        <f>IF(Data!$F$24="Yes",Data!N24,Data!N26)</f>
        <v>25757827</v>
      </c>
      <c r="M19" s="1">
        <f>IF(Data!$F$24="Yes",Data!O24,Data!O26)</f>
        <v>25732835</v>
      </c>
      <c r="N19" s="1">
        <f>IF(Data!$F$24="Yes",Data!P24,Data!P26)</f>
        <v>25701683</v>
      </c>
      <c r="O19" s="1">
        <f>VLOOKUP($F$2&amp;Data!$D$24,'Live births'!4:100,MATCH(BaselineData!O16,'Live births'!1:1,0),0)</f>
        <v>25656209</v>
      </c>
      <c r="P19" s="1">
        <f>VLOOKUP($F$2&amp;Data!$D$24,'Live births'!4:100,MATCH(BaselineData!P16,'Live births'!1:1,0),0)</f>
        <v>25592063</v>
      </c>
      <c r="Q19" s="1">
        <f>VLOOKUP($F$2&amp;Data!$D$24,'Live births'!4:100,MATCH(BaselineData!Q16,'Live births'!1:1,0),0)</f>
        <v>25509804</v>
      </c>
      <c r="R19" s="1">
        <f>VLOOKUP($F$2&amp;Data!$D$24,'Live births'!4:100,MATCH(BaselineData!R16,'Live births'!1:1,0),0)</f>
        <v>25415752</v>
      </c>
      <c r="S19" s="1">
        <f>VLOOKUP($F$2&amp;Data!$D$24,'Live births'!4:100,MATCH(BaselineData!S16,'Live births'!1:1,0),0)</f>
        <v>25314517</v>
      </c>
      <c r="T19" s="1">
        <f>VLOOKUP($F$2&amp;Data!$D$24,'Live births'!4:100,MATCH(BaselineData!T16,'Live births'!1:1,0),0)</f>
        <v>25205935</v>
      </c>
      <c r="U19" s="1">
        <f>VLOOKUP($F$2&amp;Data!$D$24,'Live births'!4:100,MATCH(BaselineData!U16,'Live births'!1:1,0),0)</f>
        <v>25089023</v>
      </c>
      <c r="V19" s="1">
        <f>VLOOKUP($F$2&amp;Data!$D$24,'Live births'!4:100,MATCH(BaselineData!V16,'Live births'!1:1,0),0)</f>
        <v>24962370</v>
      </c>
      <c r="W19" s="1">
        <f>VLOOKUP($F$2&amp;Data!$D$24,'Live births'!4:100,MATCH(BaselineData!W16,'Live births'!1:1,0),0)</f>
        <v>24824987</v>
      </c>
      <c r="X19" s="1">
        <f>VLOOKUP($F$2&amp;Data!$D$24,'Live births'!4:100,MATCH(BaselineData!X16,'Live births'!1:1,0),0)</f>
        <v>24676554</v>
      </c>
      <c r="Y19" s="1">
        <f>VLOOKUP($F$2&amp;Data!$D$24,'Live births'!4:100,MATCH(BaselineData!Y16,'Live births'!1:1,0),0)</f>
        <v>24517496</v>
      </c>
      <c r="Z19" s="1">
        <f>VLOOKUP($F$2&amp;Data!$D$24,'Live births'!4:100,MATCH(BaselineData!Z16,'Live births'!1:1,0),0)</f>
        <v>24347619</v>
      </c>
      <c r="AC19" s="112">
        <f>F19</f>
        <v>26566075</v>
      </c>
      <c r="AD19" s="112">
        <f t="shared" ref="AD19:AW19" si="0">G19</f>
        <v>26329745</v>
      </c>
      <c r="AE19" s="112">
        <f t="shared" si="0"/>
        <v>26127686</v>
      </c>
      <c r="AF19" s="112">
        <f t="shared" si="0"/>
        <v>25970276</v>
      </c>
      <c r="AG19" s="112">
        <f t="shared" si="0"/>
        <v>25860462</v>
      </c>
      <c r="AH19" s="112">
        <f t="shared" si="0"/>
        <v>25793674</v>
      </c>
      <c r="AI19" s="112">
        <f t="shared" si="0"/>
        <v>25757827</v>
      </c>
      <c r="AJ19" s="112">
        <f t="shared" si="0"/>
        <v>25732835</v>
      </c>
      <c r="AK19" s="112">
        <f t="shared" si="0"/>
        <v>25701683</v>
      </c>
      <c r="AL19" s="112">
        <f t="shared" si="0"/>
        <v>25656209</v>
      </c>
      <c r="AM19" s="112">
        <f t="shared" si="0"/>
        <v>25592063</v>
      </c>
      <c r="AN19" s="112">
        <f t="shared" si="0"/>
        <v>25509804</v>
      </c>
      <c r="AO19" s="112">
        <f t="shared" si="0"/>
        <v>25415752</v>
      </c>
      <c r="AP19" s="112">
        <f t="shared" si="0"/>
        <v>25314517</v>
      </c>
      <c r="AQ19" s="112">
        <f t="shared" si="0"/>
        <v>25205935</v>
      </c>
      <c r="AR19" s="112">
        <f t="shared" si="0"/>
        <v>25089023</v>
      </c>
      <c r="AS19" s="112">
        <f t="shared" si="0"/>
        <v>24962370</v>
      </c>
      <c r="AT19" s="112">
        <f t="shared" si="0"/>
        <v>24824987</v>
      </c>
      <c r="AU19" s="112">
        <f t="shared" si="0"/>
        <v>24676554</v>
      </c>
      <c r="AV19" s="112">
        <f t="shared" si="0"/>
        <v>24517496</v>
      </c>
      <c r="AW19" s="112">
        <f t="shared" si="0"/>
        <v>24347619</v>
      </c>
      <c r="AZ19" s="112">
        <f>F19</f>
        <v>26566075</v>
      </c>
      <c r="BA19" s="112">
        <f t="shared" ref="BA19:BT19" si="1">G19</f>
        <v>26329745</v>
      </c>
      <c r="BB19" s="112">
        <f t="shared" si="1"/>
        <v>26127686</v>
      </c>
      <c r="BC19" s="112">
        <f t="shared" si="1"/>
        <v>25970276</v>
      </c>
      <c r="BD19" s="112">
        <f t="shared" si="1"/>
        <v>25860462</v>
      </c>
      <c r="BE19" s="112">
        <f t="shared" si="1"/>
        <v>25793674</v>
      </c>
      <c r="BF19" s="112">
        <f t="shared" si="1"/>
        <v>25757827</v>
      </c>
      <c r="BG19" s="112">
        <f t="shared" si="1"/>
        <v>25732835</v>
      </c>
      <c r="BH19" s="112">
        <f t="shared" si="1"/>
        <v>25701683</v>
      </c>
      <c r="BI19" s="112">
        <f t="shared" si="1"/>
        <v>25656209</v>
      </c>
      <c r="BJ19" s="112">
        <f t="shared" si="1"/>
        <v>25592063</v>
      </c>
      <c r="BK19" s="112">
        <f t="shared" si="1"/>
        <v>25509804</v>
      </c>
      <c r="BL19" s="112">
        <f t="shared" si="1"/>
        <v>25415752</v>
      </c>
      <c r="BM19" s="112">
        <f t="shared" si="1"/>
        <v>25314517</v>
      </c>
      <c r="BN19" s="112">
        <f t="shared" si="1"/>
        <v>25205935</v>
      </c>
      <c r="BO19" s="112">
        <f t="shared" si="1"/>
        <v>25089023</v>
      </c>
      <c r="BP19" s="112">
        <f t="shared" si="1"/>
        <v>24962370</v>
      </c>
      <c r="BQ19" s="112">
        <f t="shared" si="1"/>
        <v>24824987</v>
      </c>
      <c r="BR19" s="112">
        <f t="shared" si="1"/>
        <v>24676554</v>
      </c>
      <c r="BS19" s="112">
        <f t="shared" si="1"/>
        <v>24517496</v>
      </c>
      <c r="BT19" s="112">
        <f t="shared" si="1"/>
        <v>24347619</v>
      </c>
    </row>
    <row r="20" spans="2:72" s="112" customFormat="1">
      <c r="B20" s="1"/>
      <c r="C20" s="1"/>
      <c r="D20" s="96"/>
      <c r="E20" s="1"/>
      <c r="H20" s="1"/>
      <c r="I20" s="1"/>
      <c r="J20" s="1"/>
      <c r="K20" s="1"/>
      <c r="L20" s="1"/>
      <c r="M20" s="1"/>
      <c r="N20" s="382"/>
      <c r="O20" s="382"/>
      <c r="P20" s="382"/>
      <c r="Q20" s="382"/>
      <c r="R20" s="382"/>
      <c r="S20" s="382"/>
      <c r="T20" s="382"/>
      <c r="U20" s="382"/>
      <c r="V20" s="382"/>
      <c r="W20" s="382"/>
      <c r="X20" s="382"/>
      <c r="Y20" s="382"/>
      <c r="Z20" s="382"/>
      <c r="AH20" s="1"/>
      <c r="BE20" s="1"/>
    </row>
    <row r="21" spans="2:72" s="112" customFormat="1" ht="19">
      <c r="B21" s="1"/>
      <c r="C21" s="1"/>
      <c r="D21" s="54" t="s">
        <v>50</v>
      </c>
      <c r="E21" s="54" t="s">
        <v>17</v>
      </c>
      <c r="F21" s="55"/>
      <c r="G21" s="55"/>
      <c r="H21" s="55"/>
      <c r="I21" s="55"/>
      <c r="J21" s="55"/>
      <c r="K21" s="55"/>
      <c r="L21" s="55"/>
      <c r="M21" s="55"/>
      <c r="N21" s="383"/>
      <c r="O21" s="383"/>
      <c r="P21" s="383"/>
      <c r="Q21" s="383"/>
      <c r="R21" s="383"/>
      <c r="S21" s="383"/>
      <c r="T21" s="383"/>
      <c r="U21" s="383"/>
      <c r="V21" s="383"/>
      <c r="W21" s="383"/>
      <c r="X21" s="383"/>
      <c r="Y21" s="383"/>
      <c r="Z21" s="383"/>
      <c r="AC21" s="54" t="s">
        <v>50</v>
      </c>
      <c r="AD21" s="54" t="s">
        <v>17</v>
      </c>
      <c r="AE21" s="55"/>
      <c r="AF21" s="55"/>
      <c r="AG21" s="55"/>
      <c r="AH21" s="55"/>
      <c r="AI21" s="55"/>
      <c r="AJ21" s="55"/>
      <c r="AK21" s="55"/>
      <c r="AL21" s="55"/>
      <c r="AM21" s="383"/>
      <c r="AN21" s="383"/>
      <c r="AO21" s="383"/>
      <c r="AP21" s="383"/>
      <c r="AQ21" s="383"/>
      <c r="AR21" s="383"/>
      <c r="AS21" s="383"/>
      <c r="AT21" s="383"/>
      <c r="AU21" s="383"/>
      <c r="AV21" s="383"/>
      <c r="AW21" s="383"/>
      <c r="AX21" s="697"/>
      <c r="AY21" s="697"/>
      <c r="AZ21" s="54"/>
      <c r="BA21" s="54"/>
      <c r="BB21" s="55"/>
      <c r="BC21" s="55"/>
      <c r="BD21" s="55"/>
      <c r="BE21" s="55"/>
      <c r="BF21" s="55"/>
      <c r="BG21" s="55"/>
      <c r="BH21" s="55"/>
      <c r="BI21" s="55"/>
      <c r="BJ21" s="383"/>
      <c r="BK21" s="383"/>
      <c r="BL21" s="383"/>
      <c r="BM21" s="383"/>
      <c r="BN21" s="383"/>
      <c r="BO21" s="383"/>
      <c r="BP21" s="383"/>
      <c r="BQ21" s="383"/>
      <c r="BR21" s="383"/>
      <c r="BS21" s="383"/>
      <c r="BT21" s="383"/>
    </row>
    <row r="22" spans="2:72" s="112" customFormat="1" ht="17">
      <c r="B22" s="1"/>
      <c r="C22" s="1"/>
      <c r="D22" s="253"/>
      <c r="E22" s="253" t="s">
        <v>883</v>
      </c>
      <c r="F22" s="177">
        <f>IF(Data!$F$30="Yes",Data!H30,IF(Data!H31="","NA",Data!H31))</f>
        <v>3.5000000000000001E-3</v>
      </c>
      <c r="G22" s="177">
        <f>IF(Data!$F$30="Yes",Data!I30,IF(Data!I31="","NA",Data!I31))</f>
        <v>2.8999999999999998E-3</v>
      </c>
      <c r="H22" s="177">
        <f>IF(Data!$F$30="Yes",Data!J30,IF(Data!J31="","NA",Data!J31))</f>
        <v>6.4000000000000003E-3</v>
      </c>
      <c r="I22" s="177">
        <f>IF(Data!$F$30="Yes",Data!K30,IF(Data!K31="","NA",Data!K31))</f>
        <v>8.9999999999999998E-4</v>
      </c>
      <c r="J22" s="177">
        <f>IF(Data!$F$30="Yes",Data!L30,IF(Data!L31="","NA",Data!L31))</f>
        <v>2.3E-3</v>
      </c>
      <c r="K22" s="177">
        <f>IF(Data!$F$30="Yes",Data!M30,IF(Data!M31="","NA",Data!M31))</f>
        <v>2.0999999999999999E-3</v>
      </c>
      <c r="L22" s="177">
        <f>IF(Data!$F$30="Yes",Data!N30,IF(Data!N31="","NA",Data!N31))</f>
        <v>8.9999999999999998E-4</v>
      </c>
      <c r="M22" s="177">
        <f>IF(Data!$F$30="Yes",Data!O30,IF(Data!O31="","NA",Data!O31))</f>
        <v>1E-3</v>
      </c>
      <c r="N22" s="177" t="str">
        <f>IF(Data!$F$30="Yes",Data!P30,IF(Data!P31="","NA",Data!P31))</f>
        <v>NA</v>
      </c>
      <c r="O22" s="177">
        <f>IF(Data!$F$30="Yes",Data!Q30,IF(Data!Q31="","NA",Data!Q31))</f>
        <v>9.6341080571743845E-4</v>
      </c>
      <c r="P22" s="177">
        <f>IF(Data!$F$30="Yes",Data!R30,IF(Data!R31="","NA",Data!R31))</f>
        <v>9.6341080571743845E-4</v>
      </c>
      <c r="Q22" s="177">
        <f>$P$22</f>
        <v>9.6341080571743845E-4</v>
      </c>
      <c r="R22" s="177">
        <f t="shared" ref="R22:Z22" si="2">$P$22</f>
        <v>9.6341080571743845E-4</v>
      </c>
      <c r="S22" s="177">
        <f t="shared" si="2"/>
        <v>9.6341080571743845E-4</v>
      </c>
      <c r="T22" s="177">
        <f t="shared" si="2"/>
        <v>9.6341080571743845E-4</v>
      </c>
      <c r="U22" s="177">
        <f t="shared" si="2"/>
        <v>9.6341080571743845E-4</v>
      </c>
      <c r="V22" s="177">
        <f t="shared" si="2"/>
        <v>9.6341080571743845E-4</v>
      </c>
      <c r="W22" s="177">
        <f t="shared" si="2"/>
        <v>9.6341080571743845E-4</v>
      </c>
      <c r="X22" s="177">
        <f t="shared" si="2"/>
        <v>9.6341080571743845E-4</v>
      </c>
      <c r="Y22" s="177">
        <f t="shared" si="2"/>
        <v>9.6341080571743845E-4</v>
      </c>
      <c r="Z22" s="177">
        <f t="shared" si="2"/>
        <v>9.6341080571743845E-4</v>
      </c>
      <c r="AC22" s="354">
        <f>F24</f>
        <v>2.5000000000000001E-3</v>
      </c>
      <c r="AD22" s="354">
        <f t="shared" ref="AD22:AW22" si="3">G24</f>
        <v>1.8999999999999998E-3</v>
      </c>
      <c r="AE22" s="354">
        <f t="shared" si="3"/>
        <v>5.4000000000000003E-3</v>
      </c>
      <c r="AF22" s="354">
        <f t="shared" si="3"/>
        <v>0</v>
      </c>
      <c r="AG22" s="354">
        <f t="shared" si="3"/>
        <v>1.2999999999999999E-3</v>
      </c>
      <c r="AH22" s="354">
        <f t="shared" si="3"/>
        <v>1.0999999999999998E-3</v>
      </c>
      <c r="AI22" s="354">
        <f t="shared" si="3"/>
        <v>0</v>
      </c>
      <c r="AJ22" s="354">
        <f t="shared" si="3"/>
        <v>0</v>
      </c>
      <c r="AK22" s="354" t="e">
        <f t="shared" si="3"/>
        <v>#VALUE!</v>
      </c>
      <c r="AL22" s="354">
        <f t="shared" si="3"/>
        <v>0</v>
      </c>
      <c r="AM22" s="354">
        <f t="shared" si="3"/>
        <v>0</v>
      </c>
      <c r="AN22" s="354">
        <f t="shared" si="3"/>
        <v>0</v>
      </c>
      <c r="AO22" s="354">
        <f t="shared" si="3"/>
        <v>0</v>
      </c>
      <c r="AP22" s="354">
        <f t="shared" si="3"/>
        <v>0</v>
      </c>
      <c r="AQ22" s="354">
        <f t="shared" si="3"/>
        <v>0</v>
      </c>
      <c r="AR22" s="354">
        <f t="shared" si="3"/>
        <v>0</v>
      </c>
      <c r="AS22" s="354">
        <f t="shared" si="3"/>
        <v>0</v>
      </c>
      <c r="AT22" s="354">
        <f t="shared" si="3"/>
        <v>0</v>
      </c>
      <c r="AU22" s="354">
        <f t="shared" si="3"/>
        <v>0</v>
      </c>
      <c r="AV22" s="354">
        <f t="shared" si="3"/>
        <v>0</v>
      </c>
      <c r="AW22" s="354">
        <f t="shared" si="3"/>
        <v>0</v>
      </c>
      <c r="AZ22" s="354">
        <f>F23</f>
        <v>4.5000000000000005E-3</v>
      </c>
      <c r="BA22" s="354">
        <f t="shared" ref="BA22:BT22" si="4">G23</f>
        <v>3.8999999999999998E-3</v>
      </c>
      <c r="BB22" s="354">
        <f t="shared" si="4"/>
        <v>7.4000000000000003E-3</v>
      </c>
      <c r="BC22" s="354">
        <f t="shared" si="4"/>
        <v>1.9E-3</v>
      </c>
      <c r="BD22" s="354">
        <f t="shared" si="4"/>
        <v>3.3E-3</v>
      </c>
      <c r="BE22" s="354">
        <f t="shared" si="4"/>
        <v>3.0999999999999999E-3</v>
      </c>
      <c r="BF22" s="354">
        <f t="shared" si="4"/>
        <v>1.9E-3</v>
      </c>
      <c r="BG22" s="354">
        <f t="shared" si="4"/>
        <v>2E-3</v>
      </c>
      <c r="BH22" s="354" t="e">
        <f t="shared" si="4"/>
        <v>#VALUE!</v>
      </c>
      <c r="BI22" s="354">
        <f t="shared" si="4"/>
        <v>1.9634108057174386E-3</v>
      </c>
      <c r="BJ22" s="354">
        <f t="shared" si="4"/>
        <v>1.9634108057174386E-3</v>
      </c>
      <c r="BK22" s="354">
        <f t="shared" si="4"/>
        <v>1.9634108057174386E-3</v>
      </c>
      <c r="BL22" s="354">
        <f t="shared" si="4"/>
        <v>1.9634108057174386E-3</v>
      </c>
      <c r="BM22" s="354">
        <f t="shared" si="4"/>
        <v>1.9634108057174386E-3</v>
      </c>
      <c r="BN22" s="354">
        <f t="shared" si="4"/>
        <v>1.9634108057174386E-3</v>
      </c>
      <c r="BO22" s="354">
        <f t="shared" si="4"/>
        <v>1.9634108057174386E-3</v>
      </c>
      <c r="BP22" s="354">
        <f t="shared" si="4"/>
        <v>1.9634108057174386E-3</v>
      </c>
      <c r="BQ22" s="354">
        <f t="shared" si="4"/>
        <v>1.9634108057174386E-3</v>
      </c>
      <c r="BR22" s="354">
        <f t="shared" si="4"/>
        <v>1.9634108057174386E-3</v>
      </c>
      <c r="BS22" s="354">
        <f t="shared" si="4"/>
        <v>1.9634108057174386E-3</v>
      </c>
      <c r="BT22" s="354">
        <f t="shared" si="4"/>
        <v>1.9634108057174386E-3</v>
      </c>
    </row>
    <row r="23" spans="2:72" s="112" customFormat="1" ht="17">
      <c r="B23" s="1"/>
      <c r="C23" s="1"/>
      <c r="D23" s="253"/>
      <c r="E23" s="253" t="s">
        <v>884</v>
      </c>
      <c r="F23" s="177">
        <f>F22+Data!$T$31</f>
        <v>4.5000000000000005E-3</v>
      </c>
      <c r="G23" s="177">
        <f>G22+Data!$T$31</f>
        <v>3.8999999999999998E-3</v>
      </c>
      <c r="H23" s="177">
        <f>H22+Data!$T$31</f>
        <v>7.4000000000000003E-3</v>
      </c>
      <c r="I23" s="177">
        <f>I22+Data!$T$31</f>
        <v>1.9E-3</v>
      </c>
      <c r="J23" s="177">
        <f>J22+Data!$T$31</f>
        <v>3.3E-3</v>
      </c>
      <c r="K23" s="177">
        <f>K22+Data!$T$31</f>
        <v>3.0999999999999999E-3</v>
      </c>
      <c r="L23" s="177">
        <f>L22+Data!$T$31</f>
        <v>1.9E-3</v>
      </c>
      <c r="M23" s="177">
        <f>M22+Data!$T$31</f>
        <v>2E-3</v>
      </c>
      <c r="N23" s="177" t="e">
        <f>N22+Data!$T$31</f>
        <v>#VALUE!</v>
      </c>
      <c r="O23" s="177">
        <f>O22+Data!$T$31</f>
        <v>1.9634108057174386E-3</v>
      </c>
      <c r="P23" s="177">
        <f>P22+Data!$T$31</f>
        <v>1.9634108057174386E-3</v>
      </c>
      <c r="Q23" s="177">
        <f>Q22+Data!$T$31</f>
        <v>1.9634108057174386E-3</v>
      </c>
      <c r="R23" s="177">
        <f>R22+Data!$T$31</f>
        <v>1.9634108057174386E-3</v>
      </c>
      <c r="S23" s="177">
        <f>S22+Data!$T$31</f>
        <v>1.9634108057174386E-3</v>
      </c>
      <c r="T23" s="177">
        <f>T22+Data!$T$31</f>
        <v>1.9634108057174386E-3</v>
      </c>
      <c r="U23" s="177">
        <f>U22+Data!$T$31</f>
        <v>1.9634108057174386E-3</v>
      </c>
      <c r="V23" s="177">
        <f>V22+Data!$T$31</f>
        <v>1.9634108057174386E-3</v>
      </c>
      <c r="W23" s="177">
        <f>W22+Data!$T$31</f>
        <v>1.9634108057174386E-3</v>
      </c>
      <c r="X23" s="177">
        <f>X22+Data!$T$31</f>
        <v>1.9634108057174386E-3</v>
      </c>
      <c r="Y23" s="177">
        <f>Y22+Data!$T$31</f>
        <v>1.9634108057174386E-3</v>
      </c>
      <c r="Z23" s="177">
        <f>Z22+Data!$T$31</f>
        <v>1.9634108057174386E-3</v>
      </c>
    </row>
    <row r="24" spans="2:72" s="112" customFormat="1" ht="17">
      <c r="B24" s="1"/>
      <c r="C24" s="1"/>
      <c r="D24" s="253"/>
      <c r="E24" s="253" t="s">
        <v>885</v>
      </c>
      <c r="F24" s="177">
        <f>IF((F22-Data!$T$31)&lt;0,0,F22-Data!$T$31)</f>
        <v>2.5000000000000001E-3</v>
      </c>
      <c r="G24" s="177">
        <f>IF((G22-Data!$T$31)&lt;0,0,G22-Data!$T$31)</f>
        <v>1.8999999999999998E-3</v>
      </c>
      <c r="H24" s="177">
        <f>IF((H22-Data!$T$31)&lt;0,0,H22-Data!$T$31)</f>
        <v>5.4000000000000003E-3</v>
      </c>
      <c r="I24" s="177">
        <f>IF((I22-Data!$T$31)&lt;0,0,I22-Data!$T$31)</f>
        <v>0</v>
      </c>
      <c r="J24" s="177">
        <f>IF((J22-Data!$T$31)&lt;0,0,J22-Data!$T$31)</f>
        <v>1.2999999999999999E-3</v>
      </c>
      <c r="K24" s="177">
        <f>IF((K22-Data!$T$31)&lt;0,0,K22-Data!$T$31)</f>
        <v>1.0999999999999998E-3</v>
      </c>
      <c r="L24" s="177">
        <f>IF((L22-Data!$T$31)&lt;0,0,L22-Data!$T$31)</f>
        <v>0</v>
      </c>
      <c r="M24" s="177">
        <f>IF((M22-Data!$T$31)&lt;0,0,M22-Data!$T$31)</f>
        <v>0</v>
      </c>
      <c r="N24" s="177" t="e">
        <f>IF((N22-Data!$T$31)&lt;0,0,N22-Data!$T$31)</f>
        <v>#VALUE!</v>
      </c>
      <c r="O24" s="177">
        <f>IF((O22-Data!$T$31)&lt;0,0,O22-Data!$T$31)</f>
        <v>0</v>
      </c>
      <c r="P24" s="177">
        <f>IF((P22-Data!$T$31)&lt;0,0,P22-Data!$T$31)</f>
        <v>0</v>
      </c>
      <c r="Q24" s="177">
        <f>IF((Q22-Data!$T$31)&lt;0,0,Q22-Data!$T$31)</f>
        <v>0</v>
      </c>
      <c r="R24" s="177">
        <f>IF((R22-Data!$T$31)&lt;0,0,R22-Data!$T$31)</f>
        <v>0</v>
      </c>
      <c r="S24" s="177">
        <f>IF((S22-Data!$T$31)&lt;0,0,S22-Data!$T$31)</f>
        <v>0</v>
      </c>
      <c r="T24" s="177">
        <f>IF((T22-Data!$T$31)&lt;0,0,T22-Data!$T$31)</f>
        <v>0</v>
      </c>
      <c r="U24" s="177">
        <f>IF((U22-Data!$T$31)&lt;0,0,U22-Data!$T$31)</f>
        <v>0</v>
      </c>
      <c r="V24" s="177">
        <f>IF((V22-Data!$T$31)&lt;0,0,V22-Data!$T$31)</f>
        <v>0</v>
      </c>
      <c r="W24" s="177">
        <f>IF((W22-Data!$T$31)&lt;0,0,W22-Data!$T$31)</f>
        <v>0</v>
      </c>
      <c r="X24" s="177">
        <f>IF((X22-Data!$T$31)&lt;0,0,X22-Data!$T$31)</f>
        <v>0</v>
      </c>
      <c r="Y24" s="177">
        <f>IF((Y22-Data!$T$31)&lt;0,0,Y22-Data!$T$31)</f>
        <v>0</v>
      </c>
      <c r="Z24" s="177">
        <f>IF((Z22-Data!$T$31)&lt;0,0,Z22-Data!$T$31)</f>
        <v>0</v>
      </c>
    </row>
    <row r="25" spans="2:72" s="112" customFormat="1">
      <c r="B25" s="1"/>
      <c r="C25" s="1"/>
      <c r="D25" s="96"/>
      <c r="E25" s="1"/>
      <c r="H25" s="1"/>
      <c r="I25" s="1"/>
      <c r="J25" s="1"/>
      <c r="K25" s="1"/>
      <c r="L25" s="1"/>
      <c r="M25" s="1"/>
      <c r="N25" s="382"/>
      <c r="O25" s="382"/>
      <c r="P25" s="382"/>
      <c r="Q25" s="382"/>
      <c r="R25" s="382"/>
      <c r="S25" s="382"/>
      <c r="T25" s="382"/>
      <c r="U25" s="382"/>
      <c r="V25" s="382"/>
      <c r="W25" s="382"/>
      <c r="X25" s="382"/>
      <c r="Y25" s="382"/>
      <c r="Z25" s="382"/>
    </row>
    <row r="26" spans="2:72" s="112" customFormat="1" ht="19">
      <c r="B26" s="1"/>
      <c r="C26" s="1"/>
      <c r="D26" s="54" t="s">
        <v>50</v>
      </c>
      <c r="E26" s="54" t="s">
        <v>301</v>
      </c>
      <c r="F26" s="55"/>
      <c r="G26" s="55"/>
      <c r="H26" s="55"/>
      <c r="I26" s="55"/>
      <c r="J26" s="55"/>
      <c r="K26" s="55"/>
      <c r="L26" s="55"/>
      <c r="M26" s="55"/>
      <c r="N26" s="383"/>
      <c r="O26" s="383"/>
      <c r="P26" s="383"/>
      <c r="Q26" s="383"/>
      <c r="R26" s="383"/>
      <c r="S26" s="383"/>
      <c r="T26" s="383"/>
      <c r="U26" s="383"/>
      <c r="V26" s="383"/>
      <c r="W26" s="383"/>
      <c r="X26" s="383"/>
      <c r="Y26" s="383"/>
      <c r="Z26" s="383"/>
      <c r="AC26" s="54" t="s">
        <v>50</v>
      </c>
      <c r="AD26" s="54" t="s">
        <v>301</v>
      </c>
      <c r="AE26" s="55"/>
      <c r="AF26" s="55"/>
      <c r="AG26" s="55"/>
      <c r="AH26" s="55"/>
      <c r="AI26" s="55"/>
      <c r="AJ26" s="55"/>
      <c r="AK26" s="55"/>
      <c r="AL26" s="55"/>
      <c r="AM26" s="383"/>
      <c r="AN26" s="383"/>
      <c r="AO26" s="383"/>
      <c r="AP26" s="383"/>
      <c r="AQ26" s="383"/>
      <c r="AR26" s="383"/>
      <c r="AS26" s="383"/>
      <c r="AT26" s="383"/>
      <c r="AU26" s="383"/>
      <c r="AV26" s="383"/>
      <c r="AW26" s="383"/>
      <c r="AX26" s="697"/>
      <c r="AY26" s="697"/>
      <c r="AZ26" s="54"/>
      <c r="BA26" s="54"/>
      <c r="BB26" s="55"/>
      <c r="BC26" s="55"/>
      <c r="BD26" s="55"/>
      <c r="BE26" s="55"/>
      <c r="BF26" s="55"/>
      <c r="BG26" s="55"/>
      <c r="BH26" s="55"/>
      <c r="BI26" s="55"/>
      <c r="BJ26" s="383"/>
      <c r="BK26" s="383"/>
      <c r="BL26" s="383"/>
      <c r="BM26" s="383"/>
      <c r="BN26" s="383"/>
      <c r="BO26" s="383"/>
      <c r="BP26" s="383"/>
      <c r="BQ26" s="383"/>
      <c r="BR26" s="383"/>
      <c r="BS26" s="383"/>
      <c r="BT26" s="383"/>
    </row>
    <row r="27" spans="2:72" s="112" customFormat="1">
      <c r="B27" s="1"/>
      <c r="C27" s="1"/>
      <c r="D27" s="359"/>
      <c r="F27" s="112">
        <f>IF(Data!$F$50="Yes",Data!H50,IF(Data!H51="","NA",Data!H51))</f>
        <v>19.477499999999999</v>
      </c>
      <c r="G27" s="112">
        <f>IF(Data!$F$50="Yes",Data!I50,IF(Data!I51="","NA",Data!I51))</f>
        <v>19.477499999999999</v>
      </c>
      <c r="H27" s="112">
        <f>IF(Data!$F$50="Yes",Data!J50,IF(Data!J51="","NA",Data!J51))</f>
        <v>19.477499999999999</v>
      </c>
      <c r="I27" s="112">
        <f>IF(Data!$F$50="Yes",Data!K50,IF(Data!K51="","NA",Data!K51))</f>
        <v>19.477499999999999</v>
      </c>
      <c r="J27" s="112">
        <f>IF(Data!$F$50="Yes",Data!L50,IF(Data!L51="","NA",Data!L51))</f>
        <v>19.477499999999999</v>
      </c>
      <c r="K27" s="112">
        <f>IF(Data!$F$50="Yes",Data!M50,IF(Data!M51="","NA",Data!M51))</f>
        <v>19.477499999999999</v>
      </c>
      <c r="L27" s="112">
        <f>IF(Data!$F$50="Yes",Data!N50,IF(Data!N51="","NA",Data!N51))</f>
        <v>19.477499999999999</v>
      </c>
      <c r="M27" s="112">
        <f>IF(Data!$F$50="Yes",Data!O50,IF(Data!O51="","NA",Data!O51))</f>
        <v>19.477499999999999</v>
      </c>
      <c r="N27" s="112">
        <f>IF(Data!$F$50="Yes",Data!P50,IF(Data!P51="","NA",Data!P51))</f>
        <v>19.477499999999999</v>
      </c>
      <c r="O27" s="112">
        <f>IF(Data!$F$50="Yes",Data!Q50,IF(Data!Q51="","NA",Data!Q51))</f>
        <v>19.477499999999999</v>
      </c>
      <c r="P27" s="112">
        <f>IF(Data!$F$50="Yes",Data!R50,IF(Data!R51="","NA",Data!R51))</f>
        <v>19.477499999999999</v>
      </c>
      <c r="Q27" s="382">
        <f>$O$27</f>
        <v>19.477499999999999</v>
      </c>
      <c r="R27" s="382">
        <f t="shared" ref="R27:Z27" si="5">$N$27</f>
        <v>19.477499999999999</v>
      </c>
      <c r="S27" s="382">
        <f t="shared" si="5"/>
        <v>19.477499999999999</v>
      </c>
      <c r="T27" s="382">
        <f t="shared" si="5"/>
        <v>19.477499999999999</v>
      </c>
      <c r="U27" s="382">
        <f t="shared" si="5"/>
        <v>19.477499999999999</v>
      </c>
      <c r="V27" s="382">
        <f t="shared" si="5"/>
        <v>19.477499999999999</v>
      </c>
      <c r="W27" s="382">
        <f t="shared" si="5"/>
        <v>19.477499999999999</v>
      </c>
      <c r="X27" s="382">
        <f t="shared" si="5"/>
        <v>19.477499999999999</v>
      </c>
      <c r="Y27" s="382">
        <f t="shared" si="5"/>
        <v>19.477499999999999</v>
      </c>
      <c r="Z27" s="382">
        <f t="shared" si="5"/>
        <v>19.477499999999999</v>
      </c>
      <c r="AC27" s="112">
        <f>F27</f>
        <v>19.477499999999999</v>
      </c>
      <c r="AD27" s="112">
        <f t="shared" ref="AD27:AW27" si="6">G27</f>
        <v>19.477499999999999</v>
      </c>
      <c r="AE27" s="112">
        <f t="shared" si="6"/>
        <v>19.477499999999999</v>
      </c>
      <c r="AF27" s="112">
        <f t="shared" si="6"/>
        <v>19.477499999999999</v>
      </c>
      <c r="AG27" s="112">
        <f t="shared" si="6"/>
        <v>19.477499999999999</v>
      </c>
      <c r="AH27" s="112">
        <f t="shared" si="6"/>
        <v>19.477499999999999</v>
      </c>
      <c r="AI27" s="112">
        <f t="shared" si="6"/>
        <v>19.477499999999999</v>
      </c>
      <c r="AJ27" s="112">
        <f t="shared" si="6"/>
        <v>19.477499999999999</v>
      </c>
      <c r="AK27" s="112">
        <f t="shared" si="6"/>
        <v>19.477499999999999</v>
      </c>
      <c r="AL27" s="112">
        <f t="shared" si="6"/>
        <v>19.477499999999999</v>
      </c>
      <c r="AM27" s="112">
        <f t="shared" si="6"/>
        <v>19.477499999999999</v>
      </c>
      <c r="AN27" s="112">
        <f t="shared" si="6"/>
        <v>19.477499999999999</v>
      </c>
      <c r="AO27" s="112">
        <f t="shared" si="6"/>
        <v>19.477499999999999</v>
      </c>
      <c r="AP27" s="112">
        <f t="shared" si="6"/>
        <v>19.477499999999999</v>
      </c>
      <c r="AQ27" s="112">
        <f t="shared" si="6"/>
        <v>19.477499999999999</v>
      </c>
      <c r="AR27" s="112">
        <f t="shared" si="6"/>
        <v>19.477499999999999</v>
      </c>
      <c r="AS27" s="112">
        <f t="shared" si="6"/>
        <v>19.477499999999999</v>
      </c>
      <c r="AT27" s="112">
        <f t="shared" si="6"/>
        <v>19.477499999999999</v>
      </c>
      <c r="AU27" s="112">
        <f t="shared" si="6"/>
        <v>19.477499999999999</v>
      </c>
      <c r="AV27" s="112">
        <f t="shared" si="6"/>
        <v>19.477499999999999</v>
      </c>
      <c r="AW27" s="112">
        <f t="shared" si="6"/>
        <v>19.477499999999999</v>
      </c>
      <c r="AZ27" s="112">
        <f>F27</f>
        <v>19.477499999999999</v>
      </c>
      <c r="BA27" s="112">
        <f t="shared" ref="BA27:BT27" si="7">G27</f>
        <v>19.477499999999999</v>
      </c>
      <c r="BB27" s="112">
        <f t="shared" si="7"/>
        <v>19.477499999999999</v>
      </c>
      <c r="BC27" s="112">
        <f t="shared" si="7"/>
        <v>19.477499999999999</v>
      </c>
      <c r="BD27" s="112">
        <f t="shared" si="7"/>
        <v>19.477499999999999</v>
      </c>
      <c r="BE27" s="112">
        <f t="shared" si="7"/>
        <v>19.477499999999999</v>
      </c>
      <c r="BF27" s="112">
        <f t="shared" si="7"/>
        <v>19.477499999999999</v>
      </c>
      <c r="BG27" s="112">
        <f t="shared" si="7"/>
        <v>19.477499999999999</v>
      </c>
      <c r="BH27" s="112">
        <f t="shared" si="7"/>
        <v>19.477499999999999</v>
      </c>
      <c r="BI27" s="112">
        <f t="shared" si="7"/>
        <v>19.477499999999999</v>
      </c>
      <c r="BJ27" s="112">
        <f t="shared" si="7"/>
        <v>19.477499999999999</v>
      </c>
      <c r="BK27" s="112">
        <f t="shared" si="7"/>
        <v>19.477499999999999</v>
      </c>
      <c r="BL27" s="112">
        <f t="shared" si="7"/>
        <v>19.477499999999999</v>
      </c>
      <c r="BM27" s="112">
        <f t="shared" si="7"/>
        <v>19.477499999999999</v>
      </c>
      <c r="BN27" s="112">
        <f t="shared" si="7"/>
        <v>19.477499999999999</v>
      </c>
      <c r="BO27" s="112">
        <f t="shared" si="7"/>
        <v>19.477499999999999</v>
      </c>
      <c r="BP27" s="112">
        <f t="shared" si="7"/>
        <v>19.477499999999999</v>
      </c>
      <c r="BQ27" s="112">
        <f t="shared" si="7"/>
        <v>19.477499999999999</v>
      </c>
      <c r="BR27" s="112">
        <f t="shared" si="7"/>
        <v>19.477499999999999</v>
      </c>
      <c r="BS27" s="112">
        <f t="shared" si="7"/>
        <v>19.477499999999999</v>
      </c>
      <c r="BT27" s="112">
        <f t="shared" si="7"/>
        <v>19.477499999999999</v>
      </c>
    </row>
    <row r="28" spans="2:72" s="112" customFormat="1">
      <c r="B28" s="1"/>
      <c r="C28" s="1"/>
      <c r="D28" s="359"/>
      <c r="P28" s="382"/>
      <c r="Q28" s="382"/>
      <c r="R28" s="382"/>
      <c r="S28" s="382"/>
      <c r="T28" s="382"/>
      <c r="U28" s="382"/>
      <c r="V28" s="382"/>
      <c r="W28" s="382"/>
      <c r="X28" s="382"/>
      <c r="Y28" s="382"/>
      <c r="Z28" s="382"/>
    </row>
    <row r="29" spans="2:72" s="112" customFormat="1" ht="19">
      <c r="B29" s="1"/>
      <c r="C29" s="1"/>
      <c r="D29" s="54"/>
      <c r="E29" s="54" t="s">
        <v>302</v>
      </c>
      <c r="F29" s="55"/>
      <c r="G29" s="55"/>
      <c r="H29" s="55"/>
      <c r="I29" s="55"/>
      <c r="J29" s="55"/>
      <c r="K29" s="55"/>
      <c r="L29" s="55"/>
      <c r="M29" s="55"/>
      <c r="N29" s="383"/>
      <c r="O29" s="383"/>
      <c r="P29" s="383"/>
      <c r="Q29" s="383"/>
      <c r="R29" s="383"/>
      <c r="S29" s="383"/>
      <c r="T29" s="383"/>
      <c r="U29" s="383"/>
      <c r="V29" s="383"/>
      <c r="W29" s="383"/>
      <c r="X29" s="383"/>
      <c r="Y29" s="383"/>
      <c r="Z29" s="383"/>
      <c r="AC29" s="54"/>
      <c r="AD29" s="54" t="s">
        <v>302</v>
      </c>
      <c r="AE29" s="55"/>
      <c r="AF29" s="55"/>
      <c r="AG29" s="55"/>
      <c r="AH29" s="55"/>
      <c r="AI29" s="55"/>
      <c r="AJ29" s="55"/>
      <c r="AK29" s="55"/>
      <c r="AL29" s="55"/>
      <c r="AM29" s="383"/>
      <c r="AN29" s="383"/>
      <c r="AO29" s="383"/>
      <c r="AP29" s="383"/>
      <c r="AQ29" s="383"/>
      <c r="AR29" s="383"/>
      <c r="AS29" s="383"/>
      <c r="AT29" s="383"/>
      <c r="AU29" s="383"/>
      <c r="AV29" s="383"/>
      <c r="AW29" s="383"/>
      <c r="AX29" s="697"/>
      <c r="AY29" s="697"/>
      <c r="AZ29" s="54"/>
      <c r="BA29" s="54"/>
      <c r="BB29" s="55"/>
      <c r="BC29" s="55"/>
      <c r="BD29" s="55"/>
      <c r="BE29" s="55"/>
      <c r="BF29" s="55"/>
      <c r="BG29" s="55"/>
      <c r="BH29" s="55"/>
      <c r="BI29" s="55"/>
      <c r="BJ29" s="383"/>
      <c r="BK29" s="383"/>
      <c r="BL29" s="383"/>
      <c r="BM29" s="383"/>
      <c r="BN29" s="383"/>
      <c r="BO29" s="383"/>
      <c r="BP29" s="383"/>
      <c r="BQ29" s="383"/>
      <c r="BR29" s="383"/>
      <c r="BS29" s="383"/>
      <c r="BT29" s="383"/>
    </row>
    <row r="30" spans="2:72" s="112" customFormat="1" ht="17">
      <c r="B30" s="1"/>
      <c r="C30" s="1"/>
      <c r="D30" s="693"/>
      <c r="E30" s="710" t="s">
        <v>883</v>
      </c>
      <c r="F30" s="344" t="str">
        <f>IF(Data!$F$35="Yes",Data!H35,IF(Data!H36="","NA",Data!H36))</f>
        <v>NA</v>
      </c>
      <c r="G30" s="344">
        <f>IF(Data!$F$35="Yes",Data!I35,IF(Data!I36="","NA",Data!I36))</f>
        <v>7.0496618938010985E-2</v>
      </c>
      <c r="H30" s="344">
        <f>IF(Data!$F$35="Yes",Data!J35,IF(Data!J36="","NA",Data!J36))</f>
        <v>0.10739753225754474</v>
      </c>
      <c r="I30" s="344">
        <f>IF(Data!$F$35="Yes",Data!K35,IF(Data!K36="","NA",Data!K36))</f>
        <v>0.15339313298018087</v>
      </c>
      <c r="J30" s="344">
        <f>IF(Data!$F$35="Yes",Data!L35,IF(Data!L36="","NA",Data!L36))</f>
        <v>0.14560513265385591</v>
      </c>
      <c r="K30" s="344">
        <f>IF(Data!$F$35="Yes",Data!M35,IF(Data!M36="","NA",Data!M36))</f>
        <v>0.14811693750956145</v>
      </c>
      <c r="L30" s="344">
        <f>IF(Data!$F$35="Yes",Data!N35,IF(Data!N36="","NA",Data!N36))</f>
        <v>0.16847597431258468</v>
      </c>
      <c r="M30" s="344">
        <f>IF(Data!$F$35="Yes",Data!O35,IF(Data!O36="","NA",Data!O36))</f>
        <v>1</v>
      </c>
      <c r="N30" s="344" t="str">
        <f>IF(Data!$F$35="Yes",Data!P35,IF(Data!P36="","NA",Data!P36))</f>
        <v>NA</v>
      </c>
      <c r="O30" s="344">
        <f>IF(Data!$F$35="Yes",Data!Q35,IF(Data!Q36="","NA",Data!Q36))</f>
        <v>1</v>
      </c>
      <c r="P30" s="344">
        <f>IF(Data!$F$35="Yes",Data!R35,IF(Data!R36="","NA",Data!R36))</f>
        <v>1</v>
      </c>
      <c r="Q30" s="385">
        <f>P30</f>
        <v>1</v>
      </c>
      <c r="R30" s="385">
        <f t="shared" ref="R30:Z30" si="8">Q30</f>
        <v>1</v>
      </c>
      <c r="S30" s="385">
        <f t="shared" si="8"/>
        <v>1</v>
      </c>
      <c r="T30" s="385">
        <f t="shared" si="8"/>
        <v>1</v>
      </c>
      <c r="U30" s="385">
        <f t="shared" si="8"/>
        <v>1</v>
      </c>
      <c r="V30" s="385">
        <f t="shared" si="8"/>
        <v>1</v>
      </c>
      <c r="W30" s="385">
        <f t="shared" si="8"/>
        <v>1</v>
      </c>
      <c r="X30" s="385">
        <f t="shared" si="8"/>
        <v>1</v>
      </c>
      <c r="Y30" s="385">
        <f t="shared" si="8"/>
        <v>1</v>
      </c>
      <c r="Z30" s="385">
        <f t="shared" si="8"/>
        <v>1</v>
      </c>
      <c r="AC30" s="343" t="e">
        <f>F31</f>
        <v>#VALUE!</v>
      </c>
      <c r="AD30" s="343">
        <f t="shared" ref="AD30:AW30" si="9">G31</f>
        <v>0.12049661893801099</v>
      </c>
      <c r="AE30" s="343">
        <f t="shared" si="9"/>
        <v>0.15739753225754474</v>
      </c>
      <c r="AF30" s="343">
        <f t="shared" si="9"/>
        <v>0.20339313298018086</v>
      </c>
      <c r="AG30" s="343">
        <f t="shared" si="9"/>
        <v>0.19560513265385593</v>
      </c>
      <c r="AH30" s="343">
        <f t="shared" si="9"/>
        <v>0.19811693750956144</v>
      </c>
      <c r="AI30" s="343">
        <f t="shared" si="9"/>
        <v>0.2184759743125847</v>
      </c>
      <c r="AJ30" s="343">
        <f t="shared" si="9"/>
        <v>1</v>
      </c>
      <c r="AK30" s="343" t="e">
        <f t="shared" si="9"/>
        <v>#VALUE!</v>
      </c>
      <c r="AL30" s="343">
        <f>O31</f>
        <v>1</v>
      </c>
      <c r="AM30" s="343">
        <f t="shared" si="9"/>
        <v>1</v>
      </c>
      <c r="AN30" s="343">
        <f t="shared" si="9"/>
        <v>1</v>
      </c>
      <c r="AO30" s="343">
        <f t="shared" si="9"/>
        <v>1</v>
      </c>
      <c r="AP30" s="343">
        <f t="shared" si="9"/>
        <v>1</v>
      </c>
      <c r="AQ30" s="343">
        <f t="shared" si="9"/>
        <v>1</v>
      </c>
      <c r="AR30" s="343">
        <f t="shared" si="9"/>
        <v>1</v>
      </c>
      <c r="AS30" s="343">
        <f t="shared" si="9"/>
        <v>1</v>
      </c>
      <c r="AT30" s="343">
        <f t="shared" si="9"/>
        <v>1</v>
      </c>
      <c r="AU30" s="343">
        <f t="shared" si="9"/>
        <v>1</v>
      </c>
      <c r="AV30" s="343">
        <f t="shared" si="9"/>
        <v>1</v>
      </c>
      <c r="AW30" s="343">
        <f t="shared" si="9"/>
        <v>1</v>
      </c>
      <c r="AZ30" s="343" t="e">
        <f>F32</f>
        <v>#VALUE!</v>
      </c>
      <c r="BA30" s="343">
        <f t="shared" ref="BA30:BT30" si="10">G32</f>
        <v>2.0496618938010983E-2</v>
      </c>
      <c r="BB30" s="343">
        <f t="shared" si="10"/>
        <v>5.7397532257544737E-2</v>
      </c>
      <c r="BC30" s="343">
        <f t="shared" si="10"/>
        <v>0.10339313298018087</v>
      </c>
      <c r="BD30" s="343">
        <f t="shared" si="10"/>
        <v>9.5605132653855909E-2</v>
      </c>
      <c r="BE30" s="343">
        <f t="shared" si="10"/>
        <v>9.811693750956145E-2</v>
      </c>
      <c r="BF30" s="343">
        <f t="shared" si="10"/>
        <v>0.11847597431258468</v>
      </c>
      <c r="BG30" s="343">
        <f t="shared" si="10"/>
        <v>0.95</v>
      </c>
      <c r="BH30" s="343" t="e">
        <f t="shared" si="10"/>
        <v>#VALUE!</v>
      </c>
      <c r="BI30" s="343">
        <f t="shared" si="10"/>
        <v>0.95</v>
      </c>
      <c r="BJ30" s="343">
        <f t="shared" si="10"/>
        <v>0.95</v>
      </c>
      <c r="BK30" s="343">
        <f t="shared" si="10"/>
        <v>0.95</v>
      </c>
      <c r="BL30" s="343">
        <f t="shared" si="10"/>
        <v>0.95</v>
      </c>
      <c r="BM30" s="343">
        <f t="shared" si="10"/>
        <v>0.95</v>
      </c>
      <c r="BN30" s="343">
        <f t="shared" si="10"/>
        <v>0.95</v>
      </c>
      <c r="BO30" s="343">
        <f t="shared" si="10"/>
        <v>0.95</v>
      </c>
      <c r="BP30" s="343">
        <f t="shared" si="10"/>
        <v>0.95</v>
      </c>
      <c r="BQ30" s="343">
        <f t="shared" si="10"/>
        <v>0.95</v>
      </c>
      <c r="BR30" s="343">
        <f t="shared" si="10"/>
        <v>0.95</v>
      </c>
      <c r="BS30" s="343">
        <f t="shared" si="10"/>
        <v>0.95</v>
      </c>
      <c r="BT30" s="343">
        <f t="shared" si="10"/>
        <v>0.95</v>
      </c>
    </row>
    <row r="31" spans="2:72" s="112" customFormat="1" ht="17">
      <c r="B31" s="1"/>
      <c r="C31" s="1"/>
      <c r="D31" s="695"/>
      <c r="E31" s="710" t="s">
        <v>884</v>
      </c>
      <c r="F31" s="344" t="e">
        <f>IF(F30+Data!$T$36&gt;1,1,F30+Data!$T$36)</f>
        <v>#VALUE!</v>
      </c>
      <c r="G31" s="344">
        <f>IF(G30+Data!$T$36&gt;1,1,G30+Data!$T$36)</f>
        <v>0.12049661893801099</v>
      </c>
      <c r="H31" s="344">
        <f>IF(H30+Data!$T$36&gt;1,1,H30+Data!$T$36)</f>
        <v>0.15739753225754474</v>
      </c>
      <c r="I31" s="344">
        <f>IF(I30+Data!$T$36&gt;1,1,I30+Data!$T$36)</f>
        <v>0.20339313298018086</v>
      </c>
      <c r="J31" s="344">
        <f>IF(J30+Data!$T$36&gt;1,1,J30+Data!$T$36)</f>
        <v>0.19560513265385593</v>
      </c>
      <c r="K31" s="344">
        <f>IF(K30+Data!$T$36&gt;1,1,K30+Data!$T$36)</f>
        <v>0.19811693750956144</v>
      </c>
      <c r="L31" s="344">
        <f>IF(L30+Data!$T$36&gt;1,1,L30+Data!$T$36)</f>
        <v>0.2184759743125847</v>
      </c>
      <c r="M31" s="344">
        <f>IF(M30+Data!$T$36&gt;1,1,M30+Data!$T$36)</f>
        <v>1</v>
      </c>
      <c r="N31" s="344" t="e">
        <f>IF(N30+Data!$T$36&gt;1,1,N30+Data!$T$36)</f>
        <v>#VALUE!</v>
      </c>
      <c r="O31" s="344">
        <f>IF(O30+Data!$T$36&gt;1,1,O30+Data!$T$36)</f>
        <v>1</v>
      </c>
      <c r="P31" s="344">
        <f>IF(P30+Data!$T$36&gt;1,1,P30+Data!$T$36)</f>
        <v>1</v>
      </c>
      <c r="Q31" s="344">
        <f>IF(Q30+Data!$T$36&gt;1,1,Q30+Data!$T$36)</f>
        <v>1</v>
      </c>
      <c r="R31" s="344">
        <f>IF(R30+Data!$T$36&gt;1,1,R30+Data!$T$36)</f>
        <v>1</v>
      </c>
      <c r="S31" s="344">
        <f>IF(S30+Data!$T$36&gt;1,1,S30+Data!$T$36)</f>
        <v>1</v>
      </c>
      <c r="T31" s="344">
        <f>IF(T30+Data!$T$36&gt;1,1,T30+Data!$T$36)</f>
        <v>1</v>
      </c>
      <c r="U31" s="344">
        <f>IF(U30+Data!$T$36&gt;1,1,U30+Data!$T$36)</f>
        <v>1</v>
      </c>
      <c r="V31" s="344">
        <f>IF(V30+Data!$T$36&gt;1,1,V30+Data!$T$36)</f>
        <v>1</v>
      </c>
      <c r="W31" s="344">
        <f>IF(W30+Data!$T$36&gt;1,1,W30+Data!$T$36)</f>
        <v>1</v>
      </c>
      <c r="X31" s="344">
        <f>IF(X30+Data!$T$36&gt;1,1,X30+Data!$T$36)</f>
        <v>1</v>
      </c>
      <c r="Y31" s="344">
        <f>IF(Y30+Data!$T$36&gt;1,1,Y30+Data!$T$36)</f>
        <v>1</v>
      </c>
      <c r="Z31" s="344">
        <f>IF(Z30+Data!$T$36&gt;1,1,Z30+Data!$T$36)</f>
        <v>1</v>
      </c>
    </row>
    <row r="32" spans="2:72" s="112" customFormat="1" ht="17">
      <c r="B32" s="1"/>
      <c r="C32" s="1"/>
      <c r="D32" s="695"/>
      <c r="E32" s="710" t="s">
        <v>885</v>
      </c>
      <c r="F32" s="344" t="e">
        <f>IF(F30-Data!$T$36&lt;0,0,F30-Data!$T$36)</f>
        <v>#VALUE!</v>
      </c>
      <c r="G32" s="344">
        <f>IF(G30-Data!$T$36&lt;0,0,G30-Data!$T$36)</f>
        <v>2.0496618938010983E-2</v>
      </c>
      <c r="H32" s="344">
        <f>IF(H30-Data!$T$36&lt;0,0,H30-Data!$T$36)</f>
        <v>5.7397532257544737E-2</v>
      </c>
      <c r="I32" s="344">
        <f>IF(I30-Data!$T$36&lt;0,0,I30-Data!$T$36)</f>
        <v>0.10339313298018087</v>
      </c>
      <c r="J32" s="344">
        <f>IF(J30-Data!$T$36&lt;0,0,J30-Data!$T$36)</f>
        <v>9.5605132653855909E-2</v>
      </c>
      <c r="K32" s="344">
        <f>IF(K30-Data!$T$36&lt;0,0,K30-Data!$T$36)</f>
        <v>9.811693750956145E-2</v>
      </c>
      <c r="L32" s="344">
        <f>IF(L30-Data!$T$36&lt;0,0,L30-Data!$T$36)</f>
        <v>0.11847597431258468</v>
      </c>
      <c r="M32" s="344">
        <f>IF(M30-Data!$T$36&lt;0,0,M30-Data!$T$36)</f>
        <v>0.95</v>
      </c>
      <c r="N32" s="344" t="e">
        <f>IF(N30-Data!$T$36&lt;0,0,N30-Data!$T$36)</f>
        <v>#VALUE!</v>
      </c>
      <c r="O32" s="344">
        <f>IF(O30-Data!$T$36&lt;0,0,O30-Data!$T$36)</f>
        <v>0.95</v>
      </c>
      <c r="P32" s="344">
        <f>IF(P30-Data!$T$36&lt;0,0,P30-Data!$T$36)</f>
        <v>0.95</v>
      </c>
      <c r="Q32" s="344">
        <f>IF(Q30-Data!$T$36&lt;0,0,Q30-Data!$T$36)</f>
        <v>0.95</v>
      </c>
      <c r="R32" s="344">
        <f>IF(R30-Data!$T$36&lt;0,0,R30-Data!$T$36)</f>
        <v>0.95</v>
      </c>
      <c r="S32" s="344">
        <f>IF(S30-Data!$T$36&lt;0,0,S30-Data!$T$36)</f>
        <v>0.95</v>
      </c>
      <c r="T32" s="344">
        <f>IF(T30-Data!$T$36&lt;0,0,T30-Data!$T$36)</f>
        <v>0.95</v>
      </c>
      <c r="U32" s="344">
        <f>IF(U30-Data!$T$36&lt;0,0,U30-Data!$T$36)</f>
        <v>0.95</v>
      </c>
      <c r="V32" s="344">
        <f>IF(V30-Data!$T$36&lt;0,0,V30-Data!$T$36)</f>
        <v>0.95</v>
      </c>
      <c r="W32" s="344">
        <f>IF(W30-Data!$T$36&lt;0,0,W30-Data!$T$36)</f>
        <v>0.95</v>
      </c>
      <c r="X32" s="344">
        <f>IF(X30-Data!$T$36&lt;0,0,X30-Data!$T$36)</f>
        <v>0.95</v>
      </c>
      <c r="Y32" s="344">
        <f>IF(Y30-Data!$T$36&lt;0,0,Y30-Data!$T$36)</f>
        <v>0.95</v>
      </c>
      <c r="Z32" s="344">
        <f>IF(Z30-Data!$T$36&lt;0,0,Z30-Data!$T$36)</f>
        <v>0.95</v>
      </c>
    </row>
    <row r="33" spans="2:72" s="112" customFormat="1">
      <c r="B33" s="1"/>
      <c r="C33" s="1"/>
      <c r="D33" s="694"/>
      <c r="E33" s="710"/>
      <c r="F33" s="344"/>
      <c r="G33" s="344"/>
      <c r="H33" s="344"/>
      <c r="I33" s="344"/>
      <c r="J33" s="344"/>
      <c r="K33" s="344"/>
      <c r="L33" s="344"/>
      <c r="M33" s="344"/>
      <c r="N33" s="344"/>
      <c r="O33" s="344"/>
      <c r="P33" s="385"/>
      <c r="Q33" s="385"/>
      <c r="R33" s="385"/>
      <c r="S33" s="385"/>
      <c r="T33" s="385"/>
      <c r="U33" s="385"/>
      <c r="V33" s="385"/>
      <c r="W33" s="385"/>
      <c r="X33" s="385"/>
      <c r="Y33" s="385"/>
      <c r="Z33" s="385"/>
    </row>
    <row r="34" spans="2:72" s="112" customFormat="1" ht="19">
      <c r="B34" s="1"/>
      <c r="C34" s="1"/>
      <c r="D34" s="54"/>
      <c r="E34" s="54" t="s">
        <v>279</v>
      </c>
      <c r="F34" s="691"/>
      <c r="G34" s="691"/>
      <c r="H34" s="691"/>
      <c r="I34" s="691"/>
      <c r="J34" s="691"/>
      <c r="K34" s="691"/>
      <c r="L34" s="691"/>
      <c r="M34" s="691"/>
      <c r="N34" s="692"/>
      <c r="O34" s="692"/>
      <c r="P34" s="383"/>
      <c r="Q34" s="383"/>
      <c r="R34" s="383"/>
      <c r="S34" s="383"/>
      <c r="T34" s="383"/>
      <c r="U34" s="383"/>
      <c r="V34" s="383"/>
      <c r="W34" s="383"/>
      <c r="X34" s="383"/>
      <c r="Y34" s="383"/>
      <c r="Z34" s="383"/>
      <c r="AC34" s="54"/>
      <c r="AD34" s="54"/>
      <c r="AE34" s="54"/>
      <c r="AF34" s="54"/>
      <c r="AG34" s="54"/>
      <c r="AH34" s="54"/>
      <c r="AI34" s="54"/>
      <c r="AJ34" s="54"/>
      <c r="AK34" s="54"/>
      <c r="AL34" s="54"/>
      <c r="AM34" s="54"/>
      <c r="AN34" s="54"/>
      <c r="AO34" s="54"/>
      <c r="AP34" s="54"/>
      <c r="AQ34" s="54"/>
      <c r="AR34" s="54"/>
      <c r="AS34" s="54"/>
      <c r="AT34" s="54"/>
      <c r="AU34" s="54"/>
      <c r="AV34" s="54"/>
      <c r="AW34" s="54"/>
      <c r="AX34" s="697"/>
      <c r="AY34" s="697"/>
      <c r="AZ34" s="54"/>
      <c r="BA34" s="54"/>
      <c r="BB34" s="54"/>
      <c r="BC34" s="54"/>
      <c r="BD34" s="54"/>
      <c r="BE34" s="54"/>
      <c r="BF34" s="54"/>
      <c r="BG34" s="54"/>
      <c r="BH34" s="54"/>
      <c r="BI34" s="54"/>
      <c r="BJ34" s="54"/>
      <c r="BK34" s="54"/>
      <c r="BL34" s="54"/>
      <c r="BM34" s="54"/>
      <c r="BN34" s="54"/>
      <c r="BO34" s="54"/>
      <c r="BP34" s="54"/>
      <c r="BQ34" s="54"/>
      <c r="BR34" s="54"/>
      <c r="BS34" s="54"/>
      <c r="BT34" s="54"/>
    </row>
    <row r="35" spans="2:72" s="112" customFormat="1" ht="17">
      <c r="B35" s="1"/>
      <c r="C35" s="1"/>
      <c r="D35" s="1"/>
      <c r="E35" s="1" t="s">
        <v>883</v>
      </c>
      <c r="F35" s="344" t="str">
        <f>IF(Data!$F$40="Yes",Data!H40,IF(Data!H41="","NA",Data!H41))</f>
        <v>NA</v>
      </c>
      <c r="G35" s="344">
        <f>IF(Data!$F$40="Yes",Data!I40,IF(Data!I41="","NA",Data!I41))</f>
        <v>0.65400000000000003</v>
      </c>
      <c r="H35" s="344">
        <f>IF(Data!$F$40="Yes",Data!J40,IF(Data!J41="","NA",Data!J41))</f>
        <v>0.69199999999999995</v>
      </c>
      <c r="I35" s="344">
        <f>IF(Data!$F$40="Yes",Data!K40,IF(Data!K41="","NA",Data!K41))</f>
        <v>0.63600000000000001</v>
      </c>
      <c r="J35" s="344">
        <f>IF(Data!$F$40="Yes",Data!L40,IF(Data!L41="","NA",Data!L41))</f>
        <v>0.65100000000000002</v>
      </c>
      <c r="K35" s="344">
        <f>IF(Data!$F$40="Yes",Data!M40,IF(Data!M41="","NA",Data!M41))</f>
        <v>0.65300000000000002</v>
      </c>
      <c r="L35" s="344">
        <f>IF(Data!$F$40="Yes",Data!N40,IF(Data!N41="","NA",Data!N41))</f>
        <v>0.82099999999999995</v>
      </c>
      <c r="M35" s="344">
        <f>IF(Data!$F$40="Yes",Data!O40,IF(Data!O41="","NA",Data!O41))</f>
        <v>0.19829186734824533</v>
      </c>
      <c r="N35" s="344" t="str">
        <f>IF(Data!$F$40="Yes",Data!P40,IF(Data!P41="","NA",Data!P41))</f>
        <v>NA</v>
      </c>
      <c r="O35" s="344">
        <f>IF(Data!$F$40="Yes",Data!Q40,IF(Data!Q41="","NA",Data!Q41))</f>
        <v>0.33850000000000002</v>
      </c>
      <c r="P35" s="344">
        <f>IF(Data!$F$40="Yes",Data!R40,IF(Data!R41="","NA",Data!R41))</f>
        <v>0.33850000000000002</v>
      </c>
      <c r="Q35" s="386">
        <f t="shared" ref="Q35:Z35" si="11">P35</f>
        <v>0.33850000000000002</v>
      </c>
      <c r="R35" s="386">
        <f t="shared" si="11"/>
        <v>0.33850000000000002</v>
      </c>
      <c r="S35" s="386">
        <f t="shared" si="11"/>
        <v>0.33850000000000002</v>
      </c>
      <c r="T35" s="386">
        <f t="shared" si="11"/>
        <v>0.33850000000000002</v>
      </c>
      <c r="U35" s="386">
        <f t="shared" si="11"/>
        <v>0.33850000000000002</v>
      </c>
      <c r="V35" s="386">
        <f t="shared" si="11"/>
        <v>0.33850000000000002</v>
      </c>
      <c r="W35" s="386">
        <f t="shared" si="11"/>
        <v>0.33850000000000002</v>
      </c>
      <c r="X35" s="386">
        <f t="shared" si="11"/>
        <v>0.33850000000000002</v>
      </c>
      <c r="Y35" s="386">
        <f t="shared" si="11"/>
        <v>0.33850000000000002</v>
      </c>
      <c r="Z35" s="386">
        <f t="shared" si="11"/>
        <v>0.33850000000000002</v>
      </c>
      <c r="AC35" s="343" t="e">
        <f>F36</f>
        <v>#VALUE!</v>
      </c>
      <c r="AD35" s="343">
        <f t="shared" ref="AD35:AW35" si="12">G36</f>
        <v>0.70400000000000007</v>
      </c>
      <c r="AE35" s="343">
        <f t="shared" si="12"/>
        <v>0.74199999999999999</v>
      </c>
      <c r="AF35" s="343">
        <f t="shared" si="12"/>
        <v>0.68600000000000005</v>
      </c>
      <c r="AG35" s="343">
        <f t="shared" si="12"/>
        <v>0.70100000000000007</v>
      </c>
      <c r="AH35" s="343">
        <f t="shared" si="12"/>
        <v>0.70300000000000007</v>
      </c>
      <c r="AI35" s="343">
        <f t="shared" si="12"/>
        <v>0.871</v>
      </c>
      <c r="AJ35" s="343">
        <f t="shared" si="12"/>
        <v>0.24829186734824532</v>
      </c>
      <c r="AK35" s="343" t="e">
        <f t="shared" si="12"/>
        <v>#VALUE!</v>
      </c>
      <c r="AL35" s="343">
        <f t="shared" si="12"/>
        <v>0.38850000000000001</v>
      </c>
      <c r="AM35" s="343">
        <f t="shared" si="12"/>
        <v>0.38850000000000001</v>
      </c>
      <c r="AN35" s="343">
        <f t="shared" si="12"/>
        <v>0.38850000000000001</v>
      </c>
      <c r="AO35" s="343">
        <f t="shared" si="12"/>
        <v>0.38850000000000001</v>
      </c>
      <c r="AP35" s="343">
        <f t="shared" si="12"/>
        <v>0.38850000000000001</v>
      </c>
      <c r="AQ35" s="343">
        <f t="shared" si="12"/>
        <v>0.38850000000000001</v>
      </c>
      <c r="AR35" s="343">
        <f t="shared" si="12"/>
        <v>0.38850000000000001</v>
      </c>
      <c r="AS35" s="343">
        <f t="shared" si="12"/>
        <v>0.38850000000000001</v>
      </c>
      <c r="AT35" s="343">
        <f t="shared" si="12"/>
        <v>0.38850000000000001</v>
      </c>
      <c r="AU35" s="343">
        <f t="shared" si="12"/>
        <v>0.38850000000000001</v>
      </c>
      <c r="AV35" s="343">
        <f t="shared" si="12"/>
        <v>0.38850000000000001</v>
      </c>
      <c r="AW35" s="343">
        <f t="shared" si="12"/>
        <v>0.38850000000000001</v>
      </c>
      <c r="AZ35" s="343" t="e">
        <f>F37</f>
        <v>#VALUE!</v>
      </c>
      <c r="BA35" s="343">
        <f t="shared" ref="BA35:BT35" si="13">G37</f>
        <v>0.60399999999999998</v>
      </c>
      <c r="BB35" s="343">
        <f t="shared" si="13"/>
        <v>0.6419999999999999</v>
      </c>
      <c r="BC35" s="343">
        <f t="shared" si="13"/>
        <v>0.58599999999999997</v>
      </c>
      <c r="BD35" s="343">
        <f t="shared" si="13"/>
        <v>0.60099999999999998</v>
      </c>
      <c r="BE35" s="343">
        <f t="shared" si="13"/>
        <v>0.60299999999999998</v>
      </c>
      <c r="BF35" s="343">
        <f t="shared" si="13"/>
        <v>0.77099999999999991</v>
      </c>
      <c r="BG35" s="343">
        <f t="shared" si="13"/>
        <v>0.14829186734824534</v>
      </c>
      <c r="BH35" s="343" t="e">
        <f t="shared" si="13"/>
        <v>#VALUE!</v>
      </c>
      <c r="BI35" s="343">
        <f t="shared" si="13"/>
        <v>0.28850000000000003</v>
      </c>
      <c r="BJ35" s="343">
        <f t="shared" si="13"/>
        <v>0.28850000000000003</v>
      </c>
      <c r="BK35" s="343">
        <f t="shared" si="13"/>
        <v>0.28850000000000003</v>
      </c>
      <c r="BL35" s="343">
        <f t="shared" si="13"/>
        <v>0.28850000000000003</v>
      </c>
      <c r="BM35" s="343">
        <f t="shared" si="13"/>
        <v>0.28850000000000003</v>
      </c>
      <c r="BN35" s="343">
        <f t="shared" si="13"/>
        <v>0.28850000000000003</v>
      </c>
      <c r="BO35" s="343">
        <f t="shared" si="13"/>
        <v>0.28850000000000003</v>
      </c>
      <c r="BP35" s="343">
        <f t="shared" si="13"/>
        <v>0.28850000000000003</v>
      </c>
      <c r="BQ35" s="343">
        <f t="shared" si="13"/>
        <v>0.28850000000000003</v>
      </c>
      <c r="BR35" s="343">
        <f t="shared" si="13"/>
        <v>0.28850000000000003</v>
      </c>
      <c r="BS35" s="343">
        <f t="shared" si="13"/>
        <v>0.28850000000000003</v>
      </c>
      <c r="BT35" s="343">
        <f t="shared" si="13"/>
        <v>0.28850000000000003</v>
      </c>
    </row>
    <row r="36" spans="2:72" s="112" customFormat="1" ht="17">
      <c r="B36" s="1"/>
      <c r="C36" s="1"/>
      <c r="D36" s="1"/>
      <c r="E36" s="1" t="s">
        <v>884</v>
      </c>
      <c r="F36" s="344" t="e">
        <f>IF(F35+Data!$T$41&gt;1,1,F35+Data!$T$41)</f>
        <v>#VALUE!</v>
      </c>
      <c r="G36" s="344">
        <f>IF(G35+Data!$T$41&gt;1,1,G35+Data!$T$41)</f>
        <v>0.70400000000000007</v>
      </c>
      <c r="H36" s="344">
        <f>IF(H35+Data!$T$41&gt;1,1,H35+Data!$T$41)</f>
        <v>0.74199999999999999</v>
      </c>
      <c r="I36" s="344">
        <f>IF(I35+Data!$T$41&gt;1,1,I35+Data!$T$41)</f>
        <v>0.68600000000000005</v>
      </c>
      <c r="J36" s="344">
        <f>IF(J35+Data!$T$41&gt;1,1,J35+Data!$T$41)</f>
        <v>0.70100000000000007</v>
      </c>
      <c r="K36" s="344">
        <f>IF(K35+Data!$T$41&gt;1,1,K35+Data!$T$41)</f>
        <v>0.70300000000000007</v>
      </c>
      <c r="L36" s="344">
        <f>IF(L35+Data!$T$41&gt;1,1,L35+Data!$T$41)</f>
        <v>0.871</v>
      </c>
      <c r="M36" s="344">
        <f>IF(M35+Data!$T$41&gt;1,1,M35+Data!$T$41)</f>
        <v>0.24829186734824532</v>
      </c>
      <c r="N36" s="344" t="e">
        <f>IF(N35+Data!$T$41&gt;1,1,N35+Data!$T$41)</f>
        <v>#VALUE!</v>
      </c>
      <c r="O36" s="344">
        <f>IF(O35+Data!$T$41&gt;1,1,O35+Data!$T$41)</f>
        <v>0.38850000000000001</v>
      </c>
      <c r="P36" s="344">
        <f>IF(P35+Data!$T$41&gt;1,1,P35+Data!$T$41)</f>
        <v>0.38850000000000001</v>
      </c>
      <c r="Q36" s="344">
        <f>IF(Q35+Data!$T$41&gt;1,1,Q35+Data!$T$41)</f>
        <v>0.38850000000000001</v>
      </c>
      <c r="R36" s="344">
        <f>IF(R35+Data!$T$41&gt;1,1,R35+Data!$T$41)</f>
        <v>0.38850000000000001</v>
      </c>
      <c r="S36" s="344">
        <f>IF(S35+Data!$T$41&gt;1,1,S35+Data!$T$41)</f>
        <v>0.38850000000000001</v>
      </c>
      <c r="T36" s="344">
        <f>IF(T35+Data!$T$41&gt;1,1,T35+Data!$T$41)</f>
        <v>0.38850000000000001</v>
      </c>
      <c r="U36" s="344">
        <f>IF(U35+Data!$T$41&gt;1,1,U35+Data!$T$41)</f>
        <v>0.38850000000000001</v>
      </c>
      <c r="V36" s="344">
        <f>IF(V35+Data!$T$41&gt;1,1,V35+Data!$T$41)</f>
        <v>0.38850000000000001</v>
      </c>
      <c r="W36" s="344">
        <f>IF(W35+Data!$T$41&gt;1,1,W35+Data!$T$41)</f>
        <v>0.38850000000000001</v>
      </c>
      <c r="X36" s="344">
        <f>IF(X35+Data!$T$41&gt;1,1,X35+Data!$T$41)</f>
        <v>0.38850000000000001</v>
      </c>
      <c r="Y36" s="344">
        <f>IF(Y35+Data!$T$41&gt;1,1,Y35+Data!$T$41)</f>
        <v>0.38850000000000001</v>
      </c>
      <c r="Z36" s="344">
        <f>IF(Z35+Data!$T$41&gt;1,1,Z35+Data!$T$41)</f>
        <v>0.38850000000000001</v>
      </c>
    </row>
    <row r="37" spans="2:72" s="112" customFormat="1" ht="17">
      <c r="B37" s="1"/>
      <c r="C37" s="1"/>
      <c r="D37" s="1"/>
      <c r="E37" s="1" t="s">
        <v>885</v>
      </c>
      <c r="F37" s="344" t="e">
        <f>IF(F35-Data!$T$41&lt;0,0,F35-Data!$T$41)</f>
        <v>#VALUE!</v>
      </c>
      <c r="G37" s="344">
        <f>IF(G35-Data!$T$41&lt;0,0,G35-Data!$T$41)</f>
        <v>0.60399999999999998</v>
      </c>
      <c r="H37" s="344">
        <f>IF(H35-Data!$T$41&lt;0,0,H35-Data!$T$41)</f>
        <v>0.6419999999999999</v>
      </c>
      <c r="I37" s="344">
        <f>IF(I35-Data!$T$41&lt;0,0,I35-Data!$T$41)</f>
        <v>0.58599999999999997</v>
      </c>
      <c r="J37" s="344">
        <f>IF(J35-Data!$T$41&lt;0,0,J35-Data!$T$41)</f>
        <v>0.60099999999999998</v>
      </c>
      <c r="K37" s="344">
        <f>IF(K35-Data!$T$41&lt;0,0,K35-Data!$T$41)</f>
        <v>0.60299999999999998</v>
      </c>
      <c r="L37" s="344">
        <f>IF(L35-Data!$T$41&lt;0,0,L35-Data!$T$41)</f>
        <v>0.77099999999999991</v>
      </c>
      <c r="M37" s="344">
        <f>IF(M35-Data!$T$41&lt;0,0,M35-Data!$T$41)</f>
        <v>0.14829186734824534</v>
      </c>
      <c r="N37" s="344" t="e">
        <f>IF(N35-Data!$T$41&lt;0,0,N35-Data!$T$41)</f>
        <v>#VALUE!</v>
      </c>
      <c r="O37" s="344">
        <f>IF(O35-Data!$T$41&lt;0,0,O35-Data!$T$41)</f>
        <v>0.28850000000000003</v>
      </c>
      <c r="P37" s="344">
        <f>IF(P35-Data!$T$41&lt;0,0,P35-Data!$T$41)</f>
        <v>0.28850000000000003</v>
      </c>
      <c r="Q37" s="344">
        <f>IF(Q35-Data!$T$41&lt;0,0,Q35-Data!$T$41)</f>
        <v>0.28850000000000003</v>
      </c>
      <c r="R37" s="344">
        <f>IF(R35-Data!$T$41&lt;0,0,R35-Data!$T$41)</f>
        <v>0.28850000000000003</v>
      </c>
      <c r="S37" s="344">
        <f>IF(S35-Data!$T$41&lt;0,0,S35-Data!$T$41)</f>
        <v>0.28850000000000003</v>
      </c>
      <c r="T37" s="344">
        <f>IF(T35-Data!$T$41&lt;0,0,T35-Data!$T$41)</f>
        <v>0.28850000000000003</v>
      </c>
      <c r="U37" s="344">
        <f>IF(U35-Data!$T$41&lt;0,0,U35-Data!$T$41)</f>
        <v>0.28850000000000003</v>
      </c>
      <c r="V37" s="344">
        <f>IF(V35-Data!$T$41&lt;0,0,V35-Data!$T$41)</f>
        <v>0.28850000000000003</v>
      </c>
      <c r="W37" s="344">
        <f>IF(W35-Data!$T$41&lt;0,0,W35-Data!$T$41)</f>
        <v>0.28850000000000003</v>
      </c>
      <c r="X37" s="344">
        <f>IF(X35-Data!$T$41&lt;0,0,X35-Data!$T$41)</f>
        <v>0.28850000000000003</v>
      </c>
      <c r="Y37" s="344">
        <f>IF(Y35-Data!$T$41&lt;0,0,Y35-Data!$T$41)</f>
        <v>0.28850000000000003</v>
      </c>
      <c r="Z37" s="344">
        <f>IF(Z35-Data!$T$41&lt;0,0,Z35-Data!$T$41)</f>
        <v>0.28850000000000003</v>
      </c>
    </row>
    <row r="38" spans="2:72" s="112" customFormat="1">
      <c r="B38" s="1"/>
      <c r="C38" s="1"/>
      <c r="D38" s="1"/>
      <c r="E38" s="1"/>
      <c r="F38" s="344"/>
      <c r="G38" s="344"/>
      <c r="H38" s="344"/>
      <c r="I38" s="344"/>
      <c r="J38" s="344"/>
      <c r="K38" s="344"/>
      <c r="L38" s="344"/>
      <c r="M38" s="344"/>
      <c r="N38" s="344"/>
      <c r="O38" s="344"/>
      <c r="P38" s="386"/>
      <c r="Q38" s="386"/>
      <c r="R38" s="386"/>
      <c r="S38" s="386"/>
      <c r="T38" s="386"/>
      <c r="U38" s="386"/>
      <c r="V38" s="386"/>
      <c r="W38" s="386"/>
      <c r="X38" s="386"/>
      <c r="Y38" s="386"/>
      <c r="Z38" s="386"/>
    </row>
    <row r="39" spans="2:72" s="112" customFormat="1" ht="19">
      <c r="B39" s="1"/>
      <c r="C39" s="1"/>
      <c r="D39" s="54"/>
      <c r="E39" s="54" t="s">
        <v>280</v>
      </c>
      <c r="F39" s="384"/>
      <c r="G39" s="384"/>
      <c r="H39" s="384"/>
      <c r="I39" s="384"/>
      <c r="J39" s="384"/>
      <c r="K39" s="384"/>
      <c r="L39" s="384"/>
      <c r="M39" s="384"/>
      <c r="N39" s="383"/>
      <c r="O39" s="383"/>
      <c r="P39" s="383"/>
      <c r="Q39" s="383"/>
      <c r="R39" s="383"/>
      <c r="S39" s="383"/>
      <c r="T39" s="383"/>
      <c r="U39" s="383"/>
      <c r="V39" s="383"/>
      <c r="W39" s="383"/>
      <c r="X39" s="383"/>
      <c r="Y39" s="383"/>
      <c r="Z39" s="383"/>
      <c r="AC39" s="54"/>
      <c r="AD39" s="54"/>
      <c r="AE39" s="54"/>
      <c r="AF39" s="54"/>
      <c r="AG39" s="54"/>
      <c r="AH39" s="54"/>
      <c r="AI39" s="54"/>
      <c r="AJ39" s="54"/>
      <c r="AK39" s="54"/>
      <c r="AL39" s="54"/>
      <c r="AM39" s="54"/>
      <c r="AN39" s="54"/>
      <c r="AO39" s="54"/>
      <c r="AP39" s="54"/>
      <c r="AQ39" s="54"/>
      <c r="AR39" s="54"/>
      <c r="AS39" s="54"/>
      <c r="AT39" s="54"/>
      <c r="AU39" s="54"/>
      <c r="AV39" s="54"/>
      <c r="AW39" s="54"/>
      <c r="AX39" s="697"/>
      <c r="AY39" s="697"/>
      <c r="AZ39" s="54"/>
      <c r="BA39" s="54"/>
      <c r="BB39" s="54"/>
      <c r="BC39" s="54"/>
      <c r="BD39" s="54"/>
      <c r="BE39" s="54"/>
      <c r="BF39" s="54"/>
      <c r="BG39" s="54"/>
      <c r="BH39" s="54"/>
      <c r="BI39" s="54"/>
      <c r="BJ39" s="54"/>
      <c r="BK39" s="54"/>
      <c r="BL39" s="54"/>
      <c r="BM39" s="54"/>
      <c r="BN39" s="54"/>
      <c r="BO39" s="54"/>
      <c r="BP39" s="54"/>
      <c r="BQ39" s="54"/>
      <c r="BR39" s="54"/>
      <c r="BS39" s="54"/>
      <c r="BT39" s="54"/>
    </row>
    <row r="40" spans="2:72" s="112" customFormat="1" ht="17">
      <c r="B40" s="1"/>
      <c r="C40" s="1"/>
      <c r="D40" s="1"/>
      <c r="E40" s="1" t="s">
        <v>883</v>
      </c>
      <c r="F40" s="344">
        <f>IF(Data!$F$45="Yes",Data!H45,IF(Data!H46="","NA",Data!H46))</f>
        <v>0.86199999999999999</v>
      </c>
      <c r="G40" s="344">
        <f>IF(Data!$F$45="Yes",Data!I45,IF(Data!I46="","NA",Data!I46))</f>
        <v>0.89</v>
      </c>
      <c r="H40" s="344">
        <f>IF(Data!$F$45="Yes",Data!J45,IF(Data!J46="","NA",Data!J46))</f>
        <v>0.92600000000000005</v>
      </c>
      <c r="I40" s="344">
        <f>IF(Data!$F$45="Yes",Data!K45,IF(Data!K46="","NA",Data!K46))</f>
        <v>0.92600000000000005</v>
      </c>
      <c r="J40" s="344">
        <f>IF(Data!$F$45="Yes",Data!L45,IF(Data!L46="","NA",Data!L46))</f>
        <v>0.20899999999999999</v>
      </c>
      <c r="K40" s="344">
        <f>IF(Data!$F$45="Yes",Data!M45,IF(Data!M46="","NA",Data!M46))</f>
        <v>0.23699999999999999</v>
      </c>
      <c r="L40" s="344">
        <f>IF(Data!$F$45="Yes",Data!N45,IF(Data!N46="","NA",Data!N46))</f>
        <v>0.747</v>
      </c>
      <c r="M40" s="344">
        <f>IF(Data!$F$45="Yes",Data!O45,IF(Data!O46="","NA",Data!O46))</f>
        <v>0.47599999999999998</v>
      </c>
      <c r="N40" s="344" t="str">
        <f>IF(Data!$F$45="Yes",Data!P45,IF(Data!P46="","NA",Data!P46))</f>
        <v>NA</v>
      </c>
      <c r="O40" s="344">
        <f>IF(Data!$F$45="Yes",Data!Q45,IF(Data!Q46="","NA",Data!Q46))</f>
        <v>0.69932685115931192</v>
      </c>
      <c r="P40" s="344">
        <f>IF(Data!$F$45="Yes",Data!R45,IF(Data!R46="","NA",Data!R46))</f>
        <v>0.69932685115931192</v>
      </c>
      <c r="Q40" s="385">
        <f t="shared" ref="Q40:Z40" si="14">P40</f>
        <v>0.69932685115931192</v>
      </c>
      <c r="R40" s="385">
        <f t="shared" si="14"/>
        <v>0.69932685115931192</v>
      </c>
      <c r="S40" s="385">
        <f t="shared" si="14"/>
        <v>0.69932685115931192</v>
      </c>
      <c r="T40" s="385">
        <f t="shared" si="14"/>
        <v>0.69932685115931192</v>
      </c>
      <c r="U40" s="385">
        <f t="shared" si="14"/>
        <v>0.69932685115931192</v>
      </c>
      <c r="V40" s="385">
        <f t="shared" si="14"/>
        <v>0.69932685115931192</v>
      </c>
      <c r="W40" s="385">
        <f t="shared" si="14"/>
        <v>0.69932685115931192</v>
      </c>
      <c r="X40" s="385">
        <f t="shared" si="14"/>
        <v>0.69932685115931192</v>
      </c>
      <c r="Y40" s="385">
        <f t="shared" si="14"/>
        <v>0.69932685115931192</v>
      </c>
      <c r="Z40" s="385">
        <f t="shared" si="14"/>
        <v>0.69932685115931192</v>
      </c>
      <c r="AC40" s="343">
        <f>F41</f>
        <v>0.91200000000000003</v>
      </c>
      <c r="AD40" s="343">
        <f t="shared" ref="AD40:AW40" si="15">G41</f>
        <v>0.94000000000000006</v>
      </c>
      <c r="AE40" s="343">
        <f t="shared" si="15"/>
        <v>0.97600000000000009</v>
      </c>
      <c r="AF40" s="343">
        <f t="shared" si="15"/>
        <v>0.97600000000000009</v>
      </c>
      <c r="AG40" s="343">
        <f t="shared" si="15"/>
        <v>0.25900000000000001</v>
      </c>
      <c r="AH40" s="343">
        <f t="shared" si="15"/>
        <v>0.28699999999999998</v>
      </c>
      <c r="AI40" s="343">
        <f t="shared" si="15"/>
        <v>0.79700000000000004</v>
      </c>
      <c r="AJ40" s="343">
        <f t="shared" si="15"/>
        <v>0.52600000000000002</v>
      </c>
      <c r="AK40" s="343" t="e">
        <f t="shared" si="15"/>
        <v>#VALUE!</v>
      </c>
      <c r="AL40" s="343">
        <f t="shared" si="15"/>
        <v>0.74932685115931197</v>
      </c>
      <c r="AM40" s="343">
        <f t="shared" si="15"/>
        <v>0.74932685115931197</v>
      </c>
      <c r="AN40" s="343">
        <f t="shared" si="15"/>
        <v>0.74932685115931197</v>
      </c>
      <c r="AO40" s="343">
        <f t="shared" si="15"/>
        <v>0.74932685115931197</v>
      </c>
      <c r="AP40" s="343">
        <f t="shared" si="15"/>
        <v>0.74932685115931197</v>
      </c>
      <c r="AQ40" s="343">
        <f t="shared" si="15"/>
        <v>0.74932685115931197</v>
      </c>
      <c r="AR40" s="343">
        <f t="shared" si="15"/>
        <v>0.74932685115931197</v>
      </c>
      <c r="AS40" s="343">
        <f t="shared" si="15"/>
        <v>0.74932685115931197</v>
      </c>
      <c r="AT40" s="343">
        <f t="shared" si="15"/>
        <v>0.74932685115931197</v>
      </c>
      <c r="AU40" s="343">
        <f t="shared" si="15"/>
        <v>0.74932685115931197</v>
      </c>
      <c r="AV40" s="343">
        <f t="shared" si="15"/>
        <v>0.74932685115931197</v>
      </c>
      <c r="AW40" s="343">
        <f t="shared" si="15"/>
        <v>0.74932685115931197</v>
      </c>
      <c r="AZ40" s="343">
        <f>F42</f>
        <v>0.81199999999999994</v>
      </c>
      <c r="BA40" s="343">
        <f t="shared" ref="BA40:BT40" si="16">G42</f>
        <v>0.84</v>
      </c>
      <c r="BB40" s="343">
        <f t="shared" si="16"/>
        <v>0.876</v>
      </c>
      <c r="BC40" s="343">
        <f t="shared" si="16"/>
        <v>0.876</v>
      </c>
      <c r="BD40" s="343">
        <f t="shared" si="16"/>
        <v>0.15899999999999997</v>
      </c>
      <c r="BE40" s="343">
        <f t="shared" si="16"/>
        <v>0.187</v>
      </c>
      <c r="BF40" s="343">
        <f t="shared" si="16"/>
        <v>0.69699999999999995</v>
      </c>
      <c r="BG40" s="343">
        <f t="shared" si="16"/>
        <v>0.42599999999999999</v>
      </c>
      <c r="BH40" s="343" t="e">
        <f t="shared" si="16"/>
        <v>#VALUE!</v>
      </c>
      <c r="BI40" s="343">
        <f t="shared" si="16"/>
        <v>0.64932685115931188</v>
      </c>
      <c r="BJ40" s="343">
        <f t="shared" si="16"/>
        <v>0.64932685115931188</v>
      </c>
      <c r="BK40" s="343">
        <f t="shared" si="16"/>
        <v>0.64932685115931188</v>
      </c>
      <c r="BL40" s="343">
        <f t="shared" si="16"/>
        <v>0.64932685115931188</v>
      </c>
      <c r="BM40" s="343">
        <f t="shared" si="16"/>
        <v>0.64932685115931188</v>
      </c>
      <c r="BN40" s="343">
        <f t="shared" si="16"/>
        <v>0.64932685115931188</v>
      </c>
      <c r="BO40" s="343">
        <f t="shared" si="16"/>
        <v>0.64932685115931188</v>
      </c>
      <c r="BP40" s="343">
        <f t="shared" si="16"/>
        <v>0.64932685115931188</v>
      </c>
      <c r="BQ40" s="343">
        <f t="shared" si="16"/>
        <v>0.64932685115931188</v>
      </c>
      <c r="BR40" s="343">
        <f t="shared" si="16"/>
        <v>0.64932685115931188</v>
      </c>
      <c r="BS40" s="343">
        <f t="shared" si="16"/>
        <v>0.64932685115931188</v>
      </c>
      <c r="BT40" s="343">
        <f t="shared" si="16"/>
        <v>0.64932685115931188</v>
      </c>
    </row>
    <row r="41" spans="2:72" s="112" customFormat="1" ht="17">
      <c r="B41" s="1"/>
      <c r="C41" s="1"/>
      <c r="D41" s="1"/>
      <c r="E41" s="1" t="s">
        <v>884</v>
      </c>
      <c r="F41" s="344">
        <f>IF(F40+Data!$T$46&gt;1,1,F40+Data!$T$46)</f>
        <v>0.91200000000000003</v>
      </c>
      <c r="G41" s="344">
        <f>IF(G40+Data!$T$46&gt;1,1,G40+Data!$T$46)</f>
        <v>0.94000000000000006</v>
      </c>
      <c r="H41" s="344">
        <f>IF(H40+Data!$T$46&gt;1,1,H40+Data!$T$46)</f>
        <v>0.97600000000000009</v>
      </c>
      <c r="I41" s="344">
        <f>IF(I40+Data!$T$46&gt;1,1,I40+Data!$T$46)</f>
        <v>0.97600000000000009</v>
      </c>
      <c r="J41" s="344">
        <f>IF(J40+Data!$T$46&gt;1,1,J40+Data!$T$46)</f>
        <v>0.25900000000000001</v>
      </c>
      <c r="K41" s="344">
        <f>IF(K40+Data!$T$46&gt;1,1,K40+Data!$T$46)</f>
        <v>0.28699999999999998</v>
      </c>
      <c r="L41" s="344">
        <f>IF(L40+Data!$T$46&gt;1,1,L40+Data!$T$46)</f>
        <v>0.79700000000000004</v>
      </c>
      <c r="M41" s="344">
        <f>IF(M40+Data!$T$46&gt;1,1,M40+Data!$T$46)</f>
        <v>0.52600000000000002</v>
      </c>
      <c r="N41" s="344" t="e">
        <f>IF(N40+Data!$T$46&gt;1,1,N40+Data!$T$46)</f>
        <v>#VALUE!</v>
      </c>
      <c r="O41" s="344">
        <f>IF(O40+Data!$T$46&gt;1,1,O40+Data!$T$46)</f>
        <v>0.74932685115931197</v>
      </c>
      <c r="P41" s="344">
        <f>IF(P40+Data!$T$46&gt;1,1,P40+Data!$T$46)</f>
        <v>0.74932685115931197</v>
      </c>
      <c r="Q41" s="344">
        <f>IF(Q40+Data!$T$46&gt;1,1,Q40+Data!$T$46)</f>
        <v>0.74932685115931197</v>
      </c>
      <c r="R41" s="344">
        <f>IF(R40+Data!$T$46&gt;1,1,R40+Data!$T$46)</f>
        <v>0.74932685115931197</v>
      </c>
      <c r="S41" s="344">
        <f>IF(S40+Data!$T$46&gt;1,1,S40+Data!$T$46)</f>
        <v>0.74932685115931197</v>
      </c>
      <c r="T41" s="344">
        <f>IF(T40+Data!$T$46&gt;1,1,T40+Data!$T$46)</f>
        <v>0.74932685115931197</v>
      </c>
      <c r="U41" s="344">
        <f>IF(U40+Data!$T$46&gt;1,1,U40+Data!$T$46)</f>
        <v>0.74932685115931197</v>
      </c>
      <c r="V41" s="344">
        <f>IF(V40+Data!$T$46&gt;1,1,V40+Data!$T$46)</f>
        <v>0.74932685115931197</v>
      </c>
      <c r="W41" s="344">
        <f>IF(W40+Data!$T$46&gt;1,1,W40+Data!$T$46)</f>
        <v>0.74932685115931197</v>
      </c>
      <c r="X41" s="344">
        <f>IF(X40+Data!$T$46&gt;1,1,X40+Data!$T$46)</f>
        <v>0.74932685115931197</v>
      </c>
      <c r="Y41" s="344">
        <f>IF(Y40+Data!$T$46&gt;1,1,Y40+Data!$T$46)</f>
        <v>0.74932685115931197</v>
      </c>
      <c r="Z41" s="344">
        <f>IF(Z40+Data!$T$46&gt;1,1,Z40+Data!$T$46)</f>
        <v>0.74932685115931197</v>
      </c>
    </row>
    <row r="42" spans="2:72" s="112" customFormat="1" ht="17">
      <c r="B42" s="1"/>
      <c r="C42" s="1"/>
      <c r="D42" s="1"/>
      <c r="E42" s="1" t="s">
        <v>885</v>
      </c>
      <c r="F42" s="344">
        <f>IF(F40-Data!$T$46&lt;0,0,F40-Data!$T$46)</f>
        <v>0.81199999999999994</v>
      </c>
      <c r="G42" s="344">
        <f>IF(G40-Data!$T$46&lt;0,0,G40-Data!$T$46)</f>
        <v>0.84</v>
      </c>
      <c r="H42" s="344">
        <f>IF(H40-Data!$T$46&lt;0,0,H40-Data!$T$46)</f>
        <v>0.876</v>
      </c>
      <c r="I42" s="344">
        <f>IF(I40-Data!$T$46&lt;0,0,I40-Data!$T$46)</f>
        <v>0.876</v>
      </c>
      <c r="J42" s="344">
        <f>IF(J40-Data!$T$46&lt;0,0,J40-Data!$T$46)</f>
        <v>0.15899999999999997</v>
      </c>
      <c r="K42" s="344">
        <f>IF(K40-Data!$T$46&lt;0,0,K40-Data!$T$46)</f>
        <v>0.187</v>
      </c>
      <c r="L42" s="344">
        <f>IF(L40-Data!$T$46&lt;0,0,L40-Data!$T$46)</f>
        <v>0.69699999999999995</v>
      </c>
      <c r="M42" s="344">
        <f>IF(M40-Data!$T$46&lt;0,0,M40-Data!$T$46)</f>
        <v>0.42599999999999999</v>
      </c>
      <c r="N42" s="344" t="e">
        <f>IF(N40-Data!$T$46&lt;0,0,N40-Data!$T$46)</f>
        <v>#VALUE!</v>
      </c>
      <c r="O42" s="344">
        <f>IF(O40-Data!$T$46&lt;0,0,O40-Data!$T$46)</f>
        <v>0.64932685115931188</v>
      </c>
      <c r="P42" s="344">
        <f>IF(P40-Data!$T$46&lt;0,0,P40-Data!$T$46)</f>
        <v>0.64932685115931188</v>
      </c>
      <c r="Q42" s="344">
        <f>IF(Q40-Data!$T$46&lt;0,0,Q40-Data!$T$46)</f>
        <v>0.64932685115931188</v>
      </c>
      <c r="R42" s="344">
        <f>IF(R40-Data!$T$46&lt;0,0,R40-Data!$T$46)</f>
        <v>0.64932685115931188</v>
      </c>
      <c r="S42" s="344">
        <f>IF(S40-Data!$T$46&lt;0,0,S40-Data!$T$46)</f>
        <v>0.64932685115931188</v>
      </c>
      <c r="T42" s="344">
        <f>IF(T40-Data!$T$46&lt;0,0,T40-Data!$T$46)</f>
        <v>0.64932685115931188</v>
      </c>
      <c r="U42" s="344">
        <f>IF(U40-Data!$T$46&lt;0,0,U40-Data!$T$46)</f>
        <v>0.64932685115931188</v>
      </c>
      <c r="V42" s="344">
        <f>IF(V40-Data!$T$46&lt;0,0,V40-Data!$T$46)</f>
        <v>0.64932685115931188</v>
      </c>
      <c r="W42" s="344">
        <f>IF(W40-Data!$T$46&lt;0,0,W40-Data!$T$46)</f>
        <v>0.64932685115931188</v>
      </c>
      <c r="X42" s="344">
        <f>IF(X40-Data!$T$46&lt;0,0,X40-Data!$T$46)</f>
        <v>0.64932685115931188</v>
      </c>
      <c r="Y42" s="344">
        <f>IF(Y40-Data!$T$46&lt;0,0,Y40-Data!$T$46)</f>
        <v>0.64932685115931188</v>
      </c>
      <c r="Z42" s="344">
        <f>IF(Z40-Data!$T$46&lt;0,0,Z40-Data!$T$46)</f>
        <v>0.64932685115931188</v>
      </c>
    </row>
    <row r="43" spans="2:72" s="112" customFormat="1">
      <c r="B43" s="1"/>
      <c r="C43" s="1"/>
      <c r="D43" s="1"/>
      <c r="E43" s="1"/>
      <c r="H43" s="341"/>
      <c r="I43" s="341"/>
      <c r="J43" s="341"/>
      <c r="K43" s="341"/>
      <c r="L43" s="341"/>
      <c r="M43" s="341"/>
      <c r="N43" s="341"/>
      <c r="O43" s="341"/>
      <c r="P43" s="341"/>
      <c r="Q43" s="341"/>
      <c r="R43" s="341"/>
      <c r="S43" s="341"/>
      <c r="U43" s="1"/>
      <c r="V43" s="1"/>
      <c r="W43" s="1"/>
      <c r="X43" s="1"/>
      <c r="Y43" s="1"/>
      <c r="Z43" s="1"/>
    </row>
    <row r="44" spans="2:72" s="112" customFormat="1" ht="19">
      <c r="B44" s="1"/>
      <c r="C44" s="1"/>
      <c r="D44" s="387"/>
      <c r="E44" s="54" t="s">
        <v>34</v>
      </c>
      <c r="F44" s="384"/>
      <c r="G44" s="384"/>
      <c r="H44" s="384"/>
      <c r="I44" s="384"/>
      <c r="J44" s="384"/>
      <c r="K44" s="384"/>
      <c r="L44" s="384"/>
      <c r="M44" s="384"/>
      <c r="N44" s="383"/>
      <c r="O44" s="383"/>
      <c r="P44" s="383"/>
      <c r="Q44" s="383"/>
      <c r="R44" s="383"/>
      <c r="S44" s="383"/>
      <c r="T44" s="383"/>
      <c r="U44" s="383"/>
      <c r="V44" s="383"/>
      <c r="W44" s="383"/>
      <c r="X44" s="383"/>
      <c r="Y44" s="383"/>
      <c r="Z44" s="383"/>
      <c r="AC44" s="387"/>
      <c r="AD44" s="54" t="s">
        <v>34</v>
      </c>
      <c r="AE44" s="384"/>
      <c r="AF44" s="384"/>
      <c r="AG44" s="384"/>
      <c r="AH44" s="384"/>
      <c r="AI44" s="384"/>
      <c r="AJ44" s="384"/>
      <c r="AK44" s="384"/>
      <c r="AL44" s="384"/>
      <c r="AM44" s="383"/>
      <c r="AN44" s="383"/>
      <c r="AO44" s="383"/>
      <c r="AP44" s="383"/>
      <c r="AQ44" s="383"/>
      <c r="AR44" s="383"/>
      <c r="AS44" s="383"/>
      <c r="AT44" s="383"/>
      <c r="AU44" s="383"/>
      <c r="AV44" s="383"/>
      <c r="AW44" s="383"/>
      <c r="AX44" s="697"/>
      <c r="AY44" s="697"/>
      <c r="AZ44" s="54"/>
      <c r="BA44" s="54"/>
      <c r="BB44" s="384"/>
      <c r="BC44" s="384"/>
      <c r="BD44" s="384"/>
      <c r="BE44" s="384"/>
      <c r="BF44" s="384"/>
      <c r="BG44" s="384"/>
      <c r="BH44" s="384"/>
      <c r="BI44" s="384"/>
      <c r="BJ44" s="383"/>
      <c r="BK44" s="383"/>
      <c r="BL44" s="383"/>
      <c r="BM44" s="383"/>
      <c r="BN44" s="383"/>
      <c r="BO44" s="383"/>
      <c r="BP44" s="383"/>
      <c r="BQ44" s="383"/>
      <c r="BR44" s="383"/>
      <c r="BS44" s="383"/>
      <c r="BT44" s="383"/>
    </row>
    <row r="45" spans="2:72" s="112" customFormat="1" ht="17">
      <c r="B45" s="1"/>
      <c r="C45" s="1"/>
      <c r="D45" s="388" t="s">
        <v>802</v>
      </c>
      <c r="E45" s="1"/>
      <c r="F45" s="306">
        <f>IF(Data!H55="Unknown",0.686,IF(Data!H55="Trep.",0.536,IF(Data!H55="Non-trep.",0.522,IF(Data!H55="Trep. &amp; Non-trep.",1,"NA"))))</f>
        <v>0.68600000000000005</v>
      </c>
      <c r="G45" s="306">
        <f>IF(Data!I55="Unknown",0.686,IF(Data!I55="Trep.",0.536,IF(Data!I55="Non-trep.",0.522,IF(Data!I55="Trep. &amp; Non-trep.",1,"NA"))))</f>
        <v>0.68600000000000005</v>
      </c>
      <c r="H45" s="306">
        <f>IF(Data!J55="Unknown",0.686,IF(Data!J55="Trep.",0.536,IF(Data!J55="Non-trep.",0.522,IF(Data!J55="Trep. &amp; Non-trep.",1,"NA"))))</f>
        <v>0.68600000000000005</v>
      </c>
      <c r="I45" s="306">
        <f>IF(Data!K55="Unknown",0.686,IF(Data!K55="Trep.",0.536,IF(Data!K55="Non-trep.",0.522,IF(Data!K55="Trep. &amp; Non-trep.",1,"NA"))))</f>
        <v>1</v>
      </c>
      <c r="J45" s="306">
        <f>IF(Data!L55="Unknown",0.686,IF(Data!L55="Trep.",0.536,IF(Data!L55="Non-trep.",0.522,IF(Data!L55="Trep. &amp; Non-trep.",1,"NA"))))</f>
        <v>0.53600000000000003</v>
      </c>
      <c r="K45" s="306">
        <f>IF(Data!M55="Unknown",0.686,IF(Data!M55="Trep.",0.536,IF(Data!M55="Non-trep.",0.522,IF(Data!M55="Trep. &amp; Non-trep.",1,"NA"))))</f>
        <v>0.68600000000000005</v>
      </c>
      <c r="L45" s="306">
        <f>IF(Data!N55="Unknown",0.686,IF(Data!N55="Trep.",0.536,IF(Data!N55="Non-trep.",0.522,IF(Data!N55="Trep. &amp; Non-trep.",1,"NA"))))</f>
        <v>0.53600000000000003</v>
      </c>
      <c r="M45" s="306">
        <f>IF(Data!O55="Unknown",0.686,IF(Data!O55="Trep.",0.536,IF(Data!O55="Non-trep.",0.522,IF(Data!O55="Trep. &amp; Non-trep.",1,"NA"))))</f>
        <v>0.68600000000000005</v>
      </c>
      <c r="N45" s="306">
        <f>IF(Data!P55="Unknown",0.686,IF(Data!P55="Trep.",0.536,IF(Data!P55="Non-trep.",0.522,IF(Data!P55="Trep. &amp; Non-trep.",1,"NA"))))</f>
        <v>0.68600000000000005</v>
      </c>
      <c r="O45" s="306">
        <f>IF(Data!Q55="Unknown",0.686,IF(Data!Q55="Trep.",0.536,IF(Data!Q55="Non-trep.",0.522,IF(Data!Q55="Trep. &amp; Non-trep.",1,"NA"))))</f>
        <v>0.68600000000000005</v>
      </c>
      <c r="P45" s="375">
        <f>$O$45</f>
        <v>0.68600000000000005</v>
      </c>
      <c r="Q45" s="375">
        <f t="shared" ref="Q45:Z45" si="17">$O$45</f>
        <v>0.68600000000000005</v>
      </c>
      <c r="R45" s="375">
        <f t="shared" si="17"/>
        <v>0.68600000000000005</v>
      </c>
      <c r="S45" s="375">
        <f t="shared" si="17"/>
        <v>0.68600000000000005</v>
      </c>
      <c r="T45" s="375">
        <f t="shared" si="17"/>
        <v>0.68600000000000005</v>
      </c>
      <c r="U45" s="375">
        <f t="shared" si="17"/>
        <v>0.68600000000000005</v>
      </c>
      <c r="V45" s="375">
        <f t="shared" si="17"/>
        <v>0.68600000000000005</v>
      </c>
      <c r="W45" s="375">
        <f t="shared" si="17"/>
        <v>0.68600000000000005</v>
      </c>
      <c r="X45" s="375">
        <f t="shared" si="17"/>
        <v>0.68600000000000005</v>
      </c>
      <c r="Y45" s="375">
        <f t="shared" si="17"/>
        <v>0.68600000000000005</v>
      </c>
      <c r="Z45" s="375">
        <f t="shared" si="17"/>
        <v>0.68600000000000005</v>
      </c>
    </row>
    <row r="46" spans="2:72" s="112" customFormat="1" ht="17">
      <c r="B46" s="1"/>
      <c r="C46" s="1"/>
      <c r="D46" s="1" t="s">
        <v>803</v>
      </c>
      <c r="E46" s="1"/>
      <c r="F46" s="112">
        <f>IF(Data!H56="Unknown",0.686,IF(Data!H56="Trep.",0.536,IF(Data!H56="Non-trep.",0.522,IF(Data!H56="Trep. &amp; Non-trep.",1,"NA"))))</f>
        <v>0.68600000000000005</v>
      </c>
      <c r="G46" s="112">
        <f>IF(Data!I56="Unknown",0.686,IF(Data!I56="Trep.",0.536,IF(Data!I56="Non-trep.",0.522,IF(Data!I56="Trep. &amp; Non-trep.",1,"NA"))))</f>
        <v>0.68600000000000005</v>
      </c>
      <c r="H46" s="112">
        <f>IF(Data!J56="Unknown",0.686,IF(Data!J56="Trep.",0.536,IF(Data!J56="Non-trep.",0.522,IF(Data!J56="Trep. &amp; Non-trep.",1,"NA"))))</f>
        <v>0.68600000000000005</v>
      </c>
      <c r="I46" s="112">
        <f>IF(Data!K56="Unknown",0.686,IF(Data!K56="Trep.",0.536,IF(Data!K56="Non-trep.",0.522,IF(Data!K56="Trep. &amp; Non-trep.",1,"NA"))))</f>
        <v>0.68600000000000005</v>
      </c>
      <c r="J46" s="112">
        <f>IF(Data!L56="Unknown",0.686,IF(Data!L56="Trep.",0.536,IF(Data!L56="Non-trep.",0.522,IF(Data!L56="Trep. &amp; Non-trep.",1,"NA"))))</f>
        <v>0.68600000000000005</v>
      </c>
      <c r="K46" s="112">
        <f>IF(Data!M56="Unknown",0.686,IF(Data!M56="Trep.",0.536,IF(Data!M56="Non-trep.",0.522,IF(Data!M56="Trep. &amp; Non-trep.",1,"NA"))))</f>
        <v>0.68600000000000005</v>
      </c>
      <c r="L46" s="112">
        <f>IF(Data!N56="Unknown",0.686,IF(Data!N56="Trep.",0.536,IF(Data!N56="Non-trep.",0.522,IF(Data!N56="Trep. &amp; Non-trep.",1,"NA"))))</f>
        <v>0.68600000000000005</v>
      </c>
      <c r="M46" s="112">
        <f>IF(Data!O56="Unknown",0.686,IF(Data!O56="Trep.",0.536,IF(Data!O56="Non-trep.",0.522,IF(Data!O56="Trep. &amp; Non-trep.",1,"NA"))))</f>
        <v>0.68600000000000005</v>
      </c>
      <c r="N46" s="112">
        <f>IF(Data!P56="Unknown",0.686,IF(Data!P56="Trep.",0.536,IF(Data!P56="Non-trep.",0.522,IF(Data!P56="Trep. &amp; Non-trep.",1,"NA"))))</f>
        <v>0.68600000000000005</v>
      </c>
      <c r="O46" s="112">
        <f>IF(Data!Q56="Unknown",0.686,IF(Data!Q56="Trep.",0.536,IF(Data!Q56="Non-trep.",0.522,IF(Data!Q56="Trep. &amp; Non-trep.",1,"NA"))))</f>
        <v>0.68600000000000005</v>
      </c>
      <c r="P46" s="112">
        <f>IF(Data!R56="Unknown",0.686,IF(Data!R56="Trep.",0.536,IF(Data!R56="Non-trep.",0.522,IF(Data!R56="Trep. &amp; Non-trep.",1,"NA"))))</f>
        <v>0.68600000000000005</v>
      </c>
      <c r="Q46" s="112">
        <f>$P$46</f>
        <v>0.68600000000000005</v>
      </c>
      <c r="R46" s="112">
        <f t="shared" ref="R46:Z46" si="18">$P$46</f>
        <v>0.68600000000000005</v>
      </c>
      <c r="S46" s="112">
        <f t="shared" si="18"/>
        <v>0.68600000000000005</v>
      </c>
      <c r="T46" s="112">
        <f t="shared" si="18"/>
        <v>0.68600000000000005</v>
      </c>
      <c r="U46" s="112">
        <f t="shared" si="18"/>
        <v>0.68600000000000005</v>
      </c>
      <c r="V46" s="112">
        <f t="shared" si="18"/>
        <v>0.68600000000000005</v>
      </c>
      <c r="W46" s="112">
        <f t="shared" si="18"/>
        <v>0.68600000000000005</v>
      </c>
      <c r="X46" s="112">
        <f t="shared" si="18"/>
        <v>0.68600000000000005</v>
      </c>
      <c r="Y46" s="112">
        <f t="shared" si="18"/>
        <v>0.68600000000000005</v>
      </c>
      <c r="Z46" s="112">
        <f t="shared" si="18"/>
        <v>0.68600000000000005</v>
      </c>
    </row>
    <row r="47" spans="2:72" s="112" customFormat="1" ht="17">
      <c r="D47" s="1" t="s">
        <v>804</v>
      </c>
      <c r="F47" s="306">
        <f>IF(Data!$F$55="Yes",BaselineData!F45,BaselineData!F46)</f>
        <v>0.68600000000000005</v>
      </c>
      <c r="G47" s="306">
        <f>IF(Data!$F$55="Yes",BaselineData!G45,BaselineData!G46)</f>
        <v>0.68600000000000005</v>
      </c>
      <c r="H47" s="306">
        <f>IF(Data!$F$55="Yes",BaselineData!H45,BaselineData!H46)</f>
        <v>0.68600000000000005</v>
      </c>
      <c r="I47" s="306">
        <f>IF(Data!$F$55="Yes",BaselineData!I45,BaselineData!I46)</f>
        <v>0.68600000000000005</v>
      </c>
      <c r="J47" s="306">
        <f>IF(Data!$F$55="Yes",BaselineData!J45,BaselineData!J46)</f>
        <v>0.68600000000000005</v>
      </c>
      <c r="K47" s="306">
        <f>IF(Data!$F$55="Yes",BaselineData!K45,BaselineData!K46)</f>
        <v>0.68600000000000005</v>
      </c>
      <c r="L47" s="306">
        <f>IF(Data!$F$55="Yes",BaselineData!L45,BaselineData!L46)</f>
        <v>0.68600000000000005</v>
      </c>
      <c r="M47" s="306">
        <f>IF(Data!$F$55="Yes",BaselineData!M45,BaselineData!M46)</f>
        <v>0.68600000000000005</v>
      </c>
      <c r="N47" s="306">
        <f>IF(Data!$F$55="Yes",BaselineData!N45,BaselineData!N46)</f>
        <v>0.68600000000000005</v>
      </c>
      <c r="O47" s="306">
        <f>IF(Data!$F$55="Yes",BaselineData!O45,IF(BaselineData!O46="",0.686,BaselineData!O46))</f>
        <v>0.68600000000000005</v>
      </c>
      <c r="P47" s="306">
        <f>O47</f>
        <v>0.68600000000000005</v>
      </c>
      <c r="Q47" s="306">
        <f t="shared" ref="Q47:Z47" si="19">P47</f>
        <v>0.68600000000000005</v>
      </c>
      <c r="R47" s="306">
        <f t="shared" si="19"/>
        <v>0.68600000000000005</v>
      </c>
      <c r="S47" s="306">
        <f t="shared" si="19"/>
        <v>0.68600000000000005</v>
      </c>
      <c r="T47" s="306">
        <f t="shared" si="19"/>
        <v>0.68600000000000005</v>
      </c>
      <c r="U47" s="306">
        <f t="shared" si="19"/>
        <v>0.68600000000000005</v>
      </c>
      <c r="V47" s="306">
        <f t="shared" si="19"/>
        <v>0.68600000000000005</v>
      </c>
      <c r="W47" s="306">
        <f t="shared" si="19"/>
        <v>0.68600000000000005</v>
      </c>
      <c r="X47" s="306">
        <f t="shared" si="19"/>
        <v>0.68600000000000005</v>
      </c>
      <c r="Y47" s="306">
        <f t="shared" si="19"/>
        <v>0.68600000000000005</v>
      </c>
      <c r="Z47" s="306">
        <f t="shared" si="19"/>
        <v>0.68600000000000005</v>
      </c>
      <c r="AC47" s="345">
        <f>F47</f>
        <v>0.68600000000000005</v>
      </c>
      <c r="AD47" s="345">
        <f t="shared" ref="AD47:AW47" si="20">G47</f>
        <v>0.68600000000000005</v>
      </c>
      <c r="AE47" s="345">
        <f t="shared" si="20"/>
        <v>0.68600000000000005</v>
      </c>
      <c r="AF47" s="345">
        <f t="shared" si="20"/>
        <v>0.68600000000000005</v>
      </c>
      <c r="AG47" s="345">
        <f t="shared" si="20"/>
        <v>0.68600000000000005</v>
      </c>
      <c r="AH47" s="345">
        <f t="shared" si="20"/>
        <v>0.68600000000000005</v>
      </c>
      <c r="AI47" s="345">
        <f t="shared" si="20"/>
        <v>0.68600000000000005</v>
      </c>
      <c r="AJ47" s="345">
        <f t="shared" si="20"/>
        <v>0.68600000000000005</v>
      </c>
      <c r="AK47" s="345">
        <f t="shared" si="20"/>
        <v>0.68600000000000005</v>
      </c>
      <c r="AL47" s="345">
        <f t="shared" si="20"/>
        <v>0.68600000000000005</v>
      </c>
      <c r="AM47" s="345">
        <f t="shared" si="20"/>
        <v>0.68600000000000005</v>
      </c>
      <c r="AN47" s="345">
        <f t="shared" si="20"/>
        <v>0.68600000000000005</v>
      </c>
      <c r="AO47" s="345">
        <f t="shared" si="20"/>
        <v>0.68600000000000005</v>
      </c>
      <c r="AP47" s="345">
        <f t="shared" si="20"/>
        <v>0.68600000000000005</v>
      </c>
      <c r="AQ47" s="345">
        <f t="shared" si="20"/>
        <v>0.68600000000000005</v>
      </c>
      <c r="AR47" s="345">
        <f t="shared" si="20"/>
        <v>0.68600000000000005</v>
      </c>
      <c r="AS47" s="345">
        <f t="shared" si="20"/>
        <v>0.68600000000000005</v>
      </c>
      <c r="AT47" s="345">
        <f t="shared" si="20"/>
        <v>0.68600000000000005</v>
      </c>
      <c r="AU47" s="345">
        <f t="shared" si="20"/>
        <v>0.68600000000000005</v>
      </c>
      <c r="AV47" s="345">
        <f t="shared" si="20"/>
        <v>0.68600000000000005</v>
      </c>
      <c r="AW47" s="345">
        <f t="shared" si="20"/>
        <v>0.68600000000000005</v>
      </c>
      <c r="AZ47" s="345">
        <f>F47</f>
        <v>0.68600000000000005</v>
      </c>
      <c r="BA47" s="345">
        <f t="shared" ref="BA47:BT47" si="21">G47</f>
        <v>0.68600000000000005</v>
      </c>
      <c r="BB47" s="345">
        <f t="shared" si="21"/>
        <v>0.68600000000000005</v>
      </c>
      <c r="BC47" s="345">
        <f t="shared" si="21"/>
        <v>0.68600000000000005</v>
      </c>
      <c r="BD47" s="345">
        <f t="shared" si="21"/>
        <v>0.68600000000000005</v>
      </c>
      <c r="BE47" s="345">
        <f t="shared" si="21"/>
        <v>0.68600000000000005</v>
      </c>
      <c r="BF47" s="345">
        <f t="shared" si="21"/>
        <v>0.68600000000000005</v>
      </c>
      <c r="BG47" s="345">
        <f t="shared" si="21"/>
        <v>0.68600000000000005</v>
      </c>
      <c r="BH47" s="345">
        <f t="shared" si="21"/>
        <v>0.68600000000000005</v>
      </c>
      <c r="BI47" s="345">
        <f t="shared" si="21"/>
        <v>0.68600000000000005</v>
      </c>
      <c r="BJ47" s="345">
        <f t="shared" si="21"/>
        <v>0.68600000000000005</v>
      </c>
      <c r="BK47" s="345">
        <f t="shared" si="21"/>
        <v>0.68600000000000005</v>
      </c>
      <c r="BL47" s="345">
        <f t="shared" si="21"/>
        <v>0.68600000000000005</v>
      </c>
      <c r="BM47" s="345">
        <f t="shared" si="21"/>
        <v>0.68600000000000005</v>
      </c>
      <c r="BN47" s="345">
        <f t="shared" si="21"/>
        <v>0.68600000000000005</v>
      </c>
      <c r="BO47" s="345">
        <f t="shared" si="21"/>
        <v>0.68600000000000005</v>
      </c>
      <c r="BP47" s="345">
        <f t="shared" si="21"/>
        <v>0.68600000000000005</v>
      </c>
      <c r="BQ47" s="345">
        <f t="shared" si="21"/>
        <v>0.68600000000000005</v>
      </c>
      <c r="BR47" s="345">
        <f t="shared" si="21"/>
        <v>0.68600000000000005</v>
      </c>
      <c r="BS47" s="345">
        <f t="shared" si="21"/>
        <v>0.68600000000000005</v>
      </c>
      <c r="BT47" s="345">
        <f t="shared" si="21"/>
        <v>0.68600000000000005</v>
      </c>
    </row>
    <row r="48" spans="2:72" s="112" customFormat="1">
      <c r="AI48" s="1"/>
    </row>
    <row r="49" spans="1:35" s="112" customFormat="1" ht="19">
      <c r="D49" s="387"/>
      <c r="E49" s="54" t="s">
        <v>768</v>
      </c>
      <c r="F49" s="384"/>
      <c r="G49" s="384"/>
      <c r="H49" s="384"/>
      <c r="I49" s="384"/>
      <c r="J49" s="384"/>
      <c r="K49" s="384"/>
      <c r="L49" s="384"/>
      <c r="M49" s="384"/>
      <c r="N49" s="383"/>
      <c r="O49" s="383"/>
      <c r="P49" s="383"/>
      <c r="Q49" s="383"/>
      <c r="R49" s="383"/>
      <c r="S49" s="383"/>
      <c r="T49" s="383"/>
      <c r="U49" s="383"/>
      <c r="V49" s="383"/>
      <c r="W49" s="383"/>
      <c r="X49" s="383"/>
      <c r="Y49" s="383"/>
      <c r="Z49" s="383"/>
      <c r="AI49" s="1"/>
    </row>
    <row r="50" spans="1:35" s="112" customFormat="1" ht="17">
      <c r="D50" s="1" t="s">
        <v>811</v>
      </c>
      <c r="E50" s="1"/>
      <c r="F50" s="1">
        <f t="shared" ref="F50:Z50" si="22">IF(AND(F19&lt;&gt;"NA", F22&lt;&gt;"NA",F27&lt;&gt;"NA",F30&lt;&gt;"NA",F35&lt;&gt;"NA",F40&lt;&gt;"NA",F47&lt;&gt;"NA"),0,1)</f>
        <v>1</v>
      </c>
      <c r="G50" s="1">
        <f t="shared" si="22"/>
        <v>0</v>
      </c>
      <c r="H50" s="1">
        <f>IF(AND(H19&lt;&gt;"NA", H22&lt;&gt;"NA",H27&lt;&gt;"NA",H30&lt;&gt;"NA",H35&lt;&gt;"NA",H40&lt;&gt;"NA",H47&lt;&gt;"NA"),0,1)</f>
        <v>0</v>
      </c>
      <c r="I50" s="1">
        <f t="shared" si="22"/>
        <v>0</v>
      </c>
      <c r="J50" s="1">
        <f t="shared" si="22"/>
        <v>0</v>
      </c>
      <c r="K50" s="1">
        <f t="shared" si="22"/>
        <v>0</v>
      </c>
      <c r="L50" s="1">
        <f t="shared" si="22"/>
        <v>0</v>
      </c>
      <c r="M50" s="1">
        <f t="shared" si="22"/>
        <v>0</v>
      </c>
      <c r="N50" s="1">
        <f t="shared" si="22"/>
        <v>1</v>
      </c>
      <c r="O50" s="1">
        <f t="shared" si="22"/>
        <v>0</v>
      </c>
      <c r="P50" s="1">
        <f t="shared" si="22"/>
        <v>0</v>
      </c>
      <c r="Q50" s="1">
        <f t="shared" si="22"/>
        <v>0</v>
      </c>
      <c r="R50" s="1">
        <f t="shared" si="22"/>
        <v>0</v>
      </c>
      <c r="S50" s="1">
        <f t="shared" si="22"/>
        <v>0</v>
      </c>
      <c r="T50" s="1">
        <f t="shared" si="22"/>
        <v>0</v>
      </c>
      <c r="U50" s="1">
        <f t="shared" si="22"/>
        <v>0</v>
      </c>
      <c r="V50" s="1">
        <f t="shared" si="22"/>
        <v>0</v>
      </c>
      <c r="W50" s="1">
        <f t="shared" si="22"/>
        <v>0</v>
      </c>
      <c r="X50" s="1">
        <f t="shared" si="22"/>
        <v>0</v>
      </c>
      <c r="Y50" s="1">
        <f t="shared" si="22"/>
        <v>0</v>
      </c>
      <c r="Z50" s="1">
        <f t="shared" si="22"/>
        <v>0</v>
      </c>
      <c r="AI50" s="1"/>
    </row>
    <row r="51" spans="1:35" s="112" customFormat="1">
      <c r="D51" s="1"/>
      <c r="E51" s="1"/>
      <c r="F51" s="479"/>
      <c r="G51" s="479"/>
      <c r="H51" s="479"/>
      <c r="I51" s="479"/>
      <c r="J51" s="479"/>
      <c r="K51" s="479"/>
      <c r="L51" s="479"/>
      <c r="M51" s="479"/>
      <c r="N51" s="479"/>
      <c r="O51" s="479"/>
      <c r="P51" s="479"/>
      <c r="Q51" s="479"/>
      <c r="R51" s="479"/>
      <c r="S51" s="479"/>
      <c r="T51" s="479"/>
      <c r="U51" s="479"/>
      <c r="V51" s="479"/>
      <c r="W51" s="479"/>
      <c r="X51" s="479"/>
      <c r="Y51" s="479"/>
      <c r="Z51" s="479"/>
      <c r="AA51" s="479"/>
      <c r="AB51" s="479"/>
      <c r="AC51" s="479"/>
      <c r="AD51" s="479"/>
      <c r="AE51" s="479"/>
      <c r="AF51" s="479"/>
      <c r="AG51" s="479"/>
      <c r="AI51" s="1"/>
    </row>
    <row r="52" spans="1:35" s="112" customFormat="1">
      <c r="D52" s="1"/>
      <c r="E52" s="1"/>
      <c r="F52" s="479"/>
      <c r="G52" s="479"/>
      <c r="H52" s="479"/>
      <c r="I52" s="479"/>
      <c r="J52" s="479"/>
      <c r="K52" s="479"/>
      <c r="L52" s="479"/>
      <c r="M52" s="479"/>
      <c r="N52" s="479"/>
      <c r="O52" s="479"/>
      <c r="P52" s="479"/>
      <c r="Q52" s="479"/>
      <c r="R52" s="479"/>
      <c r="S52" s="479"/>
      <c r="T52" s="479"/>
      <c r="U52" s="479">
        <f>(BaselineData!O47)</f>
        <v>0.68600000000000005</v>
      </c>
      <c r="V52" s="479"/>
      <c r="W52" s="479"/>
      <c r="X52" s="479"/>
      <c r="Y52" s="479"/>
      <c r="Z52" s="479"/>
      <c r="AA52" s="479"/>
      <c r="AB52" s="479"/>
      <c r="AC52" s="479"/>
      <c r="AD52" s="479"/>
      <c r="AE52" s="479"/>
      <c r="AF52" s="479"/>
      <c r="AG52" s="479"/>
      <c r="AI52" s="1"/>
    </row>
    <row r="53" spans="1:35" s="112" customFormat="1">
      <c r="F53" s="479"/>
      <c r="G53" s="479"/>
      <c r="H53" s="479"/>
      <c r="I53" s="479"/>
      <c r="J53" s="479"/>
      <c r="K53" s="479"/>
      <c r="L53" s="479"/>
      <c r="M53" s="479"/>
      <c r="N53" s="479"/>
      <c r="O53" s="479"/>
      <c r="P53" s="479"/>
      <c r="Q53" s="479"/>
      <c r="R53" s="479"/>
      <c r="S53" s="479"/>
      <c r="T53" s="479"/>
      <c r="U53" s="479"/>
      <c r="V53" s="479"/>
      <c r="W53" s="479"/>
      <c r="X53" s="479"/>
      <c r="Y53" s="479"/>
      <c r="Z53" s="479"/>
      <c r="AA53" s="479"/>
      <c r="AB53" s="479"/>
      <c r="AC53" s="479"/>
      <c r="AD53" s="479"/>
      <c r="AE53" s="479"/>
      <c r="AF53" s="479"/>
      <c r="AG53" s="479"/>
      <c r="AI53" s="1"/>
    </row>
    <row r="54" spans="1:35" s="112" customFormat="1">
      <c r="AI54" s="1"/>
    </row>
    <row r="55" spans="1:35" s="112" customFormat="1">
      <c r="AI55" s="1"/>
    </row>
    <row r="56" spans="1:35" s="112" customFormat="1" ht="16" customHeight="1">
      <c r="AI56" s="1"/>
    </row>
    <row r="57" spans="1:35" s="112" customFormat="1" ht="43" customHeight="1">
      <c r="AI57" s="1"/>
    </row>
    <row r="59" spans="1:35" ht="164" customHeight="1"/>
    <row r="60" spans="1:35">
      <c r="A60" s="96"/>
    </row>
    <row r="61" spans="1:35" ht="28" customHeight="1"/>
    <row r="62" spans="1:35" ht="25" customHeight="1"/>
    <row r="63" spans="1:35" ht="43" customHeight="1"/>
    <row r="64" spans="1:35" ht="18" customHeight="1"/>
    <row r="66" spans="2:34" ht="25" customHeight="1">
      <c r="B66" s="112"/>
      <c r="C66" s="112"/>
      <c r="AH66" s="112"/>
    </row>
    <row r="67" spans="2:34">
      <c r="B67" s="112"/>
      <c r="C67" s="112"/>
      <c r="AH67" s="112"/>
    </row>
    <row r="68" spans="2:34">
      <c r="B68" s="112"/>
      <c r="C68" s="112"/>
      <c r="D68" s="800" t="s">
        <v>197</v>
      </c>
      <c r="E68" s="800"/>
      <c r="F68" s="800"/>
      <c r="G68" s="800"/>
      <c r="H68" s="112"/>
      <c r="I68" s="112"/>
      <c r="J68" s="112"/>
      <c r="K68" s="112"/>
      <c r="L68" s="112"/>
      <c r="M68" s="112"/>
      <c r="N68" s="112"/>
      <c r="O68" s="112"/>
      <c r="P68" s="112"/>
      <c r="Q68" s="112"/>
      <c r="R68" s="112"/>
      <c r="S68" s="112"/>
      <c r="T68" s="112"/>
      <c r="U68" s="112"/>
      <c r="V68" s="112"/>
      <c r="W68" s="112"/>
      <c r="X68" s="112"/>
      <c r="Y68" s="112"/>
      <c r="Z68" s="112"/>
      <c r="AA68" s="112"/>
      <c r="AB68" s="112"/>
      <c r="AC68" s="112"/>
      <c r="AD68" s="112"/>
      <c r="AE68" s="112"/>
      <c r="AF68" s="112"/>
      <c r="AG68" s="112"/>
      <c r="AH68" s="112"/>
    </row>
    <row r="69" spans="2:34">
      <c r="B69" s="112"/>
      <c r="C69" s="112"/>
      <c r="D69" s="800" t="s">
        <v>242</v>
      </c>
      <c r="E69" s="800"/>
      <c r="F69" s="800"/>
      <c r="G69" s="800"/>
      <c r="H69" s="112"/>
      <c r="I69" s="112"/>
      <c r="J69" s="112"/>
      <c r="K69" s="112"/>
      <c r="L69" s="112"/>
      <c r="M69" s="112"/>
      <c r="N69" s="112"/>
      <c r="O69" s="112"/>
      <c r="P69" s="112"/>
      <c r="Q69" s="112"/>
      <c r="R69" s="112"/>
      <c r="S69" s="112"/>
      <c r="T69" s="112"/>
      <c r="U69" s="112"/>
      <c r="V69" s="112"/>
      <c r="W69" s="112"/>
      <c r="X69" s="112"/>
      <c r="Y69" s="112"/>
      <c r="Z69" s="112"/>
      <c r="AA69" s="112"/>
      <c r="AB69" s="112"/>
      <c r="AC69" s="112"/>
      <c r="AD69" s="112"/>
      <c r="AE69" s="112"/>
      <c r="AF69" s="112"/>
      <c r="AG69" s="112"/>
      <c r="AH69" s="112"/>
    </row>
    <row r="70" spans="2:34">
      <c r="B70" s="112"/>
      <c r="C70" s="112"/>
      <c r="D70" s="799" t="s">
        <v>238</v>
      </c>
      <c r="E70" s="799"/>
      <c r="F70" s="799"/>
      <c r="G70" s="799"/>
      <c r="H70" s="112"/>
      <c r="I70" s="112"/>
      <c r="J70" s="112"/>
      <c r="K70" s="112"/>
      <c r="L70" s="112"/>
      <c r="M70" s="112"/>
      <c r="N70" s="112"/>
      <c r="O70" s="112"/>
      <c r="P70" s="112"/>
      <c r="Q70" s="112"/>
      <c r="R70" s="112"/>
      <c r="S70" s="112"/>
      <c r="T70" s="112"/>
      <c r="U70" s="112"/>
      <c r="V70" s="112"/>
      <c r="W70" s="112"/>
      <c r="X70" s="112"/>
      <c r="Y70" s="112"/>
      <c r="Z70" s="112"/>
      <c r="AA70" s="112"/>
      <c r="AB70" s="112"/>
      <c r="AC70" s="112"/>
      <c r="AD70" s="112"/>
      <c r="AE70" s="112"/>
      <c r="AF70" s="112"/>
      <c r="AG70" s="112"/>
      <c r="AH70" s="112"/>
    </row>
    <row r="71" spans="2:34" ht="19" customHeight="1">
      <c r="B71" s="112"/>
      <c r="C71" s="112"/>
      <c r="D71" s="112"/>
      <c r="E71" s="112"/>
      <c r="F71" s="112"/>
      <c r="G71" s="112"/>
      <c r="H71" s="112"/>
      <c r="I71" s="112"/>
      <c r="J71" s="112"/>
      <c r="K71" s="112"/>
      <c r="L71" s="112"/>
      <c r="M71" s="112"/>
      <c r="N71" s="112"/>
      <c r="O71" s="112"/>
      <c r="P71" s="112"/>
      <c r="Q71" s="112"/>
      <c r="R71" s="112"/>
      <c r="S71" s="112"/>
      <c r="T71" s="112"/>
      <c r="U71" s="112"/>
      <c r="V71" s="112"/>
      <c r="W71" s="112"/>
      <c r="X71" s="112"/>
      <c r="Y71" s="112"/>
      <c r="Z71" s="112"/>
      <c r="AA71" s="112"/>
      <c r="AB71" s="112"/>
      <c r="AC71" s="112"/>
      <c r="AD71" s="112"/>
      <c r="AE71" s="112"/>
      <c r="AF71" s="112"/>
      <c r="AG71" s="112"/>
      <c r="AH71" s="112"/>
    </row>
    <row r="72" spans="2:34" ht="15" customHeight="1">
      <c r="B72" s="7" t="s">
        <v>18</v>
      </c>
      <c r="G72" s="710"/>
      <c r="H72" s="112"/>
      <c r="I72" s="112"/>
      <c r="J72" s="112"/>
      <c r="K72" s="112"/>
      <c r="L72" s="112"/>
      <c r="M72" s="112"/>
      <c r="N72" s="112"/>
      <c r="O72" s="112"/>
      <c r="P72" s="112"/>
      <c r="Q72" s="112"/>
      <c r="R72" s="112"/>
      <c r="S72" s="112"/>
      <c r="T72" s="112"/>
      <c r="U72" s="112"/>
      <c r="V72" s="112"/>
      <c r="W72" s="112"/>
      <c r="X72" s="112"/>
      <c r="Y72" s="112"/>
      <c r="Z72" s="112"/>
      <c r="AA72" s="112"/>
      <c r="AB72" s="112"/>
      <c r="AC72" s="112"/>
      <c r="AD72" s="112"/>
      <c r="AE72" s="112"/>
      <c r="AF72" s="112"/>
      <c r="AG72" s="112"/>
      <c r="AH72" s="112"/>
    </row>
    <row r="73" spans="2:34" ht="19" customHeight="1">
      <c r="B73" s="13"/>
      <c r="C73" s="3"/>
      <c r="D73" s="3"/>
      <c r="E73" s="3"/>
      <c r="F73" s="3"/>
      <c r="G73" s="256"/>
    </row>
    <row r="74" spans="2:34" ht="17" customHeight="1">
      <c r="B74" s="14"/>
      <c r="C74" s="96"/>
      <c r="D74" s="96"/>
      <c r="E74" s="96"/>
      <c r="F74" s="96"/>
      <c r="G74" s="71"/>
    </row>
    <row r="75" spans="2:34" ht="27">
      <c r="B75" s="4"/>
      <c r="C75" s="96"/>
      <c r="D75" s="15" t="s">
        <v>112</v>
      </c>
      <c r="E75" s="96"/>
      <c r="F75" s="96"/>
      <c r="G75" s="71"/>
    </row>
    <row r="76" spans="2:34" ht="17" customHeight="1">
      <c r="B76" s="4"/>
      <c r="C76" s="96"/>
      <c r="D76" s="96"/>
      <c r="E76" s="96"/>
      <c r="F76" s="96"/>
      <c r="G76" s="71"/>
    </row>
    <row r="77" spans="2:34" ht="40">
      <c r="B77" s="4"/>
      <c r="C77" s="96"/>
      <c r="D77" s="10" t="s">
        <v>3</v>
      </c>
      <c r="E77" s="11" t="s">
        <v>5</v>
      </c>
      <c r="F77" s="246" t="s">
        <v>50</v>
      </c>
      <c r="G77" s="71"/>
    </row>
    <row r="78" spans="2:34" ht="17">
      <c r="B78" s="4"/>
      <c r="C78" s="96"/>
      <c r="D78" s="3" t="s">
        <v>19</v>
      </c>
      <c r="E78" s="166">
        <f>1-(E79+E80+E81+E82)</f>
        <v>0.99971299999999996</v>
      </c>
      <c r="F78" s="244" t="s">
        <v>54</v>
      </c>
      <c r="G78" s="71"/>
    </row>
    <row r="79" spans="2:34" ht="17" customHeight="1">
      <c r="B79" s="4"/>
      <c r="C79" s="96"/>
      <c r="D79" s="96" t="s">
        <v>20</v>
      </c>
      <c r="E79" s="259">
        <v>2.8699999999999998E-4</v>
      </c>
      <c r="F79" s="247" t="e">
        <f>Citations!#REF!</f>
        <v>#REF!</v>
      </c>
      <c r="G79" s="71"/>
    </row>
    <row r="80" spans="2:34" ht="17">
      <c r="B80" s="4"/>
      <c r="C80" s="96"/>
      <c r="D80" s="96" t="s">
        <v>21</v>
      </c>
      <c r="E80" s="259">
        <v>0</v>
      </c>
      <c r="F80" s="245" t="s">
        <v>54</v>
      </c>
      <c r="G80" s="71"/>
    </row>
    <row r="81" spans="1:27" ht="17">
      <c r="B81" s="4"/>
      <c r="C81" s="96"/>
      <c r="D81" s="96" t="s">
        <v>32</v>
      </c>
      <c r="E81" s="259">
        <v>0</v>
      </c>
      <c r="F81" s="245" t="s">
        <v>54</v>
      </c>
      <c r="G81" s="71"/>
    </row>
    <row r="82" spans="1:27" ht="17">
      <c r="B82" s="4"/>
      <c r="C82" s="96"/>
      <c r="D82" s="6" t="s">
        <v>22</v>
      </c>
      <c r="E82" s="260">
        <v>0</v>
      </c>
      <c r="F82" s="248" t="s">
        <v>54</v>
      </c>
      <c r="G82" s="71"/>
      <c r="I82" s="710"/>
      <c r="J82" s="710"/>
      <c r="K82" s="112"/>
      <c r="L82" s="112"/>
      <c r="M82" s="112"/>
      <c r="N82" s="112"/>
      <c r="O82" s="112"/>
      <c r="P82" s="112"/>
      <c r="Q82" s="112"/>
      <c r="R82" s="112"/>
      <c r="S82" s="112"/>
      <c r="T82" s="112"/>
      <c r="U82" s="112"/>
      <c r="V82" s="112"/>
      <c r="W82" s="112"/>
      <c r="X82" s="112"/>
      <c r="Y82" s="112"/>
      <c r="Z82" s="112"/>
      <c r="AA82" s="112"/>
    </row>
    <row r="83" spans="1:27" ht="19">
      <c r="B83" s="4"/>
      <c r="C83" s="96"/>
      <c r="D83" s="96"/>
      <c r="E83" s="96"/>
      <c r="F83" s="245"/>
      <c r="G83" s="71"/>
      <c r="I83" s="710"/>
      <c r="J83" s="710"/>
      <c r="K83" s="112"/>
      <c r="L83" s="255"/>
      <c r="M83" s="112"/>
      <c r="N83" s="112"/>
      <c r="O83" s="112"/>
      <c r="P83" s="112"/>
      <c r="Q83" s="112"/>
      <c r="R83" s="112"/>
      <c r="S83" s="112"/>
      <c r="T83" s="112"/>
      <c r="U83" s="112"/>
      <c r="V83" s="112"/>
      <c r="W83" s="112"/>
      <c r="X83" s="112"/>
      <c r="Y83" s="112"/>
      <c r="Z83" s="112"/>
      <c r="AA83" s="112"/>
    </row>
    <row r="84" spans="1:27" ht="24" customHeight="1">
      <c r="B84" s="4"/>
      <c r="C84" s="96"/>
      <c r="D84" s="96"/>
      <c r="E84" s="96"/>
      <c r="F84" s="245"/>
      <c r="G84" s="71"/>
    </row>
    <row r="85" spans="1:27" ht="27">
      <c r="B85" s="14"/>
      <c r="C85" s="96"/>
      <c r="D85" s="15" t="s">
        <v>111</v>
      </c>
      <c r="E85" s="96"/>
      <c r="F85" s="245"/>
      <c r="G85" s="71"/>
    </row>
    <row r="86" spans="1:27" ht="26">
      <c r="B86" s="14"/>
      <c r="C86" s="96"/>
      <c r="D86" s="96"/>
      <c r="E86" s="96"/>
      <c r="F86" s="245"/>
      <c r="G86" s="71"/>
    </row>
    <row r="87" spans="1:27" ht="40">
      <c r="A87" s="96"/>
      <c r="B87" s="4"/>
      <c r="C87" s="96"/>
      <c r="D87" s="10" t="s">
        <v>3</v>
      </c>
      <c r="E87" s="11" t="s">
        <v>5</v>
      </c>
      <c r="F87" s="246" t="s">
        <v>50</v>
      </c>
      <c r="G87" s="71"/>
    </row>
    <row r="88" spans="1:27" ht="34">
      <c r="A88" s="96"/>
      <c r="B88" s="4"/>
      <c r="C88" s="96"/>
      <c r="D88" s="3" t="s">
        <v>19</v>
      </c>
      <c r="E88" s="166">
        <f>1-SUM(E89:E92)</f>
        <v>0.91810000000000003</v>
      </c>
      <c r="F88" s="250" t="str">
        <f>Citations!$B$11&amp;" "&amp;Citations!$B$8&amp;" "&amp;Citations!$B$35</f>
        <v>[2] [1] [12]</v>
      </c>
      <c r="G88" s="71"/>
    </row>
    <row r="89" spans="1:27" ht="34">
      <c r="A89" s="96"/>
      <c r="B89" s="4"/>
      <c r="C89" s="96"/>
      <c r="D89" s="96" t="s">
        <v>20</v>
      </c>
      <c r="E89" s="167">
        <f>(1-0.82)*E99</f>
        <v>3.7800000000000007E-2</v>
      </c>
      <c r="F89" s="247" t="str">
        <f>Citations!$B$11&amp;" "&amp;Citations!$B$8&amp;" "&amp;Citations!$B$35</f>
        <v>[2] [1] [12]</v>
      </c>
      <c r="G89" s="71"/>
    </row>
    <row r="90" spans="1:27" ht="34">
      <c r="A90" s="96"/>
      <c r="B90" s="4"/>
      <c r="C90" s="96"/>
      <c r="D90" s="96" t="s">
        <v>21</v>
      </c>
      <c r="E90" s="167">
        <f>(1-0.8)*E100</f>
        <v>1.7999999999999995E-2</v>
      </c>
      <c r="F90" s="247" t="str">
        <f>Citations!$B$11&amp;" "&amp;Citations!$B$8&amp;" "&amp;Citations!$B$35</f>
        <v>[2] [1] [12]</v>
      </c>
      <c r="G90" s="71"/>
    </row>
    <row r="91" spans="1:27" ht="34">
      <c r="A91" s="96"/>
      <c r="B91" s="4"/>
      <c r="C91" s="96"/>
      <c r="D91" s="96" t="s">
        <v>32</v>
      </c>
      <c r="E91" s="167">
        <f>(1-0.64)*E101</f>
        <v>2.1599999999999998E-2</v>
      </c>
      <c r="F91" s="247" t="str">
        <f>Citations!$B$11&amp;" "&amp;Citations!$B$8&amp;" "&amp;Citations!$B$35</f>
        <v>[2] [1] [12]</v>
      </c>
      <c r="G91" s="71"/>
    </row>
    <row r="92" spans="1:27" ht="19" customHeight="1">
      <c r="A92" s="96"/>
      <c r="B92" s="4"/>
      <c r="C92" s="96"/>
      <c r="D92" s="6" t="s">
        <v>22</v>
      </c>
      <c r="E92" s="168">
        <f>(1-0.97)*E102</f>
        <v>4.500000000000004E-3</v>
      </c>
      <c r="F92" s="249" t="str">
        <f>Citations!$B$11&amp;" "&amp;Citations!$B$8&amp;" "&amp;Citations!$B$35</f>
        <v>[2] [1] [12]</v>
      </c>
      <c r="G92" s="71"/>
    </row>
    <row r="93" spans="1:27" ht="28" customHeight="1">
      <c r="A93" s="96"/>
      <c r="B93" s="4"/>
      <c r="C93" s="96"/>
      <c r="D93" s="96"/>
      <c r="E93" s="96"/>
      <c r="F93" s="245"/>
      <c r="G93" s="71"/>
    </row>
    <row r="94" spans="1:27" ht="17" customHeight="1">
      <c r="A94" s="96"/>
      <c r="B94" s="4"/>
      <c r="C94" s="96"/>
      <c r="D94" s="96"/>
      <c r="E94" s="96"/>
      <c r="F94" s="245"/>
      <c r="G94" s="71"/>
    </row>
    <row r="95" spans="1:27" ht="19" customHeight="1">
      <c r="A95" s="96"/>
      <c r="B95" s="4"/>
      <c r="C95" s="96"/>
      <c r="D95" s="15" t="s">
        <v>29</v>
      </c>
      <c r="E95" s="167"/>
      <c r="F95" s="245"/>
      <c r="G95" s="71"/>
    </row>
    <row r="96" spans="1:27" ht="30" customHeight="1">
      <c r="A96" s="96"/>
      <c r="B96" s="4"/>
      <c r="C96" s="96"/>
      <c r="D96" s="96"/>
      <c r="E96" s="167"/>
      <c r="F96" s="96"/>
      <c r="G96" s="71"/>
    </row>
    <row r="97" spans="1:27" ht="19" customHeight="1">
      <c r="A97" s="96"/>
      <c r="B97" s="4"/>
      <c r="C97" s="96"/>
      <c r="D97" s="10" t="s">
        <v>3</v>
      </c>
      <c r="E97" s="11" t="s">
        <v>5</v>
      </c>
      <c r="F97" s="246" t="s">
        <v>50</v>
      </c>
      <c r="G97" s="71"/>
    </row>
    <row r="98" spans="1:27" ht="14" customHeight="1">
      <c r="A98" s="96"/>
      <c r="B98" s="4"/>
      <c r="C98" s="96"/>
      <c r="D98" s="3" t="s">
        <v>100</v>
      </c>
      <c r="E98" s="166">
        <v>1</v>
      </c>
      <c r="F98" s="244" t="s">
        <v>98</v>
      </c>
      <c r="G98" s="71"/>
      <c r="I98" s="710"/>
      <c r="J98" s="710"/>
      <c r="K98" s="341"/>
      <c r="L98" s="112"/>
      <c r="M98" s="112"/>
      <c r="N98" s="112"/>
      <c r="O98" s="112"/>
      <c r="P98" s="112"/>
      <c r="Q98" s="112"/>
      <c r="R98" s="112"/>
      <c r="S98" s="112"/>
      <c r="T98" s="112"/>
      <c r="U98" s="112"/>
      <c r="V98" s="112"/>
      <c r="W98" s="112"/>
      <c r="X98" s="112"/>
      <c r="Y98" s="112"/>
      <c r="Z98" s="112"/>
      <c r="AA98" s="112"/>
    </row>
    <row r="99" spans="1:27" ht="17" customHeight="1">
      <c r="A99" s="96"/>
      <c r="B99" s="4"/>
      <c r="C99" s="96"/>
      <c r="D99" s="96" t="s">
        <v>20</v>
      </c>
      <c r="E99" s="167">
        <v>0.21</v>
      </c>
      <c r="F99" s="245" t="str">
        <f>Citations!$B$8</f>
        <v>[1]</v>
      </c>
      <c r="G99" s="71"/>
      <c r="I99" s="710"/>
      <c r="J99" s="710"/>
      <c r="K99" s="341"/>
      <c r="L99" s="342"/>
      <c r="M99" s="343"/>
      <c r="N99" s="344"/>
      <c r="O99" s="344"/>
      <c r="P99" s="344"/>
      <c r="Q99" s="344"/>
      <c r="R99" s="344"/>
      <c r="S99" s="344"/>
      <c r="T99" s="344"/>
      <c r="U99" s="344"/>
      <c r="V99" s="344"/>
      <c r="W99" s="344"/>
      <c r="X99" s="112"/>
      <c r="Y99" s="112"/>
      <c r="Z99" s="112"/>
      <c r="AA99" s="112"/>
    </row>
    <row r="100" spans="1:27" ht="28" customHeight="1">
      <c r="A100" s="96"/>
      <c r="B100" s="4"/>
      <c r="C100" s="96"/>
      <c r="D100" s="96" t="s">
        <v>21</v>
      </c>
      <c r="E100" s="167">
        <v>0.09</v>
      </c>
      <c r="F100" s="245" t="str">
        <f>Citations!$B$8</f>
        <v>[1]</v>
      </c>
      <c r="G100" s="71"/>
      <c r="I100" s="710"/>
      <c r="J100" s="710"/>
      <c r="K100" s="341"/>
      <c r="L100" s="255"/>
      <c r="M100" s="112"/>
      <c r="N100" s="112"/>
      <c r="O100" s="112"/>
      <c r="P100" s="112"/>
      <c r="Q100" s="112"/>
      <c r="R100" s="112"/>
      <c r="S100" s="112"/>
      <c r="T100" s="112"/>
      <c r="U100" s="112"/>
      <c r="V100" s="112"/>
      <c r="W100" s="112"/>
      <c r="X100" s="112"/>
      <c r="Y100" s="112"/>
      <c r="Z100" s="112"/>
      <c r="AA100" s="112"/>
    </row>
    <row r="101" spans="1:27" ht="17" customHeight="1">
      <c r="A101" s="96"/>
      <c r="B101" s="4"/>
      <c r="C101" s="96"/>
      <c r="D101" s="96" t="s">
        <v>32</v>
      </c>
      <c r="E101" s="167">
        <v>0.06</v>
      </c>
      <c r="F101" s="245" t="str">
        <f>Citations!$B$8</f>
        <v>[1]</v>
      </c>
      <c r="G101" s="71"/>
      <c r="I101" s="710"/>
      <c r="J101" s="710"/>
      <c r="K101" s="341"/>
      <c r="L101" s="305"/>
      <c r="M101" s="305"/>
      <c r="N101" s="305"/>
      <c r="O101" s="305"/>
      <c r="P101" s="305"/>
      <c r="Q101" s="305"/>
      <c r="R101" s="305"/>
      <c r="S101" s="305"/>
      <c r="T101" s="305"/>
      <c r="U101" s="305"/>
      <c r="V101" s="305"/>
      <c r="W101" s="305"/>
      <c r="X101" s="305"/>
      <c r="Y101" s="305"/>
      <c r="Z101" s="305"/>
      <c r="AA101" s="112"/>
    </row>
    <row r="102" spans="1:27" ht="16" customHeight="1">
      <c r="A102" s="96"/>
      <c r="B102" s="4"/>
      <c r="C102" s="96"/>
      <c r="D102" s="96" t="s">
        <v>101</v>
      </c>
      <c r="E102" s="307">
        <v>0.15</v>
      </c>
      <c r="F102" s="245" t="s">
        <v>52</v>
      </c>
      <c r="G102" s="71"/>
      <c r="H102" s="710"/>
      <c r="I102" s="710"/>
      <c r="J102" s="710"/>
      <c r="K102" s="341"/>
      <c r="L102" s="112"/>
      <c r="M102" s="112"/>
      <c r="N102" s="112"/>
      <c r="O102" s="112"/>
      <c r="P102" s="112"/>
      <c r="Q102" s="112"/>
      <c r="R102" s="112"/>
      <c r="S102" s="112"/>
      <c r="T102" s="112"/>
      <c r="U102" s="112"/>
      <c r="V102" s="112"/>
      <c r="W102" s="112"/>
      <c r="X102" s="112"/>
      <c r="Y102" s="112"/>
      <c r="Z102" s="112"/>
      <c r="AA102" s="112"/>
    </row>
    <row r="103" spans="1:27">
      <c r="A103" s="96"/>
      <c r="B103" s="4"/>
      <c r="C103" s="96"/>
      <c r="D103" s="96"/>
      <c r="E103" s="167"/>
      <c r="F103" s="245"/>
      <c r="G103" s="71"/>
      <c r="H103" s="710"/>
      <c r="I103" s="710"/>
      <c r="J103" s="710"/>
      <c r="K103" s="112"/>
      <c r="L103" s="112"/>
      <c r="M103" s="112"/>
      <c r="N103" s="112"/>
      <c r="O103" s="112"/>
      <c r="P103" s="112"/>
      <c r="Q103" s="112"/>
      <c r="R103" s="112"/>
      <c r="S103" s="112"/>
      <c r="T103" s="112"/>
      <c r="U103" s="112"/>
      <c r="V103" s="112"/>
      <c r="W103" s="112"/>
      <c r="X103" s="112"/>
      <c r="Y103" s="112"/>
      <c r="Z103" s="112"/>
      <c r="AA103" s="112"/>
    </row>
    <row r="104" spans="1:27">
      <c r="A104" s="96"/>
      <c r="B104" s="4"/>
      <c r="C104" s="96"/>
      <c r="D104" s="96"/>
      <c r="E104" s="96"/>
      <c r="F104" s="245"/>
      <c r="G104" s="71"/>
      <c r="H104" s="710"/>
      <c r="I104" s="710"/>
      <c r="K104" s="112"/>
      <c r="L104" s="112"/>
      <c r="M104" s="345"/>
      <c r="N104" s="345"/>
      <c r="O104" s="345"/>
      <c r="P104" s="345"/>
      <c r="Q104" s="345"/>
      <c r="R104" s="345"/>
      <c r="S104" s="345"/>
      <c r="T104" s="345"/>
      <c r="U104" s="345"/>
      <c r="V104" s="345"/>
      <c r="W104" s="345"/>
      <c r="X104" s="345"/>
      <c r="Y104" s="345"/>
      <c r="Z104" s="345"/>
      <c r="AA104" s="112"/>
    </row>
    <row r="105" spans="1:27">
      <c r="A105" s="96"/>
      <c r="B105" s="4"/>
      <c r="C105" s="96"/>
      <c r="D105" s="96"/>
      <c r="E105" s="167"/>
      <c r="F105" s="245"/>
      <c r="G105" s="71"/>
      <c r="H105" s="710"/>
      <c r="I105" s="710"/>
      <c r="K105" s="112"/>
      <c r="L105" s="112"/>
      <c r="M105" s="306"/>
      <c r="N105" s="306"/>
      <c r="O105" s="306"/>
      <c r="P105" s="306"/>
      <c r="Q105" s="306"/>
      <c r="R105" s="306"/>
      <c r="S105" s="306"/>
      <c r="T105" s="306"/>
      <c r="U105" s="306"/>
      <c r="V105" s="306"/>
      <c r="W105" s="306"/>
      <c r="X105" s="306"/>
      <c r="Y105" s="306"/>
      <c r="Z105" s="306"/>
      <c r="AA105" s="112"/>
    </row>
    <row r="106" spans="1:27" ht="26">
      <c r="A106" s="96"/>
      <c r="B106" s="5"/>
      <c r="C106" s="6"/>
      <c r="D106" s="309"/>
      <c r="E106" s="168"/>
      <c r="F106" s="248"/>
      <c r="G106" s="2"/>
      <c r="H106" s="710"/>
      <c r="I106" s="710"/>
      <c r="K106" s="354"/>
      <c r="L106" s="112"/>
      <c r="M106" s="306"/>
      <c r="N106" s="306"/>
      <c r="O106" s="306"/>
      <c r="P106" s="306"/>
      <c r="Q106" s="306"/>
      <c r="R106" s="306"/>
      <c r="S106" s="306"/>
      <c r="T106" s="306"/>
      <c r="U106" s="306"/>
      <c r="V106" s="306"/>
      <c r="W106" s="306"/>
      <c r="X106" s="306"/>
      <c r="Y106" s="306"/>
      <c r="Z106" s="306"/>
      <c r="AA106" s="112"/>
    </row>
    <row r="107" spans="1:27">
      <c r="A107" s="96"/>
      <c r="H107" s="710"/>
      <c r="I107" s="710"/>
      <c r="K107" s="112"/>
      <c r="L107" s="112"/>
      <c r="M107" s="306"/>
      <c r="N107" s="306"/>
      <c r="O107" s="306"/>
      <c r="P107" s="306"/>
      <c r="Q107" s="306"/>
      <c r="R107" s="306"/>
      <c r="S107" s="306"/>
      <c r="T107" s="306"/>
      <c r="U107" s="306"/>
      <c r="V107" s="306"/>
      <c r="W107" s="306"/>
      <c r="X107" s="306"/>
      <c r="Y107" s="306"/>
      <c r="Z107" s="306"/>
      <c r="AA107" s="112"/>
    </row>
    <row r="108" spans="1:27">
      <c r="A108" s="96"/>
      <c r="H108" s="710"/>
      <c r="I108" s="710"/>
      <c r="K108" s="112"/>
      <c r="L108" s="112"/>
      <c r="M108" s="306"/>
      <c r="N108" s="306"/>
      <c r="O108" s="306"/>
      <c r="P108" s="306"/>
      <c r="Q108" s="306"/>
      <c r="R108" s="306"/>
      <c r="S108" s="306"/>
      <c r="T108" s="306"/>
      <c r="U108" s="306"/>
      <c r="V108" s="306"/>
      <c r="W108" s="306"/>
      <c r="X108" s="306"/>
      <c r="Y108" s="306"/>
      <c r="Z108" s="306"/>
      <c r="AA108" s="112"/>
    </row>
    <row r="109" spans="1:27">
      <c r="A109" s="96"/>
      <c r="H109" s="710"/>
      <c r="I109" s="710"/>
      <c r="K109" s="112"/>
      <c r="L109" s="112"/>
      <c r="M109" s="112"/>
      <c r="N109" s="112"/>
      <c r="O109" s="112"/>
      <c r="P109" s="112"/>
      <c r="Q109" s="112"/>
      <c r="R109" s="112"/>
      <c r="S109" s="112"/>
      <c r="T109" s="112"/>
      <c r="U109" s="112"/>
      <c r="V109" s="112"/>
      <c r="W109" s="344"/>
      <c r="X109" s="112"/>
      <c r="Y109" s="112"/>
      <c r="Z109" s="112"/>
      <c r="AA109" s="112"/>
    </row>
    <row r="110" spans="1:27">
      <c r="A110" s="96"/>
      <c r="H110" s="710"/>
      <c r="I110" s="710"/>
      <c r="K110" s="96"/>
      <c r="L110" s="96"/>
      <c r="M110" s="96"/>
      <c r="N110" s="96"/>
      <c r="O110" s="96"/>
      <c r="P110" s="96"/>
      <c r="Q110" s="96"/>
      <c r="R110" s="96"/>
      <c r="S110" s="96"/>
      <c r="T110" s="96"/>
      <c r="U110" s="96"/>
      <c r="V110" s="96"/>
      <c r="Y110" s="710"/>
    </row>
    <row r="111" spans="1:27">
      <c r="A111" s="96"/>
      <c r="H111" s="710"/>
      <c r="I111" s="710"/>
      <c r="J111" s="710"/>
      <c r="K111" s="96"/>
      <c r="L111" s="96"/>
      <c r="M111" s="96"/>
      <c r="N111" s="96"/>
      <c r="O111" s="96"/>
      <c r="P111" s="96"/>
      <c r="Q111" s="96"/>
      <c r="R111" s="96"/>
      <c r="S111" s="96"/>
      <c r="T111" s="96"/>
      <c r="U111" s="96"/>
      <c r="V111" s="68"/>
      <c r="Y111" s="710"/>
    </row>
    <row r="112" spans="1:27" ht="19">
      <c r="A112" s="96"/>
      <c r="H112" s="710"/>
      <c r="I112" s="710"/>
      <c r="J112" s="710"/>
      <c r="K112" s="167"/>
      <c r="L112" s="70"/>
      <c r="M112" s="710"/>
      <c r="N112" s="710"/>
      <c r="O112" s="710"/>
      <c r="P112" s="710"/>
      <c r="Q112" s="710"/>
      <c r="R112" s="710"/>
      <c r="S112" s="710"/>
      <c r="T112" s="710"/>
      <c r="U112" s="710"/>
      <c r="V112" s="68"/>
    </row>
    <row r="113" spans="1:22">
      <c r="A113" s="96"/>
      <c r="H113" s="710"/>
      <c r="I113" s="710"/>
      <c r="J113" s="710"/>
      <c r="K113" s="710"/>
      <c r="L113" s="69"/>
      <c r="M113" s="68"/>
      <c r="N113" s="335"/>
      <c r="O113" s="68"/>
      <c r="P113" s="68"/>
      <c r="Q113" s="68"/>
      <c r="R113" s="68"/>
      <c r="S113" s="68"/>
      <c r="T113" s="68"/>
      <c r="U113" s="68"/>
      <c r="V113" s="710"/>
    </row>
    <row r="114" spans="1:22">
      <c r="A114" s="96"/>
      <c r="H114" s="710"/>
      <c r="I114" s="710"/>
    </row>
    <row r="115" spans="1:22">
      <c r="A115" s="96"/>
      <c r="H115" s="710"/>
      <c r="I115" s="710"/>
    </row>
    <row r="116" spans="1:22">
      <c r="A116" s="96"/>
      <c r="H116" s="710"/>
      <c r="I116" s="710"/>
    </row>
    <row r="117" spans="1:22">
      <c r="A117" s="96"/>
      <c r="H117" s="710"/>
    </row>
    <row r="118" spans="1:22">
      <c r="A118" s="96"/>
      <c r="H118" s="710"/>
    </row>
    <row r="119" spans="1:22">
      <c r="A119" s="96"/>
      <c r="H119" s="710"/>
      <c r="J119" s="710"/>
      <c r="K119" s="338"/>
      <c r="L119" s="67"/>
      <c r="M119" s="79"/>
      <c r="N119" s="68"/>
      <c r="O119" s="68"/>
      <c r="P119" s="68"/>
      <c r="Q119" s="68"/>
      <c r="R119" s="68"/>
      <c r="S119" s="68"/>
      <c r="T119" s="68"/>
      <c r="U119" s="68"/>
      <c r="V119" s="68"/>
    </row>
    <row r="120" spans="1:22">
      <c r="A120" s="96"/>
      <c r="H120" s="710"/>
      <c r="J120" s="710"/>
      <c r="K120" s="710"/>
      <c r="L120" s="340"/>
      <c r="M120" s="79"/>
      <c r="N120" s="68"/>
      <c r="O120" s="68"/>
      <c r="P120" s="68"/>
      <c r="Q120" s="68"/>
      <c r="R120" s="68"/>
      <c r="S120" s="68"/>
      <c r="T120" s="68"/>
      <c r="U120" s="68"/>
      <c r="V120" s="96"/>
    </row>
    <row r="121" spans="1:22">
      <c r="A121" s="96"/>
      <c r="H121" s="710"/>
      <c r="J121" s="710"/>
      <c r="K121" s="334"/>
      <c r="L121" s="337"/>
      <c r="M121" s="334"/>
      <c r="N121" s="335"/>
      <c r="O121" s="335"/>
      <c r="P121" s="335"/>
      <c r="Q121" s="335"/>
      <c r="R121" s="335"/>
      <c r="S121" s="335"/>
      <c r="T121" s="335"/>
      <c r="U121" s="68"/>
      <c r="V121" s="96"/>
    </row>
    <row r="122" spans="1:22">
      <c r="H122" s="710"/>
      <c r="I122" s="710"/>
      <c r="J122" s="710"/>
      <c r="K122" s="336"/>
      <c r="L122" s="336"/>
      <c r="M122" s="336"/>
      <c r="N122" s="336"/>
      <c r="O122" s="336"/>
      <c r="P122" s="336"/>
      <c r="Q122" s="336"/>
      <c r="R122" s="336"/>
      <c r="S122" s="336"/>
      <c r="T122" s="336"/>
      <c r="U122" s="710"/>
      <c r="V122" s="96"/>
    </row>
    <row r="123" spans="1:22">
      <c r="H123" s="710"/>
      <c r="I123" s="710"/>
      <c r="J123" s="710"/>
      <c r="K123" s="710"/>
      <c r="L123" s="69"/>
      <c r="M123" s="68"/>
      <c r="N123" s="68"/>
      <c r="O123" s="68"/>
      <c r="P123" s="68"/>
      <c r="Q123" s="68"/>
      <c r="R123" s="68"/>
      <c r="S123" s="68"/>
      <c r="T123" s="68"/>
      <c r="U123" s="68"/>
      <c r="V123" s="96"/>
    </row>
    <row r="124" spans="1:22">
      <c r="H124" s="710"/>
      <c r="I124" s="710"/>
      <c r="J124" s="710"/>
      <c r="K124" s="710"/>
      <c r="L124" s="69"/>
      <c r="M124" s="96"/>
      <c r="N124" s="96"/>
      <c r="O124" s="96"/>
      <c r="P124" s="96"/>
      <c r="Q124" s="96"/>
      <c r="R124" s="96"/>
      <c r="S124" s="96"/>
      <c r="T124" s="96"/>
      <c r="U124" s="96"/>
      <c r="V124" s="96"/>
    </row>
    <row r="125" spans="1:22">
      <c r="H125" s="710"/>
      <c r="I125" s="710"/>
      <c r="J125" s="710"/>
      <c r="K125" s="710"/>
      <c r="L125" s="339"/>
      <c r="M125" s="339"/>
      <c r="N125" s="339"/>
      <c r="O125" s="339"/>
      <c r="P125" s="339"/>
      <c r="Q125" s="339"/>
      <c r="R125" s="339"/>
      <c r="S125" s="339"/>
      <c r="T125" s="339"/>
      <c r="U125" s="339"/>
      <c r="V125" s="96"/>
    </row>
    <row r="126" spans="1:22">
      <c r="H126" s="710"/>
      <c r="I126" s="710"/>
      <c r="J126" s="710"/>
      <c r="K126" s="710"/>
      <c r="L126" s="67"/>
      <c r="M126" s="67"/>
      <c r="N126" s="67"/>
      <c r="O126" s="67"/>
      <c r="P126" s="67"/>
      <c r="Q126" s="67"/>
      <c r="R126" s="67"/>
      <c r="S126" s="67"/>
      <c r="T126" s="67"/>
      <c r="U126" s="96"/>
      <c r="V126" s="96"/>
    </row>
    <row r="127" spans="1:22">
      <c r="A127" s="112"/>
      <c r="H127" s="710"/>
      <c r="J127" s="710"/>
      <c r="K127" s="710"/>
      <c r="L127" s="67"/>
      <c r="M127" s="96"/>
      <c r="N127" s="96"/>
      <c r="O127" s="96"/>
      <c r="P127" s="96"/>
      <c r="Q127" s="96"/>
      <c r="R127" s="96"/>
      <c r="S127" s="96"/>
      <c r="T127" s="96"/>
      <c r="U127" s="96"/>
      <c r="V127" s="96"/>
    </row>
    <row r="128" spans="1:22" ht="19" customHeight="1">
      <c r="A128" s="112"/>
      <c r="H128" s="710"/>
      <c r="J128" s="710"/>
      <c r="K128" s="710"/>
      <c r="L128" s="339"/>
      <c r="M128" s="339"/>
      <c r="N128" s="339"/>
      <c r="O128" s="339"/>
      <c r="P128" s="339"/>
      <c r="Q128" s="339"/>
      <c r="R128" s="339"/>
      <c r="S128" s="339"/>
      <c r="T128" s="339"/>
      <c r="U128" s="96"/>
      <c r="V128" s="96"/>
    </row>
    <row r="129" spans="1:11" ht="20" customHeight="1">
      <c r="A129" s="112"/>
      <c r="B129" s="112"/>
      <c r="C129" s="112"/>
      <c r="D129" s="112"/>
      <c r="E129" s="306"/>
      <c r="F129" s="308"/>
      <c r="G129" s="112"/>
      <c r="H129" s="112"/>
    </row>
    <row r="130" spans="1:11" ht="15" customHeight="1">
      <c r="A130" s="112"/>
      <c r="B130" s="112"/>
      <c r="C130" s="112"/>
      <c r="D130" s="112"/>
      <c r="E130" s="306"/>
      <c r="F130" s="308"/>
      <c r="G130" s="112"/>
      <c r="H130" s="112"/>
      <c r="I130" s="710"/>
      <c r="J130" s="710"/>
      <c r="K130" s="96"/>
    </row>
    <row r="131" spans="1:11">
      <c r="A131" s="112"/>
      <c r="B131" s="112"/>
      <c r="C131" s="112"/>
      <c r="D131" s="112"/>
      <c r="E131" s="306"/>
      <c r="F131" s="308"/>
      <c r="G131" s="112"/>
      <c r="H131" s="112"/>
      <c r="J131" s="710"/>
      <c r="K131" s="96"/>
    </row>
    <row r="132" spans="1:11">
      <c r="A132" s="112"/>
      <c r="B132" s="112"/>
      <c r="C132" s="112"/>
      <c r="D132" s="112"/>
      <c r="E132" s="112"/>
      <c r="F132" s="112"/>
      <c r="G132" s="112"/>
      <c r="H132" s="112"/>
      <c r="J132" s="710"/>
      <c r="K132" s="96"/>
    </row>
    <row r="133" spans="1:11">
      <c r="A133" s="112"/>
      <c r="B133" s="112"/>
      <c r="C133" s="112"/>
      <c r="D133" s="112"/>
      <c r="E133" s="112"/>
      <c r="F133" s="112"/>
      <c r="G133" s="112"/>
      <c r="H133" s="112"/>
      <c r="I133" s="710"/>
      <c r="J133" s="710"/>
      <c r="K133" s="96"/>
    </row>
    <row r="134" spans="1:11">
      <c r="A134" s="112"/>
      <c r="B134" s="112"/>
      <c r="C134" s="112"/>
      <c r="D134" s="112"/>
      <c r="E134" s="112"/>
      <c r="F134" s="112"/>
      <c r="G134" s="112"/>
      <c r="H134" s="112"/>
      <c r="I134" s="710"/>
      <c r="J134" s="710"/>
      <c r="K134" s="96"/>
    </row>
    <row r="135" spans="1:11">
      <c r="A135" s="710"/>
      <c r="B135" s="710"/>
      <c r="C135" s="710"/>
      <c r="D135" s="710"/>
      <c r="E135" s="710"/>
      <c r="F135" s="710"/>
      <c r="G135" s="710"/>
      <c r="H135" s="710"/>
      <c r="I135" s="710"/>
      <c r="J135" s="710"/>
      <c r="K135" s="96"/>
    </row>
    <row r="136" spans="1:11" ht="26">
      <c r="A136" s="710"/>
      <c r="B136" s="710"/>
      <c r="C136" s="710"/>
      <c r="D136" s="73"/>
      <c r="E136" s="710"/>
      <c r="F136" s="710"/>
      <c r="G136" s="710"/>
      <c r="H136" s="710"/>
      <c r="I136" s="710"/>
      <c r="J136" s="710"/>
      <c r="K136" s="96"/>
    </row>
    <row r="137" spans="1:11">
      <c r="A137" s="710"/>
      <c r="B137" s="710"/>
      <c r="C137" s="710"/>
      <c r="D137" s="710"/>
      <c r="E137" s="710"/>
      <c r="F137" s="710"/>
      <c r="G137" s="710"/>
      <c r="H137" s="710"/>
      <c r="I137" s="710"/>
      <c r="J137" s="710"/>
      <c r="K137" s="96"/>
    </row>
    <row r="138" spans="1:11" ht="19">
      <c r="A138" s="710"/>
      <c r="B138" s="710"/>
      <c r="C138" s="710"/>
      <c r="D138" s="61"/>
      <c r="E138" s="74"/>
      <c r="F138" s="710"/>
      <c r="G138" s="710"/>
      <c r="H138" s="710"/>
      <c r="I138" s="710"/>
      <c r="J138" s="710"/>
      <c r="K138" s="96"/>
    </row>
    <row r="139" spans="1:11">
      <c r="A139" s="710"/>
      <c r="B139" s="710"/>
      <c r="C139" s="710"/>
      <c r="D139" s="710"/>
      <c r="E139" s="117"/>
      <c r="F139" s="710"/>
      <c r="G139" s="710"/>
      <c r="H139" s="710"/>
      <c r="I139" s="710"/>
      <c r="J139" s="710"/>
      <c r="K139" s="96"/>
    </row>
    <row r="140" spans="1:11">
      <c r="A140" s="710"/>
      <c r="B140" s="710"/>
      <c r="C140" s="710"/>
      <c r="D140" s="710"/>
      <c r="E140" s="117"/>
      <c r="F140" s="710"/>
      <c r="G140" s="710"/>
      <c r="H140" s="710"/>
      <c r="I140" s="710"/>
      <c r="J140" s="710"/>
      <c r="K140" s="96"/>
    </row>
    <row r="141" spans="1:11">
      <c r="A141" s="710"/>
      <c r="B141" s="710"/>
      <c r="C141" s="710"/>
      <c r="D141" s="710"/>
      <c r="E141" s="117"/>
      <c r="F141" s="710"/>
      <c r="G141" s="710"/>
      <c r="H141" s="710"/>
      <c r="I141" s="710"/>
      <c r="J141" s="710"/>
      <c r="K141" s="96"/>
    </row>
    <row r="142" spans="1:11">
      <c r="A142" s="710"/>
      <c r="B142" s="710"/>
      <c r="C142" s="710"/>
      <c r="D142" s="710"/>
      <c r="E142" s="117"/>
      <c r="F142" s="710"/>
      <c r="G142" s="710"/>
      <c r="H142" s="710"/>
      <c r="I142" s="710"/>
      <c r="J142" s="710"/>
      <c r="K142" s="96"/>
    </row>
    <row r="143" spans="1:11">
      <c r="A143" s="710"/>
      <c r="B143" s="710"/>
      <c r="C143" s="710"/>
      <c r="D143" s="710"/>
      <c r="E143" s="117"/>
      <c r="F143" s="710"/>
      <c r="G143" s="710"/>
      <c r="H143" s="710"/>
      <c r="I143" s="710"/>
      <c r="J143" s="710"/>
      <c r="K143" s="96"/>
    </row>
    <row r="144" spans="1:11">
      <c r="A144" s="710"/>
      <c r="B144" s="710"/>
      <c r="C144" s="710"/>
      <c r="D144" s="710"/>
      <c r="E144" s="117"/>
      <c r="F144" s="710"/>
      <c r="G144" s="710"/>
      <c r="H144" s="710"/>
      <c r="I144" s="710"/>
      <c r="J144" s="710"/>
      <c r="K144" s="96"/>
    </row>
    <row r="145" spans="1:11">
      <c r="A145" s="710"/>
      <c r="B145" s="710"/>
      <c r="C145" s="710"/>
      <c r="D145" s="710"/>
      <c r="E145" s="117"/>
      <c r="F145" s="710"/>
      <c r="G145" s="710"/>
      <c r="H145" s="710"/>
      <c r="I145" s="710"/>
      <c r="J145" s="710"/>
      <c r="K145" s="96"/>
    </row>
    <row r="146" spans="1:11" ht="19" customHeight="1">
      <c r="A146" s="710"/>
      <c r="B146" s="710"/>
      <c r="C146" s="710"/>
      <c r="D146" s="710"/>
      <c r="E146" s="117"/>
      <c r="F146" s="710"/>
      <c r="G146" s="710"/>
      <c r="H146" s="710"/>
      <c r="I146" s="710"/>
      <c r="J146" s="710"/>
      <c r="K146" s="96"/>
    </row>
    <row r="147" spans="1:11">
      <c r="A147" s="710"/>
      <c r="B147" s="710"/>
      <c r="C147" s="710"/>
      <c r="D147" s="710"/>
      <c r="E147" s="710"/>
      <c r="F147" s="710"/>
      <c r="G147" s="710"/>
      <c r="H147" s="710"/>
      <c r="I147" s="710"/>
      <c r="J147" s="710"/>
      <c r="K147" s="96"/>
    </row>
    <row r="148" spans="1:11" ht="19">
      <c r="A148" s="710"/>
      <c r="B148" s="710"/>
      <c r="C148" s="710"/>
      <c r="D148" s="710"/>
      <c r="E148" s="75"/>
      <c r="F148" s="76"/>
      <c r="G148" s="156"/>
      <c r="H148" s="710"/>
      <c r="I148" s="710"/>
      <c r="J148" s="710"/>
      <c r="K148" s="96"/>
    </row>
    <row r="149" spans="1:11" ht="19">
      <c r="A149" s="710"/>
      <c r="B149" s="710"/>
      <c r="C149" s="710"/>
      <c r="D149" s="61"/>
      <c r="E149" s="61"/>
      <c r="F149" s="61"/>
      <c r="G149" s="61"/>
      <c r="H149" s="157"/>
      <c r="I149" s="710"/>
      <c r="J149" s="77"/>
      <c r="K149" s="96"/>
    </row>
    <row r="150" spans="1:11" ht="19">
      <c r="A150" s="710"/>
      <c r="B150" s="710"/>
      <c r="C150" s="710"/>
      <c r="D150" s="710"/>
      <c r="E150" s="117"/>
      <c r="F150" s="117"/>
      <c r="G150" s="117"/>
      <c r="H150" s="61"/>
      <c r="I150" s="710"/>
      <c r="J150" s="77"/>
      <c r="K150" s="96"/>
    </row>
    <row r="151" spans="1:11">
      <c r="A151" s="710"/>
      <c r="B151" s="710"/>
      <c r="C151" s="710"/>
      <c r="D151" s="710"/>
      <c r="E151" s="117"/>
      <c r="F151" s="117"/>
      <c r="G151" s="117"/>
      <c r="H151" s="117"/>
      <c r="I151" s="710"/>
      <c r="J151" s="710"/>
      <c r="K151" s="96"/>
    </row>
    <row r="152" spans="1:11">
      <c r="A152" s="710"/>
      <c r="B152" s="710"/>
      <c r="C152" s="710"/>
      <c r="D152" s="710"/>
      <c r="E152" s="117"/>
      <c r="F152" s="117"/>
      <c r="G152" s="117"/>
      <c r="H152" s="117"/>
      <c r="I152" s="77"/>
      <c r="J152" s="710"/>
      <c r="K152" s="96"/>
    </row>
    <row r="153" spans="1:11">
      <c r="A153" s="710"/>
      <c r="B153" s="710"/>
      <c r="C153" s="710"/>
      <c r="D153" s="710"/>
      <c r="E153" s="117"/>
      <c r="F153" s="117"/>
      <c r="G153" s="117"/>
      <c r="H153" s="117"/>
      <c r="I153" s="77"/>
      <c r="J153" s="710"/>
      <c r="K153" s="96"/>
    </row>
    <row r="154" spans="1:11">
      <c r="A154" s="710"/>
      <c r="B154" s="710"/>
      <c r="C154" s="710"/>
      <c r="D154" s="710"/>
      <c r="E154" s="117"/>
      <c r="F154" s="117"/>
      <c r="G154" s="117"/>
      <c r="H154" s="117"/>
      <c r="I154" s="710"/>
      <c r="J154" s="710"/>
      <c r="K154" s="96"/>
    </row>
    <row r="155" spans="1:11">
      <c r="A155" s="710"/>
      <c r="B155" s="710"/>
      <c r="C155" s="710"/>
      <c r="D155" s="710"/>
      <c r="E155" s="117"/>
      <c r="F155" s="117"/>
      <c r="G155" s="117"/>
      <c r="H155" s="117"/>
      <c r="I155" s="710"/>
      <c r="J155" s="710"/>
      <c r="K155" s="96"/>
    </row>
    <row r="156" spans="1:11">
      <c r="A156" s="710"/>
      <c r="B156" s="710"/>
      <c r="C156" s="710"/>
      <c r="D156" s="710"/>
      <c r="E156" s="117"/>
      <c r="F156" s="117"/>
      <c r="G156" s="117"/>
      <c r="H156" s="117"/>
      <c r="I156" s="710"/>
      <c r="J156" s="710"/>
      <c r="K156" s="96"/>
    </row>
    <row r="157" spans="1:11">
      <c r="A157" s="710"/>
      <c r="B157" s="710"/>
      <c r="C157" s="710"/>
      <c r="D157" s="710"/>
      <c r="E157" s="117"/>
      <c r="F157" s="117"/>
      <c r="G157" s="117"/>
      <c r="H157" s="117"/>
      <c r="I157" s="710"/>
      <c r="J157" s="710"/>
      <c r="K157" s="96"/>
    </row>
    <row r="158" spans="1:11">
      <c r="A158" s="710"/>
      <c r="B158" s="710"/>
      <c r="C158" s="710"/>
      <c r="D158" s="710"/>
      <c r="E158" s="117"/>
      <c r="F158" s="117"/>
      <c r="G158" s="117"/>
      <c r="H158" s="117"/>
      <c r="I158" s="710"/>
      <c r="J158" s="710"/>
      <c r="K158" s="96"/>
    </row>
    <row r="159" spans="1:11">
      <c r="A159" s="710"/>
      <c r="B159" s="710"/>
      <c r="C159" s="710"/>
      <c r="D159" s="710"/>
      <c r="E159" s="710"/>
      <c r="F159" s="710"/>
      <c r="G159" s="710"/>
      <c r="H159" s="117"/>
      <c r="I159" s="710"/>
      <c r="J159" s="710"/>
      <c r="K159" s="96"/>
    </row>
    <row r="160" spans="1:11">
      <c r="A160" s="710"/>
      <c r="B160" s="710"/>
      <c r="C160" s="710"/>
      <c r="D160" s="710"/>
      <c r="E160" s="710"/>
      <c r="F160" s="710"/>
      <c r="G160" s="710"/>
      <c r="H160" s="710"/>
      <c r="I160" s="710"/>
      <c r="J160" s="710"/>
      <c r="K160" s="96"/>
    </row>
    <row r="161" spans="1:11">
      <c r="A161" s="710"/>
      <c r="B161" s="710"/>
      <c r="C161" s="710"/>
      <c r="D161" s="710"/>
      <c r="E161" s="710"/>
      <c r="F161" s="710"/>
      <c r="G161" s="710"/>
      <c r="H161" s="710"/>
      <c r="I161" s="710"/>
      <c r="J161" s="710"/>
      <c r="K161" s="96"/>
    </row>
    <row r="162" spans="1:11">
      <c r="A162" s="710"/>
      <c r="H162" s="710"/>
      <c r="I162" s="710"/>
      <c r="J162" s="710"/>
    </row>
    <row r="163" spans="1:11">
      <c r="I163" s="710"/>
    </row>
    <row r="164" spans="1:11">
      <c r="I164" s="710"/>
    </row>
    <row r="165" spans="1:11">
      <c r="I165" s="710"/>
    </row>
    <row r="167" spans="1:11">
      <c r="J167" s="96"/>
      <c r="K167" s="96"/>
    </row>
  </sheetData>
  <customSheetViews>
    <customSheetView guid="{8967CA62-3554-8A40-ACFF-3515F2B518C8}" scale="75" showGridLines="0" topLeftCell="P7">
      <selection activeCell="P40" sqref="P40:Z40"/>
      <colBreaks count="1" manualBreakCount="1">
        <brk id="28" max="1048575" man="1"/>
      </colBreaks>
      <pageMargins left="0.7" right="0.7" top="0.75" bottom="0.75" header="0.3" footer="0.3"/>
      <pageSetup paperSize="9" orientation="portrait" horizontalDpi="4294967292" verticalDpi="4294967292"/>
    </customSheetView>
    <customSheetView guid="{EB877D66-0749-4C48-89AA-FFA94A34014C}" scale="75" showGridLines="0" state="hidden" topLeftCell="P7">
      <selection activeCell="N48" sqref="N48"/>
      <colBreaks count="1" manualBreakCount="1">
        <brk id="28" max="1048575" man="1"/>
      </colBreaks>
      <pageMargins left="0.7" right="0.7" top="0.75" bottom="0.75" header="0.3" footer="0.3"/>
      <pageSetup paperSize="9" orientation="portrait" horizontalDpi="4294967292" verticalDpi="4294967292"/>
    </customSheetView>
  </customSheetViews>
  <mergeCells count="3">
    <mergeCell ref="D68:G68"/>
    <mergeCell ref="D69:G69"/>
    <mergeCell ref="D70:G70"/>
  </mergeCells>
  <pageMargins left="0.7" right="0.7" top="0.75" bottom="0.75" header="0.3" footer="0.3"/>
  <pageSetup paperSize="9" orientation="portrait" horizontalDpi="4294967292" verticalDpi="4294967292"/>
  <colBreaks count="1" manualBreakCount="1">
    <brk id="28"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2:BU137"/>
  <sheetViews>
    <sheetView showGridLines="0" topLeftCell="G36" zoomScale="61" workbookViewId="0">
      <selection activeCell="N48" sqref="N48"/>
    </sheetView>
  </sheetViews>
  <sheetFormatPr baseColWidth="10" defaultColWidth="10.83203125" defaultRowHeight="16"/>
  <cols>
    <col min="1" max="1" width="3.33203125" style="64" customWidth="1"/>
    <col min="2" max="2" width="8.6640625" style="64" customWidth="1"/>
    <col min="3" max="3" width="3.33203125" style="17" customWidth="1"/>
    <col min="4" max="4" width="2" style="17" customWidth="1"/>
    <col min="5" max="5" width="53.1640625" style="17" customWidth="1"/>
    <col min="6" max="6" width="8" style="17" customWidth="1"/>
    <col min="7" max="7" width="14" style="86" customWidth="1"/>
    <col min="8" max="11" width="8" style="86" customWidth="1"/>
    <col min="12" max="12" width="8" style="360" customWidth="1"/>
    <col min="13" max="13" width="8" style="86" customWidth="1"/>
    <col min="14" max="14" width="8" style="64" customWidth="1"/>
    <col min="15" max="26" width="8" style="17" customWidth="1"/>
    <col min="27" max="27" width="12.83203125" style="17" bestFit="1" customWidth="1"/>
    <col min="28" max="49" width="10.83203125" style="17"/>
    <col min="50" max="51" width="10.83203125" style="113"/>
    <col min="52" max="16384" width="10.83203125" style="17"/>
  </cols>
  <sheetData>
    <row r="2" spans="1:73" ht="39">
      <c r="E2" s="16" t="s">
        <v>8</v>
      </c>
      <c r="F2" s="16"/>
    </row>
    <row r="4" spans="1:73" ht="21">
      <c r="E4" s="35" t="s">
        <v>1</v>
      </c>
      <c r="F4" s="35"/>
      <c r="G4" s="36" t="str">
        <f>'Prediction tool'!G6</f>
        <v>India</v>
      </c>
      <c r="H4" s="36"/>
      <c r="I4" s="36"/>
      <c r="AC4" s="17" t="s">
        <v>886</v>
      </c>
      <c r="AZ4" s="17" t="s">
        <v>887</v>
      </c>
    </row>
    <row r="6" spans="1:73" s="25" customFormat="1" ht="21">
      <c r="A6" s="324"/>
      <c r="B6" s="324"/>
      <c r="E6" s="24" t="s">
        <v>6</v>
      </c>
      <c r="F6" s="361">
        <v>2010</v>
      </c>
      <c r="G6" s="361">
        <v>2011</v>
      </c>
      <c r="H6" s="361">
        <v>2012</v>
      </c>
      <c r="I6" s="361">
        <v>2013</v>
      </c>
      <c r="J6" s="361">
        <v>2014</v>
      </c>
      <c r="K6" s="361">
        <v>2015</v>
      </c>
      <c r="L6" s="361">
        <v>2016</v>
      </c>
      <c r="M6" s="361">
        <v>2017</v>
      </c>
      <c r="N6" s="361">
        <v>2018</v>
      </c>
      <c r="O6" s="24">
        <v>2019</v>
      </c>
      <c r="P6" s="24">
        <v>2020</v>
      </c>
      <c r="Q6" s="24">
        <v>2021</v>
      </c>
      <c r="R6" s="24">
        <v>2022</v>
      </c>
      <c r="S6" s="24">
        <v>2023</v>
      </c>
      <c r="T6" s="24">
        <v>2024</v>
      </c>
      <c r="U6" s="24">
        <v>2025</v>
      </c>
      <c r="V6" s="24">
        <v>2026</v>
      </c>
      <c r="W6" s="24">
        <v>2027</v>
      </c>
      <c r="X6" s="24">
        <v>2028</v>
      </c>
      <c r="Y6" s="24">
        <v>2029</v>
      </c>
      <c r="Z6" s="24">
        <v>2030</v>
      </c>
      <c r="AC6" s="361">
        <v>2010</v>
      </c>
      <c r="AD6" s="361">
        <v>2011</v>
      </c>
      <c r="AE6" s="361">
        <v>2012</v>
      </c>
      <c r="AF6" s="361">
        <v>2013</v>
      </c>
      <c r="AG6" s="361">
        <v>2014</v>
      </c>
      <c r="AH6" s="361">
        <v>2015</v>
      </c>
      <c r="AI6" s="361">
        <v>2016</v>
      </c>
      <c r="AJ6" s="361">
        <v>2017</v>
      </c>
      <c r="AK6" s="361">
        <v>2018</v>
      </c>
      <c r="AL6" s="24">
        <v>2019</v>
      </c>
      <c r="AM6" s="24">
        <v>2020</v>
      </c>
      <c r="AN6" s="24">
        <v>2021</v>
      </c>
      <c r="AO6" s="24">
        <v>2022</v>
      </c>
      <c r="AP6" s="24">
        <v>2023</v>
      </c>
      <c r="AQ6" s="24">
        <v>2024</v>
      </c>
      <c r="AR6" s="24">
        <v>2025</v>
      </c>
      <c r="AS6" s="24">
        <v>2026</v>
      </c>
      <c r="AT6" s="24">
        <v>2027</v>
      </c>
      <c r="AU6" s="24">
        <v>2028</v>
      </c>
      <c r="AV6" s="24">
        <v>2029</v>
      </c>
      <c r="AW6" s="24">
        <v>2030</v>
      </c>
      <c r="AX6" s="698"/>
      <c r="AY6" s="698"/>
      <c r="AZ6" s="361">
        <v>2010</v>
      </c>
      <c r="BA6" s="361">
        <v>2011</v>
      </c>
      <c r="BB6" s="361">
        <v>2012</v>
      </c>
      <c r="BC6" s="361">
        <v>2013</v>
      </c>
      <c r="BD6" s="361">
        <v>2014</v>
      </c>
      <c r="BE6" s="361">
        <v>2015</v>
      </c>
      <c r="BF6" s="361">
        <v>2016</v>
      </c>
      <c r="BG6" s="361">
        <v>2017</v>
      </c>
      <c r="BH6" s="361">
        <v>2018</v>
      </c>
      <c r="BI6" s="24">
        <v>2019</v>
      </c>
      <c r="BJ6" s="24">
        <v>2020</v>
      </c>
      <c r="BK6" s="24">
        <v>2021</v>
      </c>
      <c r="BL6" s="24">
        <v>2022</v>
      </c>
      <c r="BM6" s="24">
        <v>2023</v>
      </c>
      <c r="BN6" s="24">
        <v>2024</v>
      </c>
      <c r="BO6" s="24">
        <v>2025</v>
      </c>
      <c r="BP6" s="24">
        <v>2026</v>
      </c>
      <c r="BQ6" s="24">
        <v>2027</v>
      </c>
      <c r="BR6" s="24">
        <v>2028</v>
      </c>
      <c r="BS6" s="24">
        <v>2029</v>
      </c>
      <c r="BT6" s="24">
        <v>2030</v>
      </c>
    </row>
    <row r="7" spans="1:73" s="19" customFormat="1" ht="19">
      <c r="A7" s="325"/>
      <c r="B7" s="325"/>
      <c r="E7" s="22">
        <v>50</v>
      </c>
      <c r="F7" s="22"/>
      <c r="G7" s="362">
        <v>50</v>
      </c>
      <c r="H7" s="362"/>
      <c r="I7" s="362">
        <v>50</v>
      </c>
      <c r="J7" s="362">
        <v>50</v>
      </c>
      <c r="K7" s="362">
        <v>50</v>
      </c>
      <c r="L7" s="362">
        <v>50</v>
      </c>
      <c r="M7" s="362">
        <v>50</v>
      </c>
      <c r="N7" s="362">
        <v>50</v>
      </c>
      <c r="O7" s="22">
        <v>50</v>
      </c>
      <c r="P7" s="22">
        <v>50</v>
      </c>
      <c r="Q7" s="22">
        <v>50</v>
      </c>
      <c r="R7" s="22">
        <v>50</v>
      </c>
      <c r="S7" s="22">
        <v>50</v>
      </c>
      <c r="T7" s="22">
        <v>50</v>
      </c>
      <c r="U7" s="22">
        <v>50</v>
      </c>
      <c r="V7" s="22">
        <v>50</v>
      </c>
      <c r="W7" s="22">
        <v>50</v>
      </c>
      <c r="X7" s="22">
        <v>50</v>
      </c>
      <c r="Y7" s="22">
        <v>50</v>
      </c>
      <c r="Z7" s="22">
        <v>50</v>
      </c>
      <c r="AA7" s="22"/>
      <c r="AX7" s="699"/>
      <c r="AY7" s="699"/>
    </row>
    <row r="8" spans="1:73" s="64" customFormat="1" ht="15" customHeight="1">
      <c r="B8" s="88"/>
      <c r="D8" s="17"/>
      <c r="E8" s="17"/>
      <c r="F8" s="91"/>
      <c r="G8" s="320"/>
      <c r="H8" s="320"/>
      <c r="I8" s="320"/>
      <c r="J8" s="320"/>
      <c r="K8" s="320"/>
      <c r="L8" s="320"/>
      <c r="M8" s="320"/>
      <c r="N8" s="320"/>
      <c r="O8" s="320"/>
      <c r="P8" s="320"/>
      <c r="Q8" s="320"/>
      <c r="R8" s="320"/>
      <c r="S8" s="320"/>
      <c r="T8" s="320"/>
      <c r="U8" s="320"/>
      <c r="V8" s="320"/>
      <c r="W8" s="320"/>
      <c r="X8" s="320"/>
      <c r="Y8" s="320"/>
      <c r="Z8" s="320"/>
      <c r="AX8" s="113"/>
      <c r="AY8" s="113"/>
    </row>
    <row r="9" spans="1:73" ht="19">
      <c r="C9" s="90"/>
      <c r="E9" s="178" t="s">
        <v>223</v>
      </c>
      <c r="F9" s="178"/>
      <c r="G9" s="368"/>
      <c r="H9" s="368"/>
      <c r="I9" s="368"/>
      <c r="J9" s="368"/>
      <c r="K9" s="368"/>
      <c r="L9" s="368"/>
      <c r="M9" s="368"/>
      <c r="N9" s="368"/>
      <c r="O9" s="368"/>
      <c r="P9" s="368"/>
      <c r="Q9" s="368"/>
      <c r="R9" s="368"/>
      <c r="S9" s="368"/>
      <c r="T9" s="368"/>
      <c r="U9" s="368"/>
      <c r="V9" s="368"/>
      <c r="W9" s="368"/>
      <c r="X9" s="368"/>
      <c r="Y9" s="368"/>
      <c r="Z9" s="368"/>
    </row>
    <row r="10" spans="1:73">
      <c r="L10" s="86"/>
      <c r="N10" s="86"/>
      <c r="O10" s="86"/>
      <c r="P10" s="86"/>
      <c r="Q10" s="86"/>
      <c r="R10" s="86"/>
      <c r="S10" s="86"/>
      <c r="T10" s="86"/>
      <c r="U10" s="86"/>
      <c r="V10" s="86"/>
      <c r="W10" s="86"/>
      <c r="X10" s="86"/>
      <c r="Y10" s="86"/>
      <c r="Z10" s="86"/>
    </row>
    <row r="11" spans="1:73">
      <c r="A11" s="17"/>
      <c r="E11" s="176" t="s">
        <v>217</v>
      </c>
      <c r="F11" s="176"/>
      <c r="G11" s="176"/>
      <c r="H11" s="176"/>
      <c r="I11" s="176"/>
      <c r="J11" s="176"/>
      <c r="K11" s="176"/>
      <c r="L11" s="176"/>
      <c r="M11" s="176"/>
      <c r="N11" s="176"/>
      <c r="O11" s="176"/>
      <c r="P11" s="176"/>
      <c r="Q11" s="176"/>
      <c r="R11" s="176"/>
      <c r="S11" s="176"/>
      <c r="T11" s="176"/>
      <c r="U11" s="176"/>
      <c r="V11" s="176"/>
      <c r="W11" s="176"/>
      <c r="X11" s="176"/>
      <c r="Y11" s="176"/>
      <c r="Z11" s="176"/>
      <c r="AC11" s="176"/>
      <c r="AD11" s="176"/>
      <c r="AE11" s="176"/>
      <c r="AF11" s="176"/>
      <c r="AG11" s="176"/>
      <c r="AH11" s="176"/>
      <c r="AI11" s="176"/>
      <c r="AJ11" s="176"/>
      <c r="AK11" s="176"/>
      <c r="AL11" s="176"/>
      <c r="AM11" s="176"/>
      <c r="AN11" s="176"/>
      <c r="AO11" s="176"/>
      <c r="AP11" s="176"/>
      <c r="AQ11" s="176"/>
      <c r="AR11" s="176"/>
      <c r="AS11" s="176"/>
      <c r="AT11" s="176"/>
      <c r="AU11" s="176"/>
      <c r="AV11" s="176"/>
      <c r="AW11" s="176"/>
      <c r="AZ11" s="176"/>
      <c r="BA11" s="176"/>
      <c r="BB11" s="176"/>
      <c r="BC11" s="176"/>
      <c r="BD11" s="176"/>
      <c r="BE11" s="176"/>
      <c r="BF11" s="176"/>
      <c r="BG11" s="176"/>
      <c r="BH11" s="176"/>
      <c r="BI11" s="176"/>
      <c r="BJ11" s="176"/>
      <c r="BK11" s="176"/>
      <c r="BL11" s="176"/>
      <c r="BM11" s="176"/>
      <c r="BN11" s="176"/>
      <c r="BO11" s="176"/>
      <c r="BP11" s="176"/>
      <c r="BQ11" s="176"/>
      <c r="BR11" s="176"/>
      <c r="BS11" s="176"/>
      <c r="BT11" s="176"/>
    </row>
    <row r="12" spans="1:73" s="64" customFormat="1">
      <c r="E12" s="320"/>
      <c r="F12" s="320"/>
      <c r="G12" s="320"/>
      <c r="H12" s="320"/>
      <c r="I12" s="320"/>
      <c r="J12" s="320"/>
      <c r="K12" s="320"/>
      <c r="L12" s="320"/>
      <c r="M12" s="320"/>
      <c r="N12" s="320"/>
      <c r="O12" s="320"/>
      <c r="P12" s="320"/>
      <c r="Q12" s="320"/>
      <c r="R12" s="320"/>
      <c r="S12" s="320"/>
      <c r="T12" s="320"/>
      <c r="U12" s="320"/>
      <c r="V12" s="320"/>
      <c r="W12" s="320"/>
      <c r="X12" s="320"/>
      <c r="Y12" s="320"/>
      <c r="Z12" s="320"/>
      <c r="AC12" s="320"/>
      <c r="AD12" s="320"/>
      <c r="AE12" s="320"/>
      <c r="AF12" s="320"/>
      <c r="AG12" s="320"/>
      <c r="AH12" s="320"/>
      <c r="AI12" s="320"/>
      <c r="AJ12" s="320"/>
      <c r="AK12" s="320"/>
      <c r="AL12" s="320"/>
      <c r="AM12" s="320"/>
      <c r="AN12" s="320"/>
      <c r="AO12" s="320"/>
      <c r="AP12" s="320"/>
      <c r="AQ12" s="320"/>
      <c r="AR12" s="320"/>
      <c r="AS12" s="320"/>
      <c r="AT12" s="320"/>
      <c r="AU12" s="320"/>
      <c r="AV12" s="320"/>
      <c r="AW12" s="320"/>
      <c r="AX12" s="113"/>
      <c r="AY12" s="113"/>
      <c r="AZ12" s="320"/>
      <c r="BA12" s="320"/>
      <c r="BB12" s="320"/>
      <c r="BC12" s="320"/>
      <c r="BD12" s="320"/>
      <c r="BE12" s="320"/>
      <c r="BF12" s="320"/>
      <c r="BG12" s="320"/>
      <c r="BH12" s="320"/>
      <c r="BI12" s="320"/>
      <c r="BJ12" s="320"/>
      <c r="BK12" s="320"/>
      <c r="BL12" s="320"/>
      <c r="BM12" s="320"/>
      <c r="BN12" s="320"/>
      <c r="BO12" s="320"/>
      <c r="BP12" s="320"/>
      <c r="BQ12" s="320"/>
      <c r="BR12" s="320"/>
      <c r="BS12" s="320"/>
      <c r="BT12" s="320"/>
    </row>
    <row r="13" spans="1:73">
      <c r="A13" s="17"/>
      <c r="E13" s="17" t="s">
        <v>255</v>
      </c>
      <c r="F13" s="268" t="e">
        <f>BaselineData!F22*BaselineData!F19*BaselineData!F30*BaselineData!F35*BaselineData!F40*BaselineData!F47</f>
        <v>#VALUE!</v>
      </c>
      <c r="G13" s="268">
        <f>BaselineData!G22*BaselineData!G19*BaselineData!G30*BaselineData!G35*BaselineData!G40*BaselineData!G47</f>
        <v>2149.3384605099118</v>
      </c>
      <c r="H13" s="268">
        <f>BaselineData!H22*BaselineData!H19*BaselineData!H30*BaselineData!H35*BaselineData!H40*BaselineData!H47</f>
        <v>7894.3508035474451</v>
      </c>
      <c r="I13" s="268">
        <f>BaselineData!I22*BaselineData!I19*BaselineData!I30*BaselineData!I35*BaselineData!I40*BaselineData!I47</f>
        <v>1448.4957003463967</v>
      </c>
      <c r="J13" s="268">
        <f>BaselineData!J22*BaselineData!J19*BaselineData!J30*BaselineData!J35*BaselineData!J40*BaselineData!J47</f>
        <v>808.33650094132315</v>
      </c>
      <c r="K13" s="268">
        <f>BaselineData!K22*BaselineData!K19*BaselineData!K30*BaselineData!K35*BaselineData!K40*BaselineData!K47</f>
        <v>851.771036386368</v>
      </c>
      <c r="L13" s="268">
        <f>BaselineData!L22*BaselineData!L19*BaselineData!L30*BaselineData!L35*BaselineData!L40*BaselineData!L47</f>
        <v>1643.1514056496351</v>
      </c>
      <c r="M13" s="268">
        <f>BaselineData!M22*BaselineData!M19*BaselineData!M30*BaselineData!M35*BaselineData!M40*BaselineData!M47</f>
        <v>1666.1864807871693</v>
      </c>
      <c r="N13" s="268" t="e">
        <f>BaselineData!N22*BaselineData!N19*BaselineData!N30*BaselineData!N35*BaselineData!N40*BaselineData!N47</f>
        <v>#VALUE!</v>
      </c>
      <c r="O13" s="268">
        <f>BaselineData!O22*BaselineData!O19*BaselineData!O30*BaselineData!O35*BaselineData!O40*BaselineData!O47</f>
        <v>4013.9040822383658</v>
      </c>
      <c r="P13" s="268">
        <f>BaselineData!P22*BaselineData!P19*BaselineData!P30*BaselineData!P35*BaselineData!P40*BaselineData!P47</f>
        <v>4003.8684650799892</v>
      </c>
      <c r="Q13" s="268">
        <f>BaselineData!Q22*BaselineData!Q19*BaselineData!Q30*BaselineData!Q35*BaselineData!Q40*BaselineData!Q47</f>
        <v>3990.9990760014693</v>
      </c>
      <c r="R13" s="268">
        <f>BaselineData!R22*BaselineData!R19*BaselineData!R30*BaselineData!R35*BaselineData!R40*BaselineData!R47</f>
        <v>3976.2846765848335</v>
      </c>
      <c r="S13" s="268">
        <f>BaselineData!S22*BaselineData!S19*BaselineData!S30*BaselineData!S35*BaselineData!S40*BaselineData!S47</f>
        <v>3960.4464995663425</v>
      </c>
      <c r="T13" s="268">
        <f>BaselineData!T22*BaselineData!T19*BaselineData!T30*BaselineData!T35*BaselineData!T40*BaselineData!T47</f>
        <v>3943.4588872087411</v>
      </c>
      <c r="U13" s="268">
        <f>BaselineData!U22*BaselineData!U19*BaselineData!U30*BaselineData!U35*BaselineData!U40*BaselineData!U47</f>
        <v>3925.1680495381152</v>
      </c>
      <c r="V13" s="268">
        <f>BaselineData!V22*BaselineData!V19*BaselineData!V30*BaselineData!V35*BaselineData!V40*BaselineData!V47</f>
        <v>3905.3532361442994</v>
      </c>
      <c r="W13" s="268">
        <f>BaselineData!W22*BaselineData!W19*BaselineData!W30*BaselineData!W35*BaselineData!W40*BaselineData!W47</f>
        <v>3883.8597183556753</v>
      </c>
      <c r="X13" s="268">
        <f>BaselineData!X22*BaselineData!X19*BaselineData!X30*BaselineData!X35*BaselineData!X40*BaselineData!X47</f>
        <v>3860.6374322946722</v>
      </c>
      <c r="Y13" s="268">
        <f>BaselineData!Y22*BaselineData!Y19*BaselineData!Y30*BaselineData!Y35*BaselineData!Y40*BaselineData!Y47</f>
        <v>3835.7528690486888</v>
      </c>
      <c r="Z13" s="268">
        <f>BaselineData!Z22*BaselineData!Z19*BaselineData!Z30*BaselineData!Z35*BaselineData!Z40*BaselineData!Z47</f>
        <v>3809.1756773919478</v>
      </c>
      <c r="AA13" s="268"/>
      <c r="AB13" s="268"/>
      <c r="AC13" s="268" t="e">
        <f>BaselineData!AC22*BaselineData!AC19*BaselineData!AC30*BaselineData!AC35*BaselineData!AC40*BaselineData!AC47</f>
        <v>#VALUE!</v>
      </c>
      <c r="AD13" s="268">
        <f>BaselineData!AD22*BaselineData!AD19*BaselineData!AD30*BaselineData!AD35*BaselineData!AD40*BaselineData!AD47</f>
        <v>2736.5270378821765</v>
      </c>
      <c r="AE13" s="268">
        <f>BaselineData!AE22*BaselineData!AE19*BaselineData!AE30*BaselineData!AE35*BaselineData!AE40*BaselineData!AE47</f>
        <v>11032.411838360455</v>
      </c>
      <c r="AF13" s="268">
        <f>BaselineData!AF22*BaselineData!AF19*BaselineData!AF30*BaselineData!AF35*BaselineData!AF40*BaselineData!AF47</f>
        <v>0</v>
      </c>
      <c r="AG13" s="268">
        <f>BaselineData!AG22*BaselineData!AG19*BaselineData!AG30*BaselineData!AG35*BaselineData!AG40*BaselineData!AG47</f>
        <v>819.03370791584359</v>
      </c>
      <c r="AH13" s="268">
        <f>BaselineData!AH22*BaselineData!AH19*BaselineData!AH30*BaselineData!AH35*BaselineData!AH40*BaselineData!AH47</f>
        <v>778.01654970284312</v>
      </c>
      <c r="AI13" s="268">
        <f>BaselineData!AI22*BaselineData!AI19*BaselineData!AI30*BaselineData!AI35*BaselineData!AI40*BaselineData!AI47</f>
        <v>0</v>
      </c>
      <c r="AJ13" s="268">
        <f>BaselineData!AJ22*BaselineData!AJ19*BaselineData!AJ30*BaselineData!AJ35*BaselineData!AJ40*BaselineData!AJ47</f>
        <v>0</v>
      </c>
      <c r="AK13" s="268" t="e">
        <f>BaselineData!AK22*BaselineData!AK19*BaselineData!AK30*BaselineData!AK35*BaselineData!AK40*BaselineData!AK47</f>
        <v>#VALUE!</v>
      </c>
      <c r="AL13" s="268">
        <f>BaselineData!AL22*BaselineData!AL19*BaselineData!AL30*BaselineData!AL35*BaselineData!AL40*BaselineData!AL47</f>
        <v>0</v>
      </c>
      <c r="AM13" s="268">
        <f>BaselineData!AM22*BaselineData!AM19*BaselineData!AM30*BaselineData!AM35*BaselineData!AM40*BaselineData!AM47</f>
        <v>0</v>
      </c>
      <c r="AN13" s="268">
        <f>BaselineData!AN22*BaselineData!AN19*BaselineData!AN30*BaselineData!AN35*BaselineData!AN40*BaselineData!AN47</f>
        <v>0</v>
      </c>
      <c r="AO13" s="268">
        <f>BaselineData!AO22*BaselineData!AO19*BaselineData!AO30*BaselineData!AO35*BaselineData!AO40*BaselineData!AO47</f>
        <v>0</v>
      </c>
      <c r="AP13" s="268">
        <f>BaselineData!AP22*BaselineData!AP19*BaselineData!AP30*BaselineData!AP35*BaselineData!AP40*BaselineData!AP47</f>
        <v>0</v>
      </c>
      <c r="AQ13" s="268">
        <f>BaselineData!AQ22*BaselineData!AQ19*BaselineData!AQ30*BaselineData!AQ35*BaselineData!AQ40*BaselineData!AQ47</f>
        <v>0</v>
      </c>
      <c r="AR13" s="268">
        <f>BaselineData!AR22*BaselineData!AR19*BaselineData!AR30*BaselineData!AR35*BaselineData!AR40*BaselineData!AR47</f>
        <v>0</v>
      </c>
      <c r="AS13" s="268">
        <f>BaselineData!AS22*BaselineData!AS19*BaselineData!AS30*BaselineData!AS35*BaselineData!AS40*BaselineData!AS47</f>
        <v>0</v>
      </c>
      <c r="AT13" s="268">
        <f>BaselineData!AT22*BaselineData!AT19*BaselineData!AT30*BaselineData!AT35*BaselineData!AT40*BaselineData!AT47</f>
        <v>0</v>
      </c>
      <c r="AU13" s="268">
        <f>BaselineData!AU22*BaselineData!AU19*BaselineData!AU30*BaselineData!AU35*BaselineData!AU40*BaselineData!AU47</f>
        <v>0</v>
      </c>
      <c r="AV13" s="268">
        <f>BaselineData!AV22*BaselineData!AV19*BaselineData!AV30*BaselineData!AV35*BaselineData!AV40*BaselineData!AV47</f>
        <v>0</v>
      </c>
      <c r="AW13" s="268">
        <f>BaselineData!AW22*BaselineData!AW19*BaselineData!AW30*BaselineData!AW35*BaselineData!AW40*BaselineData!AW47</f>
        <v>0</v>
      </c>
      <c r="AX13" s="268"/>
      <c r="AY13" s="268"/>
      <c r="AZ13" s="268" t="e">
        <f>BaselineData!AZ22*BaselineData!AZ19*BaselineData!AZ30*BaselineData!AZ35*BaselineData!AZ40*BaselineData!AZ47</f>
        <v>#VALUE!</v>
      </c>
      <c r="BA13" s="268">
        <f>BaselineData!BA22*BaselineData!BA19*BaselineData!BA30*BaselineData!BA35*BaselineData!BA40*BaselineData!BA47</f>
        <v>732.54418879168804</v>
      </c>
      <c r="BB13" s="268">
        <f>BaselineData!BB22*BaselineData!BB19*BaselineData!BB30*BaselineData!BB35*BaselineData!BB40*BaselineData!BB47</f>
        <v>4281.4328662611269</v>
      </c>
      <c r="BC13" s="268">
        <f>BaselineData!BC22*BaselineData!BC19*BaselineData!BC30*BaselineData!BC35*BaselineData!BC40*BaselineData!BC47</f>
        <v>1796.5847103175038</v>
      </c>
      <c r="BD13" s="268">
        <f>BaselineData!BD22*BaselineData!BD19*BaselineData!BD30*BaselineData!BD35*BaselineData!BD40*BaselineData!BD47</f>
        <v>534.8440141701841</v>
      </c>
      <c r="BE13" s="268">
        <f>BaselineData!BE22*BaselineData!BE19*BaselineData!BE30*BaselineData!BE35*BaselineData!BE40*BaselineData!BE47</f>
        <v>606.87873356117234</v>
      </c>
      <c r="BF13" s="268">
        <f>BaselineData!BF22*BaselineData!BF19*BaselineData!BF30*BaselineData!BF35*BaselineData!BF40*BaselineData!BF47</f>
        <v>2137.4914375228318</v>
      </c>
      <c r="BG13" s="268">
        <f>BaselineData!BG22*BaselineData!BG19*BaselineData!BG30*BaselineData!BG35*BaselineData!BG40*BaselineData!BG47</f>
        <v>2118.8113226307596</v>
      </c>
      <c r="BH13" s="268" t="e">
        <f>BaselineData!BH22*BaselineData!BH19*BaselineData!BH30*BaselineData!BH35*BaselineData!BH40*BaselineData!BH47</f>
        <v>#VALUE!</v>
      </c>
      <c r="BI13" s="268">
        <f>BaselineData!BI22*BaselineData!BI19*BaselineData!BI30*BaselineData!BI35*BaselineData!BI40*BaselineData!BI47</f>
        <v>6149.7939146622966</v>
      </c>
      <c r="BJ13" s="268">
        <f>BaselineData!BJ22*BaselineData!BJ19*BaselineData!BJ30*BaselineData!BJ35*BaselineData!BJ40*BaselineData!BJ47</f>
        <v>6134.4181169187596</v>
      </c>
      <c r="BK13" s="268">
        <f>BaselineData!BK22*BaselineData!BK19*BaselineData!BK30*BaselineData!BK35*BaselineData!BK40*BaselineData!BK47</f>
        <v>6114.7006326393703</v>
      </c>
      <c r="BL13" s="268">
        <f>BaselineData!BL22*BaselineData!BL19*BaselineData!BL30*BaselineData!BL35*BaselineData!BL40*BaselineData!BL47</f>
        <v>6092.1563659762069</v>
      </c>
      <c r="BM13" s="268">
        <f>BaselineData!BM22*BaselineData!BM19*BaselineData!BM30*BaselineData!BM35*BaselineData!BM40*BaselineData!BM47</f>
        <v>6067.8903340402012</v>
      </c>
      <c r="BN13" s="268">
        <f>BaselineData!BN22*BaselineData!BN19*BaselineData!BN30*BaselineData!BN35*BaselineData!BN40*BaselineData!BN47</f>
        <v>6041.8632260274062</v>
      </c>
      <c r="BO13" s="268">
        <f>BaselineData!BO22*BaselineData!BO19*BaselineData!BO30*BaselineData!BO35*BaselineData!BO40*BaselineData!BO47</f>
        <v>6013.8394168141658</v>
      </c>
      <c r="BP13" s="268">
        <f>BaselineData!BP22*BaselineData!BP19*BaselineData!BP30*BaselineData!BP35*BaselineData!BP40*BaselineData!BP47</f>
        <v>5983.4806896665314</v>
      </c>
      <c r="BQ13" s="268">
        <f>BaselineData!BQ22*BaselineData!BQ19*BaselineData!BQ30*BaselineData!BQ35*BaselineData!BQ40*BaselineData!BQ47</f>
        <v>5950.5499812606995</v>
      </c>
      <c r="BR13" s="268">
        <f>BaselineData!BR22*BaselineData!BR19*BaselineData!BR30*BaselineData!BR35*BaselineData!BR40*BaselineData!BR47</f>
        <v>5914.970587588974</v>
      </c>
      <c r="BS13" s="268">
        <f>BaselineData!BS22*BaselineData!BS19*BaselineData!BS30*BaselineData!BS35*BaselineData!BS40*BaselineData!BS47</f>
        <v>5876.8443811615807</v>
      </c>
      <c r="BT13" s="268">
        <f>BaselineData!BT22*BaselineData!BT19*BaselineData!BT30*BaselineData!BT35*BaselineData!BT40*BaselineData!BT47</f>
        <v>5836.1248601738507</v>
      </c>
      <c r="BU13" s="268"/>
    </row>
    <row r="14" spans="1:73">
      <c r="A14" s="17"/>
      <c r="E14" s="17" t="s">
        <v>248</v>
      </c>
      <c r="F14" s="268" t="e">
        <f>BaselineData!F22*BaselineData!F19*BaselineData!F30*BaselineData!F35*BaselineData!F40*(1-BaselineData!F47)</f>
        <v>#VALUE!</v>
      </c>
      <c r="G14" s="268">
        <f>BaselineData!G22*BaselineData!G19*BaselineData!G30*BaselineData!G35*BaselineData!G40*(1-BaselineData!G47)</f>
        <v>983.80798338208774</v>
      </c>
      <c r="H14" s="268">
        <f>BaselineData!H22*BaselineData!H19*BaselineData!H30*BaselineData!H35*BaselineData!H40*(1-BaselineData!H47)</f>
        <v>3613.4492016237568</v>
      </c>
      <c r="I14" s="268">
        <f>BaselineData!I22*BaselineData!I19*BaselineData!I30*BaselineData!I35*BaselineData!I40*(1-BaselineData!I47)</f>
        <v>663.014066922403</v>
      </c>
      <c r="J14" s="268">
        <f>BaselineData!J22*BaselineData!J19*BaselineData!J30*BaselineData!J35*BaselineData!J40*(1-BaselineData!J47)</f>
        <v>369.99659080987669</v>
      </c>
      <c r="K14" s="268">
        <f>BaselineData!K22*BaselineData!K19*BaselineData!K30*BaselineData!K35*BaselineData!K40*(1-BaselineData!K47)</f>
        <v>389.8777047016319</v>
      </c>
      <c r="L14" s="268">
        <f>BaselineData!L22*BaselineData!L19*BaselineData!L30*BaselineData!L35*BaselineData!L40*(1-BaselineData!L47)</f>
        <v>752.11303407286482</v>
      </c>
      <c r="M14" s="268">
        <f>BaselineData!M22*BaselineData!M19*BaselineData!M30*BaselineData!M35*BaselineData!M40*(1-BaselineData!M47)</f>
        <v>762.6567856664301</v>
      </c>
      <c r="N14" s="268" t="e">
        <f>BaselineData!N22*BaselineData!N19*BaselineData!N30*BaselineData!N35*BaselineData!N40*(1-BaselineData!N47)</f>
        <v>#VALUE!</v>
      </c>
      <c r="O14" s="268">
        <f>BaselineData!O22*BaselineData!O19*BaselineData!O30*BaselineData!O35*BaselineData!O40*(1-BaselineData!O47)</f>
        <v>1837.2680493044411</v>
      </c>
      <c r="P14" s="268">
        <f>BaselineData!P22*BaselineData!P19*BaselineData!P30*BaselineData!P35*BaselineData!P40*(1-BaselineData!P47)</f>
        <v>1832.6744869316565</v>
      </c>
      <c r="Q14" s="268">
        <f>BaselineData!Q22*BaselineData!Q19*BaselineData!Q30*BaselineData!Q35*BaselineData!Q40*(1-BaselineData!Q47)</f>
        <v>1826.7838336216632</v>
      </c>
      <c r="R14" s="268">
        <f>BaselineData!R22*BaselineData!R19*BaselineData!R30*BaselineData!R35*BaselineData!R40*(1-BaselineData!R47)</f>
        <v>1820.0486712064685</v>
      </c>
      <c r="S14" s="268">
        <f>BaselineData!S22*BaselineData!S19*BaselineData!S30*BaselineData!S35*BaselineData!S40*(1-BaselineData!S47)</f>
        <v>1812.7991266236606</v>
      </c>
      <c r="T14" s="268">
        <f>BaselineData!T22*BaselineData!T19*BaselineData!T30*BaselineData!T35*BaselineData!T40*(1-BaselineData!T47)</f>
        <v>1805.0234556611435</v>
      </c>
      <c r="U14" s="268">
        <f>BaselineData!U22*BaselineData!U19*BaselineData!U30*BaselineData!U35*BaselineData!U40*(1-BaselineData!U47)</f>
        <v>1796.6512646573874</v>
      </c>
      <c r="V14" s="268">
        <f>BaselineData!V22*BaselineData!V19*BaselineData!V30*BaselineData!V35*BaselineData!V40*(1-BaselineData!V47)</f>
        <v>1787.5815104217343</v>
      </c>
      <c r="W14" s="268">
        <f>BaselineData!W22*BaselineData!W19*BaselineData!W30*BaselineData!W35*BaselineData!W40*(1-BaselineData!W47)</f>
        <v>1777.7433696263583</v>
      </c>
      <c r="X14" s="268">
        <f>BaselineData!X22*BaselineData!X19*BaselineData!X30*BaselineData!X35*BaselineData!X40*(1-BaselineData!X47)</f>
        <v>1767.1139267354617</v>
      </c>
      <c r="Y14" s="268">
        <f>BaselineData!Y22*BaselineData!Y19*BaselineData!Y30*BaselineData!Y35*BaselineData!Y40*(1-BaselineData!Y47)</f>
        <v>1755.7236164450262</v>
      </c>
      <c r="Z14" s="268">
        <f>BaselineData!Z22*BaselineData!Z19*BaselineData!Z30*BaselineData!Z35*BaselineData!Z40*(1-BaselineData!Z47)</f>
        <v>1743.5585462114741</v>
      </c>
      <c r="AA14" s="268"/>
      <c r="AB14" s="268"/>
      <c r="AC14" s="268" t="e">
        <f>BaselineData!AC22*BaselineData!AC19*BaselineData!AC30*BaselineData!AC35*BaselineData!AC40*(1-BaselineData!AC47)</f>
        <v>#VALUE!</v>
      </c>
      <c r="AD14" s="268">
        <f>BaselineData!AD22*BaselineData!AD19*BaselineData!AD30*BaselineData!AD35*BaselineData!AD40*(1-BaselineData!AD47)</f>
        <v>1252.579431333824</v>
      </c>
      <c r="AE14" s="268">
        <f>BaselineData!AE22*BaselineData!AE19*BaselineData!AE30*BaselineData!AE35*BaselineData!AE40*(1-BaselineData!AE47)</f>
        <v>5049.821162164988</v>
      </c>
      <c r="AF14" s="268">
        <f>BaselineData!AF22*BaselineData!AF19*BaselineData!AF30*BaselineData!AF35*BaselineData!AF40*(1-BaselineData!AF47)</f>
        <v>0</v>
      </c>
      <c r="AG14" s="268">
        <f>BaselineData!AG22*BaselineData!AG19*BaselineData!AG30*BaselineData!AG35*BaselineData!AG40*(1-BaselineData!AG47)</f>
        <v>374.89298000812653</v>
      </c>
      <c r="AH14" s="268">
        <f>BaselineData!AH22*BaselineData!AH19*BaselineData!AH30*BaselineData!AH35*BaselineData!AH40*(1-BaselineData!AH47)</f>
        <v>356.11836240042663</v>
      </c>
      <c r="AI14" s="268">
        <f>BaselineData!AI22*BaselineData!AI19*BaselineData!AI30*BaselineData!AI35*BaselineData!AI40*(1-BaselineData!AI47)</f>
        <v>0</v>
      </c>
      <c r="AJ14" s="268">
        <f>BaselineData!AJ22*BaselineData!AJ19*BaselineData!AJ30*BaselineData!AJ35*BaselineData!AJ40*(1-BaselineData!AJ47)</f>
        <v>0</v>
      </c>
      <c r="AK14" s="268" t="e">
        <f>BaselineData!AK22*BaselineData!AK19*BaselineData!AK30*BaselineData!AK35*BaselineData!AK40*(1-BaselineData!AK47)</f>
        <v>#VALUE!</v>
      </c>
      <c r="AL14" s="268">
        <f>BaselineData!AL22*BaselineData!AL19*BaselineData!AL30*BaselineData!AL35*BaselineData!AL40*(1-BaselineData!AL47)</f>
        <v>0</v>
      </c>
      <c r="AM14" s="268">
        <f>BaselineData!AM22*BaselineData!AM19*BaselineData!AM30*BaselineData!AM35*BaselineData!AM40*(1-BaselineData!AM47)</f>
        <v>0</v>
      </c>
      <c r="AN14" s="268">
        <f>BaselineData!AN22*BaselineData!AN19*BaselineData!AN30*BaselineData!AN35*BaselineData!AN40*(1-BaselineData!AN47)</f>
        <v>0</v>
      </c>
      <c r="AO14" s="268">
        <f>BaselineData!AO22*BaselineData!AO19*BaselineData!AO30*BaselineData!AO35*BaselineData!AO40*(1-BaselineData!AO47)</f>
        <v>0</v>
      </c>
      <c r="AP14" s="268">
        <f>BaselineData!AP22*BaselineData!AP19*BaselineData!AP30*BaselineData!AP35*BaselineData!AP40*(1-BaselineData!AP47)</f>
        <v>0</v>
      </c>
      <c r="AQ14" s="268">
        <f>BaselineData!AQ22*BaselineData!AQ19*BaselineData!AQ30*BaselineData!AQ35*BaselineData!AQ40*(1-BaselineData!AQ47)</f>
        <v>0</v>
      </c>
      <c r="AR14" s="268">
        <f>BaselineData!AR22*BaselineData!AR19*BaselineData!AR30*BaselineData!AR35*BaselineData!AR40*(1-BaselineData!AR47)</f>
        <v>0</v>
      </c>
      <c r="AS14" s="268">
        <f>BaselineData!AS22*BaselineData!AS19*BaselineData!AS30*BaselineData!AS35*BaselineData!AS40*(1-BaselineData!AS47)</f>
        <v>0</v>
      </c>
      <c r="AT14" s="268">
        <f>BaselineData!AT22*BaselineData!AT19*BaselineData!AT30*BaselineData!AT35*BaselineData!AT40*(1-BaselineData!AT47)</f>
        <v>0</v>
      </c>
      <c r="AU14" s="268">
        <f>BaselineData!AU22*BaselineData!AU19*BaselineData!AU30*BaselineData!AU35*BaselineData!AU40*(1-BaselineData!AU47)</f>
        <v>0</v>
      </c>
      <c r="AV14" s="268">
        <f>BaselineData!AV22*BaselineData!AV19*BaselineData!AV30*BaselineData!AV35*BaselineData!AV40*(1-BaselineData!AV47)</f>
        <v>0</v>
      </c>
      <c r="AW14" s="268">
        <f>BaselineData!AW22*BaselineData!AW19*BaselineData!AW30*BaselineData!AW35*BaselineData!AW40*(1-BaselineData!AW47)</f>
        <v>0</v>
      </c>
      <c r="AX14" s="268"/>
      <c r="AY14" s="268"/>
      <c r="AZ14" s="268" t="e">
        <f>BaselineData!AZ22*BaselineData!AZ19*BaselineData!AZ30*BaselineData!AZ35*BaselineData!AZ40*(1-BaselineData!AZ47)</f>
        <v>#VALUE!</v>
      </c>
      <c r="BA14" s="268">
        <f>BaselineData!BA22*BaselineData!BA19*BaselineData!BA30*BaselineData!BA35*BaselineData!BA40*(1-BaselineData!BA47)</f>
        <v>335.30448291631194</v>
      </c>
      <c r="BB14" s="268">
        <f>BaselineData!BB22*BaselineData!BB19*BaselineData!BB30*BaselineData!BB35*BaselineData!BB40*(1-BaselineData!BB47)</f>
        <v>1959.7229154606321</v>
      </c>
      <c r="BC14" s="268">
        <f>BaselineData!BC22*BaselineData!BC19*BaselineData!BC30*BaselineData!BC35*BaselineData!BC40*(1-BaselineData!BC47)</f>
        <v>822.34343883337624</v>
      </c>
      <c r="BD14" s="268">
        <f>BaselineData!BD22*BaselineData!BD19*BaselineData!BD30*BaselineData!BD35*BaselineData!BD40*(1-BaselineData!BD47)</f>
        <v>244.8119831624457</v>
      </c>
      <c r="BE14" s="268">
        <f>BaselineData!BE22*BaselineData!BE19*BaselineData!BE30*BaselineData!BE35*BaselineData!BE40*(1-BaselineData!BE47)</f>
        <v>277.78414335015754</v>
      </c>
      <c r="BF14" s="268">
        <f>BaselineData!BF22*BaselineData!BF19*BaselineData!BF30*BaselineData!BF35*BaselineData!BF40*(1-BaselineData!BF47)</f>
        <v>978.38529356001311</v>
      </c>
      <c r="BG14" s="268">
        <f>BaselineData!BG22*BaselineData!BG19*BaselineData!BG30*BaselineData!BG35*BaselineData!BG40*(1-BaselineData!BG47)</f>
        <v>969.83492027122202</v>
      </c>
      <c r="BH14" s="268" t="e">
        <f>BaselineData!BH22*BaselineData!BH19*BaselineData!BH30*BaselineData!BH35*BaselineData!BH40*(1-BaselineData!BH47)</f>
        <v>#VALUE!</v>
      </c>
      <c r="BI14" s="268">
        <f>BaselineData!BI22*BaselineData!BI19*BaselineData!BI30*BaselineData!BI35*BaselineData!BI40*(1-BaselineData!BI47)</f>
        <v>2814.9202466530037</v>
      </c>
      <c r="BJ14" s="268">
        <f>BaselineData!BJ22*BaselineData!BJ19*BaselineData!BJ30*BaselineData!BJ35*BaselineData!BJ40*(1-BaselineData!BJ47)</f>
        <v>2807.8823450619388</v>
      </c>
      <c r="BK14" s="268">
        <f>BaselineData!BK22*BaselineData!BK19*BaselineData!BK30*BaselineData!BK35*BaselineData!BK40*(1-BaselineData!BK47)</f>
        <v>2798.8571408874077</v>
      </c>
      <c r="BL14" s="268">
        <f>BaselineData!BL22*BaselineData!BL19*BaselineData!BL30*BaselineData!BL35*BaselineData!BL40*(1-BaselineData!BL47)</f>
        <v>2788.5380450678258</v>
      </c>
      <c r="BM14" s="268">
        <f>BaselineData!BM22*BaselineData!BM19*BaselineData!BM30*BaselineData!BM35*BaselineData!BM40*(1-BaselineData!BM47)</f>
        <v>2777.4308526073219</v>
      </c>
      <c r="BN14" s="268">
        <f>BaselineData!BN22*BaselineData!BN19*BaselineData!BN30*BaselineData!BN35*BaselineData!BN40*(1-BaselineData!BN47)</f>
        <v>2765.5175699309111</v>
      </c>
      <c r="BO14" s="268">
        <f>BaselineData!BO22*BaselineData!BO19*BaselineData!BO30*BaselineData!BO35*BaselineData!BO40*(1-BaselineData!BO47)</f>
        <v>2752.6903453056088</v>
      </c>
      <c r="BP14" s="268">
        <f>BaselineData!BP22*BaselineData!BP19*BaselineData!BP30*BaselineData!BP35*BaselineData!BP40*(1-BaselineData!BP47)</f>
        <v>2738.7943681564002</v>
      </c>
      <c r="BQ14" s="268">
        <f>BaselineData!BQ22*BaselineData!BQ19*BaselineData!BQ30*BaselineData!BQ35*BaselineData!BQ40*(1-BaselineData!BQ47)</f>
        <v>2723.7211284487744</v>
      </c>
      <c r="BR14" s="268">
        <f>BaselineData!BR22*BaselineData!BR19*BaselineData!BR30*BaselineData!BR35*BaselineData!BR40*(1-BaselineData!BR47)</f>
        <v>2707.4355167681301</v>
      </c>
      <c r="BS14" s="268">
        <f>BaselineData!BS22*BaselineData!BS19*BaselineData!BS30*BaselineData!BS35*BaselineData!BS40*(1-BaselineData!BS47)</f>
        <v>2689.9841628057375</v>
      </c>
      <c r="BT14" s="268">
        <f>BaselineData!BT22*BaselineData!BT19*BaselineData!BT30*BaselineData!BT35*BaselineData!BT40*(1-BaselineData!BT47)</f>
        <v>2671.3457814789922</v>
      </c>
      <c r="BU14" s="268"/>
    </row>
    <row r="15" spans="1:73">
      <c r="A15" s="17"/>
      <c r="B15" s="331"/>
      <c r="E15" s="17" t="s">
        <v>256</v>
      </c>
      <c r="F15" s="268" t="e">
        <f>BaselineData!F22*BaselineData!F19*BaselineData!F30*BaselineData!F35*(1-BaselineData!F40)*BaselineData!F47</f>
        <v>#VALUE!</v>
      </c>
      <c r="G15" s="268">
        <f>BaselineData!G22*BaselineData!G19*BaselineData!G30*BaselineData!G35*(1-BaselineData!G40)*BaselineData!G47</f>
        <v>265.64857377088799</v>
      </c>
      <c r="H15" s="268">
        <f>BaselineData!H22*BaselineData!H19*BaselineData!H30*BaselineData!H35*(1-BaselineData!H40)*BaselineData!H47</f>
        <v>630.86604693575657</v>
      </c>
      <c r="I15" s="268">
        <f>BaselineData!I22*BaselineData!I19*BaselineData!I30*BaselineData!I35*(1-BaselineData!I40)*BaselineData!I47</f>
        <v>115.75451601040314</v>
      </c>
      <c r="J15" s="268">
        <f>BaselineData!J22*BaselineData!J19*BaselineData!J30*BaselineData!J35*(1-BaselineData!J40)*BaselineData!J47</f>
        <v>3059.3022595434772</v>
      </c>
      <c r="K15" s="268">
        <f>BaselineData!K22*BaselineData!K19*BaselineData!K30*BaselineData!K35*(1-BaselineData!K40)*BaselineData!K47</f>
        <v>2742.1995812776322</v>
      </c>
      <c r="L15" s="268">
        <f>BaselineData!L22*BaselineData!L19*BaselineData!L30*BaselineData!L35*(1-BaselineData!L40)*BaselineData!L47</f>
        <v>556.51580405536504</v>
      </c>
      <c r="M15" s="268">
        <f>BaselineData!M22*BaselineData!M19*BaselineData!M30*BaselineData!M35*(1-BaselineData!M40)*BaselineData!M47</f>
        <v>1834.2052855724301</v>
      </c>
      <c r="N15" s="268" t="e">
        <f>BaselineData!N22*BaselineData!N19*BaselineData!N30*BaselineData!N35*(1-BaselineData!N40)*BaselineData!N47</f>
        <v>#VALUE!</v>
      </c>
      <c r="O15" s="268">
        <f>BaselineData!O22*BaselineData!O19*BaselineData!O30*BaselineData!O35*(1-BaselineData!O40)*BaselineData!O47</f>
        <v>1725.7641080853718</v>
      </c>
      <c r="P15" s="268">
        <f>BaselineData!P22*BaselineData!P19*BaselineData!P30*BaselineData!P35*(1-BaselineData!P40)*BaselineData!P47</f>
        <v>1721.4493293712894</v>
      </c>
      <c r="Q15" s="268">
        <f>BaselineData!Q22*BaselineData!Q19*BaselineData!Q30*BaselineData!Q35*(1-BaselineData!Q40)*BaselineData!Q47</f>
        <v>1715.9161802701501</v>
      </c>
      <c r="R15" s="268">
        <f>BaselineData!R22*BaselineData!R19*BaselineData!R30*BaselineData!R35*(1-BaselineData!R40)*BaselineData!R47</f>
        <v>1709.5897753872757</v>
      </c>
      <c r="S15" s="268">
        <f>BaselineData!S22*BaselineData!S19*BaselineData!S30*BaselineData!S35*(1-BaselineData!S40)*BaselineData!S47</f>
        <v>1702.7802062306625</v>
      </c>
      <c r="T15" s="268">
        <f>BaselineData!T22*BaselineData!T19*BaselineData!T30*BaselineData!T35*(1-BaselineData!T40)*BaselineData!T47</f>
        <v>1695.4764413453622</v>
      </c>
      <c r="U15" s="268">
        <f>BaselineData!U22*BaselineData!U19*BaselineData!U30*BaselineData!U35*(1-BaselineData!U40)*BaselineData!U47</f>
        <v>1687.6123592666545</v>
      </c>
      <c r="V15" s="268">
        <f>BaselineData!V22*BaselineData!V19*BaselineData!V30*BaselineData!V35*(1-BaselineData!V40)*BaselineData!V47</f>
        <v>1679.0930491230033</v>
      </c>
      <c r="W15" s="268">
        <f>BaselineData!W22*BaselineData!W19*BaselineData!W30*BaselineData!W35*(1-BaselineData!W40)*BaselineData!W47</f>
        <v>1669.8519858598731</v>
      </c>
      <c r="X15" s="268">
        <f>BaselineData!X22*BaselineData!X19*BaselineData!X30*BaselineData!X35*(1-BaselineData!X40)*BaselineData!X47</f>
        <v>1659.8676446871207</v>
      </c>
      <c r="Y15" s="268">
        <f>BaselineData!Y22*BaselineData!Y19*BaselineData!Y30*BaselineData!Y35*(1-BaselineData!Y40)*BaselineData!Y47</f>
        <v>1649.1686132166551</v>
      </c>
      <c r="Z15" s="268">
        <f>BaselineData!Z22*BaselineData!Z19*BaselineData!Z30*BaselineData!Z35*(1-BaselineData!Z40)*BaselineData!Z47</f>
        <v>1637.7418420444521</v>
      </c>
      <c r="AA15" s="268"/>
      <c r="AB15" s="268"/>
      <c r="AC15" s="268" t="e">
        <f>BaselineData!AC22*BaselineData!AC19*BaselineData!AC30*BaselineData!AC35*(1-BaselineData!AC40)*BaselineData!AC47</f>
        <v>#VALUE!</v>
      </c>
      <c r="AD15" s="268">
        <f>BaselineData!AD22*BaselineData!AD19*BaselineData!AD30*BaselineData!AD35*(1-BaselineData!AD40)*BaselineData!AD47</f>
        <v>174.67193858822384</v>
      </c>
      <c r="AE15" s="268">
        <f>BaselineData!AE22*BaselineData!AE19*BaselineData!AE30*BaselineData!AE35*(1-BaselineData!AE40)*BaselineData!AE47</f>
        <v>271.28881569738718</v>
      </c>
      <c r="AF15" s="268">
        <f>BaselineData!AF22*BaselineData!AF19*BaselineData!AF30*BaselineData!AF35*(1-BaselineData!AF40)*BaselineData!AF47</f>
        <v>0</v>
      </c>
      <c r="AG15" s="268">
        <f>BaselineData!AG22*BaselineData!AG19*BaselineData!AG30*BaselineData!AG35*(1-BaselineData!AG40)*BaselineData!AG47</f>
        <v>2343.2586006395368</v>
      </c>
      <c r="AH15" s="268">
        <f>BaselineData!AH22*BaselineData!AH19*BaselineData!AH30*BaselineData!AH35*(1-BaselineData!AH40)*BaselineData!AH47</f>
        <v>1932.8425084952169</v>
      </c>
      <c r="AI15" s="268">
        <f>BaselineData!AI22*BaselineData!AI19*BaselineData!AI30*BaselineData!AI35*(1-BaselineData!AI40)*BaselineData!AI47</f>
        <v>0</v>
      </c>
      <c r="AJ15" s="268">
        <f>BaselineData!AJ22*BaselineData!AJ19*BaselineData!AJ30*BaselineData!AJ35*(1-BaselineData!AJ40)*BaselineData!AJ47</f>
        <v>0</v>
      </c>
      <c r="AK15" s="268" t="e">
        <f>BaselineData!AK22*BaselineData!AK19*BaselineData!AK30*BaselineData!AK35*(1-BaselineData!AK40)*BaselineData!AK47</f>
        <v>#VALUE!</v>
      </c>
      <c r="AL15" s="268">
        <f>BaselineData!AL22*BaselineData!AL19*BaselineData!AL30*BaselineData!AL35*(1-BaselineData!AL40)*BaselineData!AL47</f>
        <v>0</v>
      </c>
      <c r="AM15" s="268">
        <f>BaselineData!AM22*BaselineData!AM19*BaselineData!AM30*BaselineData!AM35*(1-BaselineData!AM40)*BaselineData!AM47</f>
        <v>0</v>
      </c>
      <c r="AN15" s="268">
        <f>BaselineData!AN22*BaselineData!AN19*BaselineData!AN30*BaselineData!AN35*(1-BaselineData!AN40)*BaselineData!AN47</f>
        <v>0</v>
      </c>
      <c r="AO15" s="268">
        <f>BaselineData!AO22*BaselineData!AO19*BaselineData!AO30*BaselineData!AO35*(1-BaselineData!AO40)*BaselineData!AO47</f>
        <v>0</v>
      </c>
      <c r="AP15" s="268">
        <f>BaselineData!AP22*BaselineData!AP19*BaselineData!AP30*BaselineData!AP35*(1-BaselineData!AP40)*BaselineData!AP47</f>
        <v>0</v>
      </c>
      <c r="AQ15" s="268">
        <f>BaselineData!AQ22*BaselineData!AQ19*BaselineData!AQ30*BaselineData!AQ35*(1-BaselineData!AQ40)*BaselineData!AQ47</f>
        <v>0</v>
      </c>
      <c r="AR15" s="268">
        <f>BaselineData!AR22*BaselineData!AR19*BaselineData!AR30*BaselineData!AR35*(1-BaselineData!AR40)*BaselineData!AR47</f>
        <v>0</v>
      </c>
      <c r="AS15" s="268">
        <f>BaselineData!AS22*BaselineData!AS19*BaselineData!AS30*BaselineData!AS35*(1-BaselineData!AS40)*BaselineData!AS47</f>
        <v>0</v>
      </c>
      <c r="AT15" s="268">
        <f>BaselineData!AT22*BaselineData!AT19*BaselineData!AT30*BaselineData!AT35*(1-BaselineData!AT40)*BaselineData!AT47</f>
        <v>0</v>
      </c>
      <c r="AU15" s="268">
        <f>BaselineData!AU22*BaselineData!AU19*BaselineData!AU30*BaselineData!AU35*(1-BaselineData!AU40)*BaselineData!AU47</f>
        <v>0</v>
      </c>
      <c r="AV15" s="268">
        <f>BaselineData!AV22*BaselineData!AV19*BaselineData!AV30*BaselineData!AV35*(1-BaselineData!AV40)*BaselineData!AV47</f>
        <v>0</v>
      </c>
      <c r="AW15" s="268">
        <f>BaselineData!AW22*BaselineData!AW19*BaselineData!AW30*BaselineData!AW35*(1-BaselineData!AW40)*BaselineData!AW47</f>
        <v>0</v>
      </c>
      <c r="AX15" s="268"/>
      <c r="AY15" s="268"/>
      <c r="AZ15" s="268" t="e">
        <f>BaselineData!AZ22*BaselineData!AZ19*BaselineData!AZ30*BaselineData!AZ35*(1-BaselineData!AZ40)*BaselineData!AZ47</f>
        <v>#VALUE!</v>
      </c>
      <c r="BA15" s="268">
        <f>BaselineData!BA22*BaselineData!BA19*BaselineData!BA30*BaselineData!BA35*(1-BaselineData!BA40)*BaselineData!BA47</f>
        <v>139.53222643651205</v>
      </c>
      <c r="BB15" s="268">
        <f>BaselineData!BB22*BaselineData!BB19*BaselineData!BB30*BaselineData!BB35*(1-BaselineData!BB40)*BaselineData!BB47</f>
        <v>606.04757467623256</v>
      </c>
      <c r="BC15" s="268">
        <f>BaselineData!BC22*BaselineData!BC19*BaselineData!BC30*BaselineData!BC35*(1-BaselineData!BC40)*BaselineData!BC47</f>
        <v>254.31107771617633</v>
      </c>
      <c r="BD15" s="268">
        <f>BaselineData!BD22*BaselineData!BD19*BaselineData!BD30*BaselineData!BD35*(1-BaselineData!BD40)*BaselineData!BD47</f>
        <v>2828.9548170888356</v>
      </c>
      <c r="BE15" s="268">
        <f>BaselineData!BE22*BaselineData!BE19*BaselineData!BE30*BaselineData!BE35*(1-BaselineData!BE40)*BaselineData!BE47</f>
        <v>2638.4620876215677</v>
      </c>
      <c r="BF15" s="268">
        <f>BaselineData!BF22*BaselineData!BF19*BaselineData!BF30*BaselineData!BF35*(1-BaselineData!BF40)*BaselineData!BF47</f>
        <v>929.21076839227851</v>
      </c>
      <c r="BG15" s="268">
        <f>BaselineData!BG22*BaselineData!BG19*BaselineData!BG30*BaselineData!BG35*(1-BaselineData!BG40)*BaselineData!BG47</f>
        <v>2854.9241765024794</v>
      </c>
      <c r="BH15" s="268" t="e">
        <f>BaselineData!BH22*BaselineData!BH19*BaselineData!BH30*BaselineData!BH35*(1-BaselineData!BH40)*BaselineData!BH47</f>
        <v>#VALUE!</v>
      </c>
      <c r="BI15" s="268">
        <f>BaselineData!BI22*BaselineData!BI19*BaselineData!BI30*BaselineData!BI35*(1-BaselineData!BI40)*BaselineData!BI47</f>
        <v>3321.2358197194239</v>
      </c>
      <c r="BJ15" s="268">
        <f>BaselineData!BJ22*BaselineData!BJ19*BaselineData!BJ30*BaselineData!BJ35*(1-BaselineData!BJ40)*BaselineData!BJ47</f>
        <v>3312.9320210993037</v>
      </c>
      <c r="BK15" s="268">
        <f>BaselineData!BK22*BaselineData!BK19*BaselineData!BK30*BaselineData!BK35*(1-BaselineData!BK40)*BaselineData!BK47</f>
        <v>3302.2834666969634</v>
      </c>
      <c r="BL15" s="268">
        <f>BaselineData!BL22*BaselineData!BL19*BaselineData!BL30*BaselineData!BL35*(1-BaselineData!BL40)*BaselineData!BL47</f>
        <v>3290.1082902585326</v>
      </c>
      <c r="BM15" s="268">
        <f>BaselineData!BM22*BaselineData!BM19*BaselineData!BM30*BaselineData!BM35*(1-BaselineData!BM40)*BaselineData!BM47</f>
        <v>3277.0032633931332</v>
      </c>
      <c r="BN15" s="268">
        <f>BaselineData!BN22*BaselineData!BN19*BaselineData!BN30*BaselineData!BN35*(1-BaselineData!BN40)*BaselineData!BN47</f>
        <v>3262.9471560478601</v>
      </c>
      <c r="BO15" s="268">
        <f>BaselineData!BO22*BaselineData!BO19*BaselineData!BO30*BaselineData!BO35*(1-BaselineData!BO40)*BaselineData!BO47</f>
        <v>3247.8127173568182</v>
      </c>
      <c r="BP15" s="268">
        <f>BaselineData!BP22*BaselineData!BP19*BaselineData!BP30*BaselineData!BP35*(1-BaselineData!BP40)*BaselineData!BP47</f>
        <v>3231.4172911940946</v>
      </c>
      <c r="BQ15" s="268">
        <f>BaselineData!BQ22*BaselineData!BQ19*BaselineData!BQ30*BaselineData!BQ35*(1-BaselineData!BQ40)*BaselineData!BQ47</f>
        <v>3213.6328499845413</v>
      </c>
      <c r="BR15" s="268">
        <f>BaselineData!BR22*BaselineData!BR19*BaselineData!BR30*BaselineData!BR35*(1-BaselineData!BR40)*BaselineData!BR47</f>
        <v>3194.4179692346834</v>
      </c>
      <c r="BS15" s="268">
        <f>BaselineData!BS22*BaselineData!BS19*BaselineData!BS30*BaselineData!BS35*(1-BaselineData!BS40)*BaselineData!BS47</f>
        <v>3173.8276658499194</v>
      </c>
      <c r="BT15" s="268">
        <f>BaselineData!BT22*BaselineData!BT19*BaselineData!BT30*BaselineData!BT35*(1-BaselineData!BT40)*BaselineData!BT47</f>
        <v>3151.8368262310773</v>
      </c>
      <c r="BU15" s="268"/>
    </row>
    <row r="16" spans="1:73">
      <c r="A16" s="17"/>
      <c r="E16" s="17" t="s">
        <v>249</v>
      </c>
      <c r="F16" s="268" t="e">
        <f>BaselineData!F22*BaselineData!F19*BaselineData!F30*BaselineData!F35*(1-BaselineData!F40)*(1-BaselineData!F47)</f>
        <v>#VALUE!</v>
      </c>
      <c r="G16" s="268">
        <f>BaselineData!G22*BaselineData!G19*BaselineData!G30*BaselineData!G35*(1-BaselineData!G40)*(1-BaselineData!G47)</f>
        <v>121.59424513711197</v>
      </c>
      <c r="H16" s="268">
        <f>BaselineData!H22*BaselineData!H19*BaselineData!H30*BaselineData!H35*(1-BaselineData!H40)*(1-BaselineData!H47)</f>
        <v>288.76375909304301</v>
      </c>
      <c r="I16" s="268">
        <f>BaselineData!I22*BaselineData!I19*BaselineData!I30*BaselineData!I35*(1-BaselineData!I40)*(1-BaselineData!I47)</f>
        <v>52.983845520796763</v>
      </c>
      <c r="J16" s="268">
        <f>BaselineData!J22*BaselineData!J19*BaselineData!J30*BaselineData!J35*(1-BaselineData!J40)*(1-BaselineData!J47)</f>
        <v>1400.3220255053232</v>
      </c>
      <c r="K16" s="268">
        <f>BaselineData!K22*BaselineData!K19*BaselineData!K30*BaselineData!K35*(1-BaselineData!K40)*(1-BaselineData!K47)</f>
        <v>1255.1759016343676</v>
      </c>
      <c r="L16" s="268">
        <f>BaselineData!L22*BaselineData!L19*BaselineData!L30*BaselineData!L35*(1-BaselineData!L40)*(1-BaselineData!L47)</f>
        <v>254.73172372213494</v>
      </c>
      <c r="M16" s="268">
        <f>BaselineData!M22*BaselineData!M19*BaselineData!M30*BaselineData!M35*(1-BaselineData!M40)*(1-BaselineData!M47)</f>
        <v>839.56335228825492</v>
      </c>
      <c r="N16" s="268" t="e">
        <f>BaselineData!N22*BaselineData!N19*BaselineData!N30*BaselineData!N35*(1-BaselineData!N40)*(1-BaselineData!N47)</f>
        <v>#VALUE!</v>
      </c>
      <c r="O16" s="268">
        <f>BaselineData!O22*BaselineData!O19*BaselineData!O30*BaselineData!O35*(1-BaselineData!O40)*(1-BaselineData!O47)</f>
        <v>789.92701157260444</v>
      </c>
      <c r="P16" s="268">
        <f>BaselineData!P22*BaselineData!P19*BaselineData!P30*BaselineData!P35*(1-BaselineData!P40)*(1-BaselineData!P47)</f>
        <v>787.95202539735385</v>
      </c>
      <c r="Q16" s="268">
        <f>BaselineData!Q22*BaselineData!Q19*BaselineData!Q30*BaselineData!Q35*(1-BaselineData!Q40)*(1-BaselineData!Q47)</f>
        <v>785.41935948225512</v>
      </c>
      <c r="R16" s="268">
        <f>BaselineData!R22*BaselineData!R19*BaselineData!R30*BaselineData!R35*(1-BaselineData!R40)*(1-BaselineData!R47)</f>
        <v>782.52359981283439</v>
      </c>
      <c r="S16" s="268">
        <f>BaselineData!S22*BaselineData!S19*BaselineData!S30*BaselineData!S35*(1-BaselineData!S40)*(1-BaselineData!S47)</f>
        <v>779.406683318408</v>
      </c>
      <c r="T16" s="268">
        <f>BaselineData!T22*BaselineData!T19*BaselineData!T30*BaselineData!T35*(1-BaselineData!T40)*(1-BaselineData!T47)</f>
        <v>776.06356061580698</v>
      </c>
      <c r="U16" s="268">
        <f>BaselineData!U22*BaselineData!U19*BaselineData!U30*BaselineData!U35*(1-BaselineData!U40)*(1-BaselineData!U47)</f>
        <v>772.46396619494078</v>
      </c>
      <c r="V16" s="268">
        <f>BaselineData!V22*BaselineData!V19*BaselineData!V30*BaselineData!V35*(1-BaselineData!V40)*(1-BaselineData!V47)</f>
        <v>768.56445688720532</v>
      </c>
      <c r="W16" s="268">
        <f>BaselineData!W22*BaselineData!W19*BaselineData!W30*BaselineData!W35*(1-BaselineData!W40)*(1-BaselineData!W47)</f>
        <v>764.33458244897963</v>
      </c>
      <c r="X16" s="268">
        <f>BaselineData!X22*BaselineData!X19*BaselineData!X30*BaselineData!X35*(1-BaselineData!X40)*(1-BaselineData!X47)</f>
        <v>759.76449042529998</v>
      </c>
      <c r="Y16" s="268">
        <f>BaselineData!Y22*BaselineData!Y19*BaselineData!Y30*BaselineData!Y35*(1-BaselineData!Y40)*(1-BaselineData!Y47)</f>
        <v>754.86726610791482</v>
      </c>
      <c r="Z16" s="268">
        <f>BaselineData!Z22*BaselineData!Z19*BaselineData!Z30*BaselineData!Z35*(1-BaselineData!Z40)*(1-BaselineData!Z47)</f>
        <v>749.63693644600266</v>
      </c>
      <c r="AA16" s="268"/>
      <c r="AB16" s="268"/>
      <c r="AC16" s="268" t="e">
        <f>BaselineData!AC22*BaselineData!AC19*BaselineData!AC30*BaselineData!AC35*(1-BaselineData!AC40)*(1-BaselineData!AC47)</f>
        <v>#VALUE!</v>
      </c>
      <c r="AD16" s="268">
        <f>BaselineData!AD22*BaselineData!AD19*BaselineData!AD30*BaselineData!AD35*(1-BaselineData!AD40)*(1-BaselineData!AD47)</f>
        <v>79.951878595775909</v>
      </c>
      <c r="AE16" s="268">
        <f>BaselineData!AE22*BaselineData!AE19*BaselineData!AE30*BaselineData!AE35*(1-BaselineData!AE40)*(1-BaselineData!AE47)</f>
        <v>124.17593021717136</v>
      </c>
      <c r="AF16" s="268">
        <f>BaselineData!AF22*BaselineData!AF19*BaselineData!AF30*BaselineData!AF35*(1-BaselineData!AF40)*(1-BaselineData!AF47)</f>
        <v>0</v>
      </c>
      <c r="AG16" s="268">
        <f>BaselineData!AG22*BaselineData!AG19*BaselineData!AG30*BaselineData!AG35*(1-BaselineData!AG40)*(1-BaselineData!AG47)</f>
        <v>1072.5702632664934</v>
      </c>
      <c r="AH16" s="268">
        <f>BaselineData!AH22*BaselineData!AH19*BaselineData!AH30*BaselineData!AH35*(1-BaselineData!AH40)*(1-BaselineData!AH47)</f>
        <v>884.71216861151299</v>
      </c>
      <c r="AI16" s="268">
        <f>BaselineData!AI22*BaselineData!AI19*BaselineData!AI30*BaselineData!AI35*(1-BaselineData!AI40)*(1-BaselineData!AI47)</f>
        <v>0</v>
      </c>
      <c r="AJ16" s="268">
        <f>BaselineData!AJ22*BaselineData!AJ19*BaselineData!AJ30*BaselineData!AJ35*(1-BaselineData!AJ40)*(1-BaselineData!AJ47)</f>
        <v>0</v>
      </c>
      <c r="AK16" s="268" t="e">
        <f>BaselineData!AK22*BaselineData!AK19*BaselineData!AK30*BaselineData!AK35*(1-BaselineData!AK40)*(1-BaselineData!AK47)</f>
        <v>#VALUE!</v>
      </c>
      <c r="AL16" s="268">
        <f>BaselineData!AL22*BaselineData!AL19*BaselineData!AL30*BaselineData!AL35*(1-BaselineData!AL40)*(1-BaselineData!AL47)</f>
        <v>0</v>
      </c>
      <c r="AM16" s="268">
        <f>BaselineData!AM22*BaselineData!AM19*BaselineData!AM30*BaselineData!AM35*(1-BaselineData!AM40)*(1-BaselineData!AM47)</f>
        <v>0</v>
      </c>
      <c r="AN16" s="268">
        <f>BaselineData!AN22*BaselineData!AN19*BaselineData!AN30*BaselineData!AN35*(1-BaselineData!AN40)*(1-BaselineData!AN47)</f>
        <v>0</v>
      </c>
      <c r="AO16" s="268">
        <f>BaselineData!AO22*BaselineData!AO19*BaselineData!AO30*BaselineData!AO35*(1-BaselineData!AO40)*(1-BaselineData!AO47)</f>
        <v>0</v>
      </c>
      <c r="AP16" s="268">
        <f>BaselineData!AP22*BaselineData!AP19*BaselineData!AP30*BaselineData!AP35*(1-BaselineData!AP40)*(1-BaselineData!AP47)</f>
        <v>0</v>
      </c>
      <c r="AQ16" s="268">
        <f>BaselineData!AQ22*BaselineData!AQ19*BaselineData!AQ30*BaselineData!AQ35*(1-BaselineData!AQ40)*(1-BaselineData!AQ47)</f>
        <v>0</v>
      </c>
      <c r="AR16" s="268">
        <f>BaselineData!AR22*BaselineData!AR19*BaselineData!AR30*BaselineData!AR35*(1-BaselineData!AR40)*(1-BaselineData!AR47)</f>
        <v>0</v>
      </c>
      <c r="AS16" s="268">
        <f>BaselineData!AS22*BaselineData!AS19*BaselineData!AS30*BaselineData!AS35*(1-BaselineData!AS40)*(1-BaselineData!AS47)</f>
        <v>0</v>
      </c>
      <c r="AT16" s="268">
        <f>BaselineData!AT22*BaselineData!AT19*BaselineData!AT30*BaselineData!AT35*(1-BaselineData!AT40)*(1-BaselineData!AT47)</f>
        <v>0</v>
      </c>
      <c r="AU16" s="268">
        <f>BaselineData!AU22*BaselineData!AU19*BaselineData!AU30*BaselineData!AU35*(1-BaselineData!AU40)*(1-BaselineData!AU47)</f>
        <v>0</v>
      </c>
      <c r="AV16" s="268">
        <f>BaselineData!AV22*BaselineData!AV19*BaselineData!AV30*BaselineData!AV35*(1-BaselineData!AV40)*(1-BaselineData!AV47)</f>
        <v>0</v>
      </c>
      <c r="AW16" s="268">
        <f>BaselineData!AW22*BaselineData!AW19*BaselineData!AW30*BaselineData!AW35*(1-BaselineData!AW40)*(1-BaselineData!AW47)</f>
        <v>0</v>
      </c>
      <c r="AX16" s="268"/>
      <c r="AY16" s="268"/>
      <c r="AZ16" s="268" t="e">
        <f>BaselineData!AZ22*BaselineData!AZ19*BaselineData!AZ30*BaselineData!AZ35*(1-BaselineData!AZ40)*(1-BaselineData!AZ47)</f>
        <v>#VALUE!</v>
      </c>
      <c r="BA16" s="268">
        <f>BaselineData!BA22*BaselineData!BA19*BaselineData!BA30*BaselineData!BA35*(1-BaselineData!BA40)*(1-BaselineData!BA47)</f>
        <v>63.867520555488007</v>
      </c>
      <c r="BB16" s="268">
        <f>BaselineData!BB22*BaselineData!BB19*BaselineData!BB30*BaselineData!BB35*(1-BaselineData!BB40)*(1-BaselineData!BB47)</f>
        <v>277.40370036200727</v>
      </c>
      <c r="BC16" s="268">
        <f>BaselineData!BC22*BaselineData!BC19*BaselineData!BC30*BaselineData!BC35*(1-BaselineData!BC40)*(1-BaselineData!BC47)</f>
        <v>116.40477901294366</v>
      </c>
      <c r="BD16" s="268">
        <f>BaselineData!BD22*BaselineData!BD19*BaselineData!BD30*BaselineData!BD35*(1-BaselineData!BD40)*(1-BaselineData!BD47)</f>
        <v>1294.8860241485338</v>
      </c>
      <c r="BE16" s="268">
        <f>BaselineData!BE22*BaselineData!BE19*BaselineData!BE30*BaselineData!BE35*(1-BaselineData!BE40)*(1-BaselineData!BE47)</f>
        <v>1207.692559057102</v>
      </c>
      <c r="BF16" s="268">
        <f>BaselineData!BF22*BaselineData!BF19*BaselineData!BF30*BaselineData!BF35*(1-BaselineData!BF40)*(1-BaselineData!BF47)</f>
        <v>425.32387940987667</v>
      </c>
      <c r="BG16" s="268">
        <f>BaselineData!BG22*BaselineData!BG19*BaselineData!BG30*BaselineData!BG35*(1-BaselineData!BG40)*(1-BaselineData!BG47)</f>
        <v>1306.7728737926798</v>
      </c>
      <c r="BH16" s="268" t="e">
        <f>BaselineData!BH22*BaselineData!BH19*BaselineData!BH30*BaselineData!BH35*(1-BaselineData!BH40)*(1-BaselineData!BH47)</f>
        <v>#VALUE!</v>
      </c>
      <c r="BI16" s="268">
        <f>BaselineData!BI22*BaselineData!BI19*BaselineData!BI30*BaselineData!BI35*(1-BaselineData!BI40)*(1-BaselineData!BI47)</f>
        <v>1520.2158125246337</v>
      </c>
      <c r="BJ16" s="268">
        <f>BaselineData!BJ22*BaselineData!BJ19*BaselineData!BJ30*BaselineData!BJ35*(1-BaselineData!BJ40)*(1-BaselineData!BJ47)</f>
        <v>1516.4149484332086</v>
      </c>
      <c r="BK16" s="268">
        <f>BaselineData!BK22*BaselineData!BK19*BaselineData!BK30*BaselineData!BK35*(1-BaselineData!BK40)*(1-BaselineData!BK47)</f>
        <v>1511.5408287796593</v>
      </c>
      <c r="BL16" s="268">
        <f>BaselineData!BL22*BaselineData!BL19*BaselineData!BL30*BaselineData!BL35*(1-BaselineData!BL40)*(1-BaselineData!BL47)</f>
        <v>1505.9679346081325</v>
      </c>
      <c r="BM16" s="268">
        <f>BaselineData!BM22*BaselineData!BM19*BaselineData!BM30*BaselineData!BM35*(1-BaselineData!BM40)*(1-BaselineData!BM47)</f>
        <v>1499.9694237688682</v>
      </c>
      <c r="BN16" s="268">
        <f>BaselineData!BN22*BaselineData!BN19*BaselineData!BN30*BaselineData!BN35*(1-BaselineData!BN40)*(1-BaselineData!BN47)</f>
        <v>1493.5355787157839</v>
      </c>
      <c r="BO16" s="268">
        <f>BaselineData!BO22*BaselineData!BO19*BaselineData!BO30*BaselineData!BO35*(1-BaselineData!BO40)*(1-BaselineData!BO47)</f>
        <v>1486.6081534257153</v>
      </c>
      <c r="BP16" s="268">
        <f>BaselineData!BP22*BaselineData!BP19*BaselineData!BP30*BaselineData!BP35*(1-BaselineData!BP40)*(1-BaselineData!BP47)</f>
        <v>1479.1035414503579</v>
      </c>
      <c r="BQ16" s="268">
        <f>BaselineData!BQ22*BaselineData!BQ19*BaselineData!BQ30*BaselineData!BQ35*(1-BaselineData!BQ40)*(1-BaselineData!BQ47)</f>
        <v>1470.9631412465681</v>
      </c>
      <c r="BR16" s="268">
        <f>BaselineData!BR22*BaselineData!BR19*BaselineData!BR30*BaselineData!BR35*(1-BaselineData!BR40)*(1-BaselineData!BR47)</f>
        <v>1462.1679917488198</v>
      </c>
      <c r="BS16" s="268">
        <f>BaselineData!BS22*BaselineData!BS19*BaselineData!BS30*BaselineData!BS35*(1-BaselineData!BS40)*(1-BaselineData!BS47)</f>
        <v>1452.7432756222659</v>
      </c>
      <c r="BT16" s="268">
        <f>BaselineData!BT22*BaselineData!BT19*BaselineData!BT30*BaselineData!BT35*(1-BaselineData!BT40)*(1-BaselineData!BT47)</f>
        <v>1442.6774977209302</v>
      </c>
      <c r="BU16" s="268"/>
    </row>
    <row r="17" spans="1:73">
      <c r="A17" s="17"/>
      <c r="E17" s="17" t="s">
        <v>257</v>
      </c>
      <c r="F17" s="268" t="e">
        <f>BaselineData!F47*(1-BaselineData!F35)*BaselineData!F22*BaselineData!F30*BaselineData!F19         +           BaselineData!F47*BaselineData!F22*(1-BaselineData!F30)*BaselineData!F19</f>
        <v>#VALUE!</v>
      </c>
      <c r="G17" s="268">
        <f>BaselineData!G47*(1-BaselineData!G35)*BaselineData!G22*BaselineData!G30*BaselineData!G19         +           BaselineData!G47*BaselineData!G22*(1-BaselineData!G30)*BaselineData!G19</f>
        <v>49965.407668719206</v>
      </c>
      <c r="H17" s="268">
        <f>BaselineData!H47*(1-BaselineData!H35)*BaselineData!H22*BaselineData!H30*BaselineData!H19         +           BaselineData!H47*BaselineData!H22*(1-BaselineData!H30)*BaselineData!H19</f>
        <v>106185.77576391683</v>
      </c>
      <c r="I17" s="268">
        <f>BaselineData!I47*(1-BaselineData!I35)*BaselineData!I22*BaselineData!I30*BaselineData!I19         +           BaselineData!I47*BaselineData!I22*(1-BaselineData!I30)*BaselineData!I19</f>
        <v>14469.798186043201</v>
      </c>
      <c r="J17" s="268">
        <f>BaselineData!J47*(1-BaselineData!J35)*BaselineData!J22*BaselineData!J30*BaselineData!J19         +           BaselineData!J47*BaselineData!J22*(1-BaselineData!J30)*BaselineData!J19</f>
        <v>36934.998183115211</v>
      </c>
      <c r="K17" s="268">
        <f>BaselineData!K47*(1-BaselineData!K35)*BaselineData!K22*BaselineData!K30*BaselineData!K19         +           BaselineData!K47*BaselineData!K22*(1-BaselineData!K30)*BaselineData!K19</f>
        <v>33564.396146735999</v>
      </c>
      <c r="L17" s="268">
        <f>BaselineData!L47*(1-BaselineData!L35)*BaselineData!L22*BaselineData!L30*BaselineData!L19         +           BaselineData!L47*BaselineData!L22*(1-BaselineData!L30)*BaselineData!L19</f>
        <v>13703.215180095001</v>
      </c>
      <c r="M17" s="268">
        <f>BaselineData!M47*(1-BaselineData!M35)*BaselineData!M22*BaselineData!M30*BaselineData!M19         +           BaselineData!M47*BaselineData!M22*(1-BaselineData!M30)*BaselineData!M19</f>
        <v>14152.333043640401</v>
      </c>
      <c r="N17" s="268" t="e">
        <f>BaselineData!N47*(1-BaselineData!N35)*BaselineData!N22*BaselineData!N30*BaselineData!N19         +           BaselineData!N47*BaselineData!N22*(1-BaselineData!N30)*BaselineData!N19</f>
        <v>#VALUE!</v>
      </c>
      <c r="O17" s="268">
        <f>BaselineData!O47*(1-BaselineData!O35)*BaselineData!O22*BaselineData!O30*BaselineData!O19         +           BaselineData!O47*BaselineData!O22*(1-BaselineData!O30)*BaselineData!O19</f>
        <v>11216.515532936932</v>
      </c>
      <c r="P17" s="268">
        <f>BaselineData!P47*(1-BaselineData!P35)*BaselineData!P22*BaselineData!P30*BaselineData!P19         +           BaselineData!P47*BaselineData!P22*(1-BaselineData!P30)*BaselineData!P19</f>
        <v>11188.471849422513</v>
      </c>
      <c r="Q17" s="268">
        <f>BaselineData!Q47*(1-BaselineData!Q35)*BaselineData!Q22*BaselineData!Q30*BaselineData!Q19         +           BaselineData!Q47*BaselineData!Q22*(1-BaselineData!Q30)*BaselineData!Q19</f>
        <v>11152.509429907461</v>
      </c>
      <c r="R17" s="268">
        <f>BaselineData!R47*(1-BaselineData!R35)*BaselineData!R22*BaselineData!R30*BaselineData!R19         +           BaselineData!R47*BaselineData!R22*(1-BaselineData!R30)*BaselineData!R19</f>
        <v>11111.391285020825</v>
      </c>
      <c r="S17" s="268">
        <f>BaselineData!S47*(1-BaselineData!S35)*BaselineData!S22*BaselineData!S30*BaselineData!S19         +           BaselineData!S47*BaselineData!S22*(1-BaselineData!S30)*BaselineData!S19</f>
        <v>11067.132838655001</v>
      </c>
      <c r="T17" s="268">
        <f>BaselineData!T47*(1-BaselineData!T35)*BaselineData!T22*BaselineData!T30*BaselineData!T19         +           BaselineData!T47*BaselineData!T22*(1-BaselineData!T30)*BaselineData!T19</f>
        <v>11019.662392432905</v>
      </c>
      <c r="U17" s="268">
        <f>BaselineData!U47*(1-BaselineData!U35)*BaselineData!U22*BaselineData!U30*BaselineData!U19         +           BaselineData!U47*BaselineData!U22*(1-BaselineData!U30)*BaselineData!U19</f>
        <v>10968.550193277266</v>
      </c>
      <c r="V17" s="268">
        <f>BaselineData!V47*(1-BaselineData!V35)*BaselineData!V22*BaselineData!V30*BaselineData!V19         +           BaselineData!V47*BaselineData!V22*(1-BaselineData!V30)*BaselineData!V19</f>
        <v>10913.179372834033</v>
      </c>
      <c r="W17" s="268">
        <f>BaselineData!W47*(1-BaselineData!W35)*BaselineData!W22*BaselineData!W30*BaselineData!W19         +           BaselineData!W47*BaselineData!W22*(1-BaselineData!W30)*BaselineData!W19</f>
        <v>10853.117554914577</v>
      </c>
      <c r="X17" s="268">
        <f>BaselineData!X47*(1-BaselineData!X35)*BaselineData!X22*BaselineData!X30*BaselineData!X19         +           BaselineData!X47*BaselineData!X22*(1-BaselineData!X30)*BaselineData!X19</f>
        <v>10788.224840246545</v>
      </c>
      <c r="Y17" s="268">
        <f>BaselineData!Y47*(1-BaselineData!Y35)*BaselineData!Y22*BaselineData!Y30*BaselineData!Y19         +           BaselineData!Y47*BaselineData!Y22*(1-BaselineData!Y30)*BaselineData!Y19</f>
        <v>10718.687032551032</v>
      </c>
      <c r="Z17" s="268">
        <f>BaselineData!Z47*(1-BaselineData!Z35)*BaselineData!Z22*BaselineData!Z30*BaselineData!Z19         +           BaselineData!Z47*BaselineData!Z22*(1-BaselineData!Z30)*BaselineData!Z19</f>
        <v>10644.419317894173</v>
      </c>
      <c r="AA17" s="268"/>
      <c r="AB17" s="268"/>
      <c r="AC17" s="268" t="e">
        <f>BaselineData!AC47*(1-BaselineData!AC35)*BaselineData!AC22*BaselineData!AC30*BaselineData!AC19         +           BaselineData!AC47*BaselineData!AC22*(1-BaselineData!AC30)*BaselineData!AC19</f>
        <v>#VALUE!</v>
      </c>
      <c r="AD17" s="268">
        <f>BaselineData!AD47*(1-BaselineData!AD35)*BaselineData!AD22*BaselineData!AD30*BaselineData!AD19         +           BaselineData!AD47*BaselineData!AD22*(1-BaselineData!AD30)*BaselineData!AD19</f>
        <v>31406.990656529597</v>
      </c>
      <c r="AE17" s="268">
        <f>BaselineData!AE47*(1-BaselineData!AE35)*BaselineData!AE22*BaselineData!AE30*BaselineData!AE19         +           BaselineData!AE47*BaselineData!AE22*(1-BaselineData!AE30)*BaselineData!AE19</f>
        <v>85483.699364342188</v>
      </c>
      <c r="AF17" s="268">
        <f>BaselineData!AF47*(1-BaselineData!AF35)*BaselineData!AF22*BaselineData!AF30*BaselineData!AF19         +           BaselineData!AF47*BaselineData!AF22*(1-BaselineData!AF30)*BaselineData!AF19</f>
        <v>0</v>
      </c>
      <c r="AG17" s="268">
        <f>BaselineData!AG47*(1-BaselineData!AG35)*BaselineData!AG22*BaselineData!AG30*BaselineData!AG19         +           BaselineData!AG47*BaselineData!AG22*(1-BaselineData!AG30)*BaselineData!AG19</f>
        <v>19900.067703044617</v>
      </c>
      <c r="AH17" s="268">
        <f>BaselineData!AH47*(1-BaselineData!AH35)*BaselineData!AH22*BaselineData!AH30*BaselineData!AH19         +           BaselineData!AH47*BaselineData!AH22*(1-BaselineData!AH30)*BaselineData!AH19</f>
        <v>16753.047342201935</v>
      </c>
      <c r="AI17" s="268">
        <f>BaselineData!AI47*(1-BaselineData!AI35)*BaselineData!AI22*BaselineData!AI30*BaselineData!AI19         +           BaselineData!AI47*BaselineData!AI22*(1-BaselineData!AI30)*BaselineData!AI19</f>
        <v>0</v>
      </c>
      <c r="AJ17" s="268">
        <f>BaselineData!AJ47*(1-BaselineData!AJ35)*BaselineData!AJ22*BaselineData!AJ30*BaselineData!AJ19         +           BaselineData!AJ47*BaselineData!AJ22*(1-BaselineData!AJ30)*BaselineData!AJ19</f>
        <v>0</v>
      </c>
      <c r="AK17" s="268" t="e">
        <f>BaselineData!AK47*(1-BaselineData!AK35)*BaselineData!AK22*BaselineData!AK30*BaselineData!AK19         +           BaselineData!AK47*BaselineData!AK22*(1-BaselineData!AK30)*BaselineData!AK19</f>
        <v>#VALUE!</v>
      </c>
      <c r="AL17" s="268">
        <f>BaselineData!AL47*(1-BaselineData!AL35)*BaselineData!AL22*BaselineData!AL30*BaselineData!AL19         +           BaselineData!AL47*BaselineData!AL22*(1-BaselineData!AL30)*BaselineData!AL19</f>
        <v>0</v>
      </c>
      <c r="AM17" s="268">
        <f>BaselineData!AM47*(1-BaselineData!AM35)*BaselineData!AM22*BaselineData!AM30*BaselineData!AM19         +           BaselineData!AM47*BaselineData!AM22*(1-BaselineData!AM30)*BaselineData!AM19</f>
        <v>0</v>
      </c>
      <c r="AN17" s="268">
        <f>BaselineData!AN47*(1-BaselineData!AN35)*BaselineData!AN22*BaselineData!AN30*BaselineData!AN19         +           BaselineData!AN47*BaselineData!AN22*(1-BaselineData!AN30)*BaselineData!AN19</f>
        <v>0</v>
      </c>
      <c r="AO17" s="268">
        <f>BaselineData!AO47*(1-BaselineData!AO35)*BaselineData!AO22*BaselineData!AO30*BaselineData!AO19         +           BaselineData!AO47*BaselineData!AO22*(1-BaselineData!AO30)*BaselineData!AO19</f>
        <v>0</v>
      </c>
      <c r="AP17" s="268">
        <f>BaselineData!AP47*(1-BaselineData!AP35)*BaselineData!AP22*BaselineData!AP30*BaselineData!AP19         +           BaselineData!AP47*BaselineData!AP22*(1-BaselineData!AP30)*BaselineData!AP19</f>
        <v>0</v>
      </c>
      <c r="AQ17" s="268">
        <f>BaselineData!AQ47*(1-BaselineData!AQ35)*BaselineData!AQ22*BaselineData!AQ30*BaselineData!AQ19         +           BaselineData!AQ47*BaselineData!AQ22*(1-BaselineData!AQ30)*BaselineData!AQ19</f>
        <v>0</v>
      </c>
      <c r="AR17" s="268">
        <f>BaselineData!AR47*(1-BaselineData!AR35)*BaselineData!AR22*BaselineData!AR30*BaselineData!AR19         +           BaselineData!AR47*BaselineData!AR22*(1-BaselineData!AR30)*BaselineData!AR19</f>
        <v>0</v>
      </c>
      <c r="AS17" s="268">
        <f>BaselineData!AS47*(1-BaselineData!AS35)*BaselineData!AS22*BaselineData!AS30*BaselineData!AS19         +           BaselineData!AS47*BaselineData!AS22*(1-BaselineData!AS30)*BaselineData!AS19</f>
        <v>0</v>
      </c>
      <c r="AT17" s="268">
        <f>BaselineData!AT47*(1-BaselineData!AT35)*BaselineData!AT22*BaselineData!AT30*BaselineData!AT19         +           BaselineData!AT47*BaselineData!AT22*(1-BaselineData!AT30)*BaselineData!AT19</f>
        <v>0</v>
      </c>
      <c r="AU17" s="268">
        <f>BaselineData!AU47*(1-BaselineData!AU35)*BaselineData!AU22*BaselineData!AU30*BaselineData!AU19         +           BaselineData!AU47*BaselineData!AU22*(1-BaselineData!AU30)*BaselineData!AU19</f>
        <v>0</v>
      </c>
      <c r="AV17" s="268">
        <f>BaselineData!AV47*(1-BaselineData!AV35)*BaselineData!AV22*BaselineData!AV30*BaselineData!AV19         +           BaselineData!AV47*BaselineData!AV22*(1-BaselineData!AV30)*BaselineData!AV19</f>
        <v>0</v>
      </c>
      <c r="AW17" s="268">
        <f>BaselineData!AW47*(1-BaselineData!AW35)*BaselineData!AW22*BaselineData!AW30*BaselineData!AW19         +           BaselineData!AW47*BaselineData!AW22*(1-BaselineData!AW30)*BaselineData!AW19</f>
        <v>0</v>
      </c>
      <c r="AX17" s="268"/>
      <c r="AY17" s="268"/>
      <c r="AZ17" s="268" t="e">
        <f>BaselineData!AZ47*(1-BaselineData!AZ35)*BaselineData!AZ22*BaselineData!AZ30*BaselineData!AZ19         +           BaselineData!AZ47*BaselineData!AZ22*(1-BaselineData!AZ30)*BaselineData!AZ19</f>
        <v>#VALUE!</v>
      </c>
      <c r="BA17" s="268">
        <f>BaselineData!BA47*(1-BaselineData!BA35)*BaselineData!BA22*BaselineData!BA30*BaselineData!BA19         +           BaselineData!BA47*BaselineData!BA22*(1-BaselineData!BA30)*BaselineData!BA19</f>
        <v>69570.523357771803</v>
      </c>
      <c r="BB17" s="268">
        <f>BaselineData!BB47*(1-BaselineData!BB35)*BaselineData!BB22*BaselineData!BB30*BaselineData!BB19         +           BaselineData!BB47*BaselineData!BB22*(1-BaselineData!BB30)*BaselineData!BB19</f>
        <v>127747.10476946266</v>
      </c>
      <c r="BC17" s="268">
        <f>BaselineData!BC47*(1-BaselineData!BC35)*BaselineData!BC22*BaselineData!BC30*BaselineData!BC19         +           BaselineData!BC47*BaselineData!BC22*(1-BaselineData!BC30)*BaselineData!BC19</f>
        <v>31798.761950366326</v>
      </c>
      <c r="BD17" s="268">
        <f>BaselineData!BD47*(1-BaselineData!BD35)*BaselineData!BD22*BaselineData!BD30*BaselineData!BD19         +           BaselineData!BD47*BaselineData!BD22*(1-BaselineData!BD30)*BaselineData!BD19</f>
        <v>55179.115044340993</v>
      </c>
      <c r="BE17" s="268">
        <f>BaselineData!BE47*(1-BaselineData!BE35)*BaselineData!BE22*BaselineData!BE30*BaselineData!BE19         +           BaselineData!BE47*BaselineData!BE22*(1-BaselineData!BE30)*BaselineData!BE19</f>
        <v>51607.486307217267</v>
      </c>
      <c r="BF17" s="268">
        <f>BaselineData!BF47*(1-BaselineData!BF35)*BaselineData!BF22*BaselineData!BF30*BaselineData!BF19         +           BaselineData!BF47*BaselineData!BF22*(1-BaselineData!BF30)*BaselineData!BF19</f>
        <v>30506.04950588489</v>
      </c>
      <c r="BG17" s="268">
        <f>BaselineData!BG47*(1-BaselineData!BG35)*BaselineData!BG22*BaselineData!BG30*BaselineData!BG19         +           BaselineData!BG47*BaselineData!BG22*(1-BaselineData!BG30)*BaselineData!BG19</f>
        <v>30331.71412086676</v>
      </c>
      <c r="BH17" s="268" t="e">
        <f>BaselineData!BH47*(1-BaselineData!BH35)*BaselineData!BH22*BaselineData!BH30*BaselineData!BH19         +           BaselineData!BH47*BaselineData!BH22*(1-BaselineData!BH30)*BaselineData!BH19</f>
        <v>#VALUE!</v>
      </c>
      <c r="BI17" s="268">
        <f>BaselineData!BI47*(1-BaselineData!BI35)*BaselineData!BI22*BaselineData!BI30*BaselineData!BI19         +           BaselineData!BI47*BaselineData!BI22*(1-BaselineData!BI30)*BaselineData!BI19</f>
        <v>25085.313362878955</v>
      </c>
      <c r="BJ17" s="268">
        <f>BaselineData!BJ47*(1-BaselineData!BJ35)*BaselineData!BJ22*BaselineData!BJ30*BaselineData!BJ19         +           BaselineData!BJ47*BaselineData!BJ22*(1-BaselineData!BJ30)*BaselineData!BJ19</f>
        <v>25022.594723855738</v>
      </c>
      <c r="BK17" s="268">
        <f>BaselineData!BK47*(1-BaselineData!BK35)*BaselineData!BK22*BaselineData!BK30*BaselineData!BK19         +           BaselineData!BK47*BaselineData!BK22*(1-BaselineData!BK30)*BaselineData!BK19</f>
        <v>24942.16613084275</v>
      </c>
      <c r="BL17" s="268">
        <f>BaselineData!BL47*(1-BaselineData!BL35)*BaselineData!BL22*BaselineData!BL30*BaselineData!BL19         +           BaselineData!BL47*BaselineData!BL22*(1-BaselineData!BL30)*BaselineData!BL19</f>
        <v>24850.206952758203</v>
      </c>
      <c r="BM17" s="268">
        <f>BaselineData!BM47*(1-BaselineData!BM35)*BaselineData!BM22*BaselineData!BM30*BaselineData!BM19         +           BaselineData!BM47*BaselineData!BM22*(1-BaselineData!BM30)*BaselineData!BM19</f>
        <v>24751.224609018675</v>
      </c>
      <c r="BN17" s="268">
        <f>BaselineData!BN47*(1-BaselineData!BN35)*BaselineData!BN22*BaselineData!BN30*BaselineData!BN19         +           BaselineData!BN47*BaselineData!BN22*(1-BaselineData!BN30)*BaselineData!BN19</f>
        <v>24645.05874891175</v>
      </c>
      <c r="BO17" s="268">
        <f>BaselineData!BO47*(1-BaselineData!BO35)*BaselineData!BO22*BaselineData!BO30*BaselineData!BO19         +           BaselineData!BO47*BaselineData!BO22*(1-BaselineData!BO30)*BaselineData!BO19</f>
        <v>24530.748245911054</v>
      </c>
      <c r="BP17" s="268">
        <f>BaselineData!BP47*(1-BaselineData!BP35)*BaselineData!BP22*BaselineData!BP30*BaselineData!BP19         +           BaselineData!BP47*BaselineData!BP22*(1-BaselineData!BP30)*BaselineData!BP19</f>
        <v>24406.913497240716</v>
      </c>
      <c r="BQ17" s="268">
        <f>BaselineData!BQ47*(1-BaselineData!BQ35)*BaselineData!BQ22*BaselineData!BQ30*BaselineData!BQ19         +           BaselineData!BQ47*BaselineData!BQ22*(1-BaselineData!BQ30)*BaselineData!BQ19</f>
        <v>24272.587509884892</v>
      </c>
      <c r="BR17" s="268">
        <f>BaselineData!BR47*(1-BaselineData!BR35)*BaselineData!BR22*BaselineData!BR30*BaselineData!BR19         +           BaselineData!BR47*BaselineData!BR22*(1-BaselineData!BR30)*BaselineData!BR19</f>
        <v>24127.457404404686</v>
      </c>
      <c r="BS17" s="268">
        <f>BaselineData!BS47*(1-BaselineData!BS35)*BaselineData!BS22*BaselineData!BS30*BaselineData!BS19         +           BaselineData!BS47*BaselineData!BS22*(1-BaselineData!BS30)*BaselineData!BS19</f>
        <v>23971.93872380488</v>
      </c>
      <c r="BT17" s="268">
        <f>BaselineData!BT47*(1-BaselineData!BT35)*BaselineData!BT22*BaselineData!BT30*BaselineData!BT19         +           BaselineData!BT47*BaselineData!BT22*(1-BaselineData!BT30)*BaselineData!BT19</f>
        <v>23805.841784925651</v>
      </c>
      <c r="BU17" s="268"/>
    </row>
    <row r="18" spans="1:73">
      <c r="A18" s="17"/>
      <c r="E18" s="17" t="s">
        <v>250</v>
      </c>
      <c r="F18" s="268" t="e">
        <f xml:space="preserve"> BaselineData!F19*BaselineData!F22* ((BaselineData!F30*(1-BaselineData!F35)*(1-BaselineData!F47)) + ((1-BaselineData!F30)*(1-BaselineData!F47)))</f>
        <v>#VALUE!</v>
      </c>
      <c r="G18" s="268">
        <f xml:space="preserve"> BaselineData!G19*BaselineData!G22* ((BaselineData!G30*(1-BaselineData!G35)*(1-BaselineData!G47)) + ((1-BaselineData!G30)*(1-BaselineData!G47)))</f>
        <v>22870.463568480791</v>
      </c>
      <c r="H18" s="268">
        <f xml:space="preserve"> BaselineData!H19*BaselineData!H22* ((BaselineData!H30*(1-BaselineData!H35)*(1-BaselineData!H47)) + ((1-BaselineData!H30)*(1-BaselineData!H47)))</f>
        <v>48603.984824883199</v>
      </c>
      <c r="I18" s="268">
        <f xml:space="preserve"> BaselineData!I19*BaselineData!I22* ((BaselineData!I30*(1-BaselineData!I35)*(1-BaselineData!I47)) + ((1-BaselineData!I30)*(1-BaselineData!I47)))</f>
        <v>6623.2020851567986</v>
      </c>
      <c r="J18" s="268">
        <f xml:space="preserve"> BaselineData!J19*BaselineData!J22* ((BaselineData!J30*(1-BaselineData!J35)*(1-BaselineData!J47)) + ((1-BaselineData!J30)*(1-BaselineData!J47)))</f>
        <v>16906.107040084797</v>
      </c>
      <c r="K18" s="268">
        <f xml:space="preserve"> BaselineData!K19*BaselineData!K22* ((BaselineData!K30*(1-BaselineData!K35)*(1-BaselineData!K47)) + ((1-BaselineData!K30)*(1-BaselineData!K47)))</f>
        <v>15363.295029263996</v>
      </c>
      <c r="L18" s="268">
        <f xml:space="preserve"> BaselineData!L19*BaselineData!L22* ((BaselineData!L30*(1-BaselineData!L35)*(1-BaselineData!L47)) + ((1-BaselineData!L30)*(1-BaselineData!L47)))</f>
        <v>6272.3171524049985</v>
      </c>
      <c r="M18" s="268">
        <f xml:space="preserve"> BaselineData!M19*BaselineData!M22* ((BaselineData!M30*(1-BaselineData!M35)*(1-BaselineData!M47)) + ((1-BaselineData!M30)*(1-BaselineData!M47)))</f>
        <v>6477.8900520453126</v>
      </c>
      <c r="N18" s="268" t="e">
        <f xml:space="preserve"> BaselineData!N19*BaselineData!N22* ((BaselineData!N30*(1-BaselineData!N35)*(1-BaselineData!N47)) + ((1-BaselineData!N30)*(1-BaselineData!N47)))</f>
        <v>#VALUE!</v>
      </c>
      <c r="O18" s="268">
        <f xml:space="preserve"> BaselineData!O19*BaselineData!O22* ((BaselineData!O30*(1-BaselineData!O35)*(1-BaselineData!O47)) + ((1-BaselineData!O30)*(1-BaselineData!O47)))</f>
        <v>5134.0902002072826</v>
      </c>
      <c r="P18" s="268">
        <f xml:space="preserve"> BaselineData!P19*BaselineData!P22* ((BaselineData!P30*(1-BaselineData!P35)*(1-BaselineData!P47)) + ((1-BaselineData!P30)*(1-BaselineData!P47)))</f>
        <v>5121.2538785986417</v>
      </c>
      <c r="Q18" s="268">
        <f xml:space="preserve"> BaselineData!Q19*BaselineData!Q22* ((BaselineData!Q30*(1-BaselineData!Q35)*(1-BaselineData!Q47)) + ((1-BaselineData!Q30)*(1-BaselineData!Q47)))</f>
        <v>5104.7929460509358</v>
      </c>
      <c r="R18" s="268">
        <f xml:space="preserve"> BaselineData!R19*BaselineData!R22* ((BaselineData!R30*(1-BaselineData!R35)*(1-BaselineData!R47)) + ((1-BaselineData!R30)*(1-BaselineData!R47)))</f>
        <v>5085.9721042223591</v>
      </c>
      <c r="S18" s="268">
        <f xml:space="preserve"> BaselineData!S19*BaselineData!S22* ((BaselineData!S30*(1-BaselineData!S35)*(1-BaselineData!S47)) + ((1-BaselineData!S30)*(1-BaselineData!S47)))</f>
        <v>5065.7138649237168</v>
      </c>
      <c r="T18" s="268">
        <f xml:space="preserve"> BaselineData!T19*BaselineData!T22* ((BaselineData!T30*(1-BaselineData!T35)*(1-BaselineData!T47)) + ((1-BaselineData!T30)*(1-BaselineData!T47)))</f>
        <v>5043.9854099474223</v>
      </c>
      <c r="U18" s="268">
        <f xml:space="preserve"> BaselineData!U19*BaselineData!U22* ((BaselineData!U30*(1-BaselineData!U35)*(1-BaselineData!U47)) + ((1-BaselineData!U30)*(1-BaselineData!U47)))</f>
        <v>5020.5900301589809</v>
      </c>
      <c r="V18" s="268">
        <f xml:space="preserve"> BaselineData!V19*BaselineData!V22* ((BaselineData!V30*(1-BaselineData!V35)*(1-BaselineData!V47)) + ((1-BaselineData!V30)*(1-BaselineData!V47)))</f>
        <v>4995.2453689065387</v>
      </c>
      <c r="W18" s="268">
        <f xml:space="preserve"> BaselineData!W19*BaselineData!W22* ((BaselineData!W30*(1-BaselineData!W35)*(1-BaselineData!W47)) + ((1-BaselineData!W30)*(1-BaselineData!W47)))</f>
        <v>4967.7535163894709</v>
      </c>
      <c r="X18" s="268">
        <f xml:space="preserve"> BaselineData!X19*BaselineData!X22* ((BaselineData!X30*(1-BaselineData!X35)*(1-BaselineData!X47)) + ((1-BaselineData!X30)*(1-BaselineData!X47)))</f>
        <v>4938.0504370807794</v>
      </c>
      <c r="Y18" s="268">
        <f xml:space="preserve"> BaselineData!Y19*BaselineData!Y22* ((BaselineData!Y30*(1-BaselineData!Y35)*(1-BaselineData!Y47)) + ((1-BaselineData!Y30)*(1-BaselineData!Y47)))</f>
        <v>4906.2211781647566</v>
      </c>
      <c r="Z18" s="268">
        <f xml:space="preserve"> BaselineData!Z19*BaselineData!Z22* ((BaselineData!Z30*(1-BaselineData!Z35)*(1-BaselineData!Z47)) + ((1-BaselineData!Z30)*(1-BaselineData!Z47)))</f>
        <v>4872.2269181031634</v>
      </c>
      <c r="AA18" s="268"/>
      <c r="AB18" s="268"/>
      <c r="AC18" s="268" t="e">
        <f xml:space="preserve"> BaselineData!AC19*BaselineData!AC22* ((BaselineData!AC30*(1-BaselineData!AC35)*(1-BaselineData!AC47)) + ((1-BaselineData!AC30)*(1-BaselineData!AC47)))</f>
        <v>#VALUE!</v>
      </c>
      <c r="AD18" s="268">
        <f xml:space="preserve"> BaselineData!AD19*BaselineData!AD22* ((BaselineData!AD30*(1-BaselineData!AD35)*(1-BaselineData!AD47)) + ((1-BaselineData!AD30)*(1-BaselineData!AD47)))</f>
        <v>14375.794557070396</v>
      </c>
      <c r="AE18" s="268">
        <f xml:space="preserve"> BaselineData!AE19*BaselineData!AE22* ((BaselineData!AE30*(1-BaselineData!AE35)*(1-BaselineData!AE47)) + ((1-BaselineData!AE30)*(1-BaselineData!AE47)))</f>
        <v>39128.107289217834</v>
      </c>
      <c r="AF18" s="268">
        <f xml:space="preserve"> BaselineData!AF19*BaselineData!AF22* ((BaselineData!AF30*(1-BaselineData!AF35)*(1-BaselineData!AF47)) + ((1-BaselineData!AF30)*(1-BaselineData!AF47)))</f>
        <v>0</v>
      </c>
      <c r="AG18" s="268">
        <f xml:space="preserve"> BaselineData!AG19*BaselineData!AG22* ((BaselineData!AG30*(1-BaselineData!AG35)*(1-BaselineData!AG47)) + ((1-BaselineData!AG30)*(1-BaselineData!AG47)))</f>
        <v>9108.7773451253779</v>
      </c>
      <c r="AH18" s="268">
        <f xml:space="preserve"> BaselineData!AH19*BaselineData!AH22* ((BaselineData!AH30*(1-BaselineData!AH35)*(1-BaselineData!AH47)) + ((1-BaselineData!AH30)*(1-BaselineData!AH47)))</f>
        <v>7668.3044685880568</v>
      </c>
      <c r="AI18" s="268">
        <f xml:space="preserve"> BaselineData!AI19*BaselineData!AI22* ((BaselineData!AI30*(1-BaselineData!AI35)*(1-BaselineData!AI47)) + ((1-BaselineData!AI30)*(1-BaselineData!AI47)))</f>
        <v>0</v>
      </c>
      <c r="AJ18" s="268">
        <f xml:space="preserve"> BaselineData!AJ19*BaselineData!AJ22* ((BaselineData!AJ30*(1-BaselineData!AJ35)*(1-BaselineData!AJ47)) + ((1-BaselineData!AJ30)*(1-BaselineData!AJ47)))</f>
        <v>0</v>
      </c>
      <c r="AK18" s="268" t="e">
        <f xml:space="preserve"> BaselineData!AK19*BaselineData!AK22* ((BaselineData!AK30*(1-BaselineData!AK35)*(1-BaselineData!AK47)) + ((1-BaselineData!AK30)*(1-BaselineData!AK47)))</f>
        <v>#VALUE!</v>
      </c>
      <c r="AL18" s="268">
        <f xml:space="preserve"> BaselineData!AL19*BaselineData!AL22* ((BaselineData!AL30*(1-BaselineData!AL35)*(1-BaselineData!AL47)) + ((1-BaselineData!AL30)*(1-BaselineData!AL47)))</f>
        <v>0</v>
      </c>
      <c r="AM18" s="268">
        <f xml:space="preserve"> BaselineData!AM19*BaselineData!AM22* ((BaselineData!AM30*(1-BaselineData!AM35)*(1-BaselineData!AM47)) + ((1-BaselineData!AM30)*(1-BaselineData!AM47)))</f>
        <v>0</v>
      </c>
      <c r="AN18" s="268">
        <f xml:space="preserve"> BaselineData!AN19*BaselineData!AN22* ((BaselineData!AN30*(1-BaselineData!AN35)*(1-BaselineData!AN47)) + ((1-BaselineData!AN30)*(1-BaselineData!AN47)))</f>
        <v>0</v>
      </c>
      <c r="AO18" s="268">
        <f xml:space="preserve"> BaselineData!AO19*BaselineData!AO22* ((BaselineData!AO30*(1-BaselineData!AO35)*(1-BaselineData!AO47)) + ((1-BaselineData!AO30)*(1-BaselineData!AO47)))</f>
        <v>0</v>
      </c>
      <c r="AP18" s="268">
        <f xml:space="preserve"> BaselineData!AP19*BaselineData!AP22* ((BaselineData!AP30*(1-BaselineData!AP35)*(1-BaselineData!AP47)) + ((1-BaselineData!AP30)*(1-BaselineData!AP47)))</f>
        <v>0</v>
      </c>
      <c r="AQ18" s="268">
        <f xml:space="preserve"> BaselineData!AQ19*BaselineData!AQ22* ((BaselineData!AQ30*(1-BaselineData!AQ35)*(1-BaselineData!AQ47)) + ((1-BaselineData!AQ30)*(1-BaselineData!AQ47)))</f>
        <v>0</v>
      </c>
      <c r="AR18" s="268">
        <f xml:space="preserve"> BaselineData!AR19*BaselineData!AR22* ((BaselineData!AR30*(1-BaselineData!AR35)*(1-BaselineData!AR47)) + ((1-BaselineData!AR30)*(1-BaselineData!AR47)))</f>
        <v>0</v>
      </c>
      <c r="AS18" s="268">
        <f xml:space="preserve"> BaselineData!AS19*BaselineData!AS22* ((BaselineData!AS30*(1-BaselineData!AS35)*(1-BaselineData!AS47)) + ((1-BaselineData!AS30)*(1-BaselineData!AS47)))</f>
        <v>0</v>
      </c>
      <c r="AT18" s="268">
        <f xml:space="preserve"> BaselineData!AT19*BaselineData!AT22* ((BaselineData!AT30*(1-BaselineData!AT35)*(1-BaselineData!AT47)) + ((1-BaselineData!AT30)*(1-BaselineData!AT47)))</f>
        <v>0</v>
      </c>
      <c r="AU18" s="268">
        <f xml:space="preserve"> BaselineData!AU19*BaselineData!AU22* ((BaselineData!AU30*(1-BaselineData!AU35)*(1-BaselineData!AU47)) + ((1-BaselineData!AU30)*(1-BaselineData!AU47)))</f>
        <v>0</v>
      </c>
      <c r="AV18" s="268">
        <f xml:space="preserve"> BaselineData!AV19*BaselineData!AV22* ((BaselineData!AV30*(1-BaselineData!AV35)*(1-BaselineData!AV47)) + ((1-BaselineData!AV30)*(1-BaselineData!AV47)))</f>
        <v>0</v>
      </c>
      <c r="AW18" s="268">
        <f xml:space="preserve"> BaselineData!AW19*BaselineData!AW22* ((BaselineData!AW30*(1-BaselineData!AW35)*(1-BaselineData!AW47)) + ((1-BaselineData!AW30)*(1-BaselineData!AW47)))</f>
        <v>0</v>
      </c>
      <c r="AX18" s="268"/>
      <c r="AY18" s="268"/>
      <c r="AZ18" s="268" t="e">
        <f xml:space="preserve"> BaselineData!AZ19*BaselineData!AZ22* ((BaselineData!AZ30*(1-BaselineData!AZ35)*(1-BaselineData!AZ47)) + ((1-BaselineData!AZ30)*(1-BaselineData!AZ47)))</f>
        <v>#VALUE!</v>
      </c>
      <c r="BA18" s="268">
        <f xml:space="preserve"> BaselineData!BA19*BaselineData!BA22* ((BaselineData!BA30*(1-BaselineData!BA35)*(1-BaselineData!BA47)) + ((1-BaselineData!BA30)*(1-BaselineData!BA47)))</f>
        <v>31844.233723528196</v>
      </c>
      <c r="BB18" s="268">
        <f xml:space="preserve"> BaselineData!BB19*BaselineData!BB22* ((BaselineData!BB30*(1-BaselineData!BB35)*(1-BaselineData!BB47)) + ((1-BaselineData!BB30)*(1-BaselineData!BB47)))</f>
        <v>58473.164573777358</v>
      </c>
      <c r="BC18" s="268">
        <f xml:space="preserve"> BaselineData!BC19*BaselineData!BC22* ((BaselineData!BC30*(1-BaselineData!BC35)*(1-BaselineData!BC47)) + ((1-BaselineData!BC30)*(1-BaselineData!BC47)))</f>
        <v>14555.118443753679</v>
      </c>
      <c r="BD18" s="268">
        <f xml:space="preserve"> BaselineData!BD19*BaselineData!BD22* ((BaselineData!BD30*(1-BaselineData!BD35)*(1-BaselineData!BD47)) + ((1-BaselineData!BD30)*(1-BaselineData!BD47)))</f>
        <v>25256.912717089017</v>
      </c>
      <c r="BE18" s="268">
        <f xml:space="preserve"> BaselineData!BE19*BaselineData!BE22* ((BaselineData!BE30*(1-BaselineData!BE35)*(1-BaselineData!BE47)) + ((1-BaselineData!BE30)*(1-BaselineData!BE47)))</f>
        <v>23622.085569192739</v>
      </c>
      <c r="BF18" s="268">
        <f xml:space="preserve"> BaselineData!BF19*BaselineData!BF22* ((BaselineData!BF30*(1-BaselineData!BF35)*(1-BaselineData!BF47)) + ((1-BaselineData!BF30)*(1-BaselineData!BF47)))</f>
        <v>13963.410415230108</v>
      </c>
      <c r="BG18" s="268">
        <f xml:space="preserve"> BaselineData!BG19*BaselineData!BG22* ((BaselineData!BG30*(1-BaselineData!BG35)*(1-BaselineData!BG47)) + ((1-BaselineData!BG30)*(1-BaselineData!BG47)))</f>
        <v>13883.612585936093</v>
      </c>
      <c r="BH18" s="268" t="e">
        <f xml:space="preserve"> BaselineData!BH19*BaselineData!BH22* ((BaselineData!BH30*(1-BaselineData!BH35)*(1-BaselineData!BH47)) + ((1-BaselineData!BH30)*(1-BaselineData!BH47)))</f>
        <v>#VALUE!</v>
      </c>
      <c r="BI18" s="268">
        <f xml:space="preserve"> BaselineData!BI19*BaselineData!BI22* ((BaselineData!BI30*(1-BaselineData!BI35)*(1-BaselineData!BI47)) + ((1-BaselineData!BI30)*(1-BaselineData!BI47)))</f>
        <v>11482.198827906692</v>
      </c>
      <c r="BJ18" s="268">
        <f xml:space="preserve"> BaselineData!BJ19*BaselineData!BJ22* ((BaselineData!BJ30*(1-BaselineData!BJ35)*(1-BaselineData!BJ47)) + ((1-BaselineData!BJ30)*(1-BaselineData!BJ47)))</f>
        <v>11453.490879432507</v>
      </c>
      <c r="BK18" s="268">
        <f xml:space="preserve"> BaselineData!BK19*BaselineData!BK22* ((BaselineData!BK30*(1-BaselineData!BK35)*(1-BaselineData!BK47)) + ((1-BaselineData!BK30)*(1-BaselineData!BK47)))</f>
        <v>11416.676625487788</v>
      </c>
      <c r="BL18" s="268">
        <f xml:space="preserve"> BaselineData!BL19*BaselineData!BL22* ((BaselineData!BL30*(1-BaselineData!BL35)*(1-BaselineData!BL47)) + ((1-BaselineData!BL30)*(1-BaselineData!BL47)))</f>
        <v>11374.584523565703</v>
      </c>
      <c r="BM18" s="268">
        <f xml:space="preserve"> BaselineData!BM19*BaselineData!BM22* ((BaselineData!BM30*(1-BaselineData!BM35)*(1-BaselineData!BM47)) + ((1-BaselineData!BM30)*(1-BaselineData!BM47)))</f>
        <v>11329.277736489596</v>
      </c>
      <c r="BN18" s="268">
        <f xml:space="preserve"> BaselineData!BN19*BaselineData!BN22* ((BaselineData!BN30*(1-BaselineData!BN35)*(1-BaselineData!BN47)) + ((1-BaselineData!BN30)*(1-BaselineData!BN47)))</f>
        <v>11280.682867577678</v>
      </c>
      <c r="BO18" s="268">
        <f xml:space="preserve"> BaselineData!BO19*BaselineData!BO22* ((BaselineData!BO30*(1-BaselineData!BO35)*(1-BaselineData!BO47)) + ((1-BaselineData!BO30)*(1-BaselineData!BO47)))</f>
        <v>11228.359984279985</v>
      </c>
      <c r="BP18" s="268">
        <f xml:space="preserve"> BaselineData!BP19*BaselineData!BP22* ((BaselineData!BP30*(1-BaselineData!BP35)*(1-BaselineData!BP47)) + ((1-BaselineData!BP30)*(1-BaselineData!BP47)))</f>
        <v>11171.677606608722</v>
      </c>
      <c r="BQ18" s="268">
        <f xml:space="preserve"> BaselineData!BQ19*BaselineData!BQ22* ((BaselineData!BQ30*(1-BaselineData!BQ35)*(1-BaselineData!BQ47)) + ((1-BaselineData!BQ30)*(1-BaselineData!BQ47)))</f>
        <v>11110.193116769467</v>
      </c>
      <c r="BR18" s="268">
        <f xml:space="preserve"> BaselineData!BR19*BaselineData!BR22* ((BaselineData!BR30*(1-BaselineData!BR35)*(1-BaselineData!BR47)) + ((1-BaselineData!BR30)*(1-BaselineData!BR47)))</f>
        <v>11043.763301724592</v>
      </c>
      <c r="BS18" s="268">
        <f xml:space="preserve"> BaselineData!BS19*BaselineData!BS22* ((BaselineData!BS30*(1-BaselineData!BS35)*(1-BaselineData!BS47)) + ((1-BaselineData!BS30)*(1-BaselineData!BS47)))</f>
        <v>10972.578366289697</v>
      </c>
      <c r="BT18" s="268">
        <f xml:space="preserve"> BaselineData!BT19*BaselineData!BT22* ((BaselineData!BT30*(1-BaselineData!BT35)*(1-BaselineData!BT47)) + ((1-BaselineData!BT30)*(1-BaselineData!BT47)))</f>
        <v>10896.551487560719</v>
      </c>
      <c r="BU18" s="268"/>
    </row>
    <row r="19" spans="1:73">
      <c r="A19" s="17"/>
      <c r="E19" s="17" t="s">
        <v>243</v>
      </c>
      <c r="F19" s="268">
        <f>(1-BaselineData!F22)*BaselineData!F19</f>
        <v>26473093.737500001</v>
      </c>
      <c r="G19" s="268">
        <f>(1-BaselineData!G22)*BaselineData!G19</f>
        <v>26253388.739500001</v>
      </c>
      <c r="H19" s="268">
        <f>(1-BaselineData!H22)*BaselineData!H19</f>
        <v>25960468.809599999</v>
      </c>
      <c r="I19" s="268">
        <f>(1-BaselineData!I22)*BaselineData!I19</f>
        <v>25946902.751600001</v>
      </c>
      <c r="J19" s="268">
        <f>(1-BaselineData!J22)*BaselineData!J19</f>
        <v>25800982.937400002</v>
      </c>
      <c r="K19" s="268">
        <f>(1-BaselineData!K22)*BaselineData!K19</f>
        <v>25739507.284600001</v>
      </c>
      <c r="L19" s="268">
        <f>(1-BaselineData!L22)*BaselineData!L19</f>
        <v>25734644.955699999</v>
      </c>
      <c r="M19" s="268">
        <f>(1-BaselineData!M22)*BaselineData!M19</f>
        <v>25707102.164999999</v>
      </c>
      <c r="N19" s="268" t="e">
        <f>(1-BaselineData!N22)*BaselineData!N19</f>
        <v>#VALUE!</v>
      </c>
      <c r="O19" s="268">
        <f>(1-BaselineData!O22)*BaselineData!O19</f>
        <v>25631491.531015653</v>
      </c>
      <c r="P19" s="268">
        <f>(1-BaselineData!P22)*BaselineData!P19</f>
        <v>25567407.329965197</v>
      </c>
      <c r="Q19" s="268">
        <f>(1-BaselineData!Q22)*BaselineData!Q19</f>
        <v>25485227.579174664</v>
      </c>
      <c r="R19" s="268">
        <f>(1-BaselineData!R22)*BaselineData!R19</f>
        <v>25391266.189887766</v>
      </c>
      <c r="S19" s="268">
        <f>(1-BaselineData!S22)*BaselineData!S19</f>
        <v>25290128.720780682</v>
      </c>
      <c r="T19" s="268">
        <f>(1-BaselineData!T22)*BaselineData!T19</f>
        <v>25181651.329852786</v>
      </c>
      <c r="U19" s="268">
        <f>(1-BaselineData!U22)*BaselineData!U19</f>
        <v>25064851.964136906</v>
      </c>
      <c r="V19" s="268">
        <f>(1-BaselineData!V22)*BaselineData!V19</f>
        <v>24938320.98300568</v>
      </c>
      <c r="W19" s="268">
        <f>(1-BaselineData!W22)*BaselineData!W19</f>
        <v>24801070.339272402</v>
      </c>
      <c r="X19" s="268">
        <f>(1-BaselineData!X22)*BaselineData!X19</f>
        <v>24652780.34122853</v>
      </c>
      <c r="Y19" s="268">
        <f>(1-BaselineData!Y22)*BaselineData!Y19</f>
        <v>24493875.579424463</v>
      </c>
      <c r="Z19" s="268">
        <f>(1-BaselineData!Z22)*BaselineData!Z19</f>
        <v>24324162.240761906</v>
      </c>
      <c r="AA19" s="268"/>
      <c r="AB19" s="268"/>
      <c r="AC19" s="268">
        <f>(1-BaselineData!AC22)*BaselineData!AC19</f>
        <v>26499659.8125</v>
      </c>
      <c r="AD19" s="268">
        <f>(1-BaselineData!AD22)*BaselineData!AD19</f>
        <v>26279718.484499998</v>
      </c>
      <c r="AE19" s="268">
        <f>(1-BaselineData!AE22)*BaselineData!AE19</f>
        <v>25986596.4956</v>
      </c>
      <c r="AF19" s="268">
        <f>(1-BaselineData!AF22)*BaselineData!AF19</f>
        <v>25970276</v>
      </c>
      <c r="AG19" s="268">
        <f>(1-BaselineData!AG22)*BaselineData!AG19</f>
        <v>25826843.3994</v>
      </c>
      <c r="AH19" s="268">
        <f>(1-BaselineData!AH22)*BaselineData!AH19</f>
        <v>25765300.9586</v>
      </c>
      <c r="AI19" s="268">
        <f>(1-BaselineData!AI22)*BaselineData!AI19</f>
        <v>25757827</v>
      </c>
      <c r="AJ19" s="268">
        <f>(1-BaselineData!AJ22)*BaselineData!AJ19</f>
        <v>25732835</v>
      </c>
      <c r="AK19" s="268" t="e">
        <f>(1-BaselineData!AK22)*BaselineData!AK19</f>
        <v>#VALUE!</v>
      </c>
      <c r="AL19" s="268">
        <f>(1-BaselineData!AL22)*BaselineData!AL19</f>
        <v>25656209</v>
      </c>
      <c r="AM19" s="268">
        <f>(1-BaselineData!AM22)*BaselineData!AM19</f>
        <v>25592063</v>
      </c>
      <c r="AN19" s="268">
        <f>(1-BaselineData!AN22)*BaselineData!AN19</f>
        <v>25509804</v>
      </c>
      <c r="AO19" s="268">
        <f>(1-BaselineData!AO22)*BaselineData!AO19</f>
        <v>25415752</v>
      </c>
      <c r="AP19" s="268">
        <f>(1-BaselineData!AP22)*BaselineData!AP19</f>
        <v>25314517</v>
      </c>
      <c r="AQ19" s="268">
        <f>(1-BaselineData!AQ22)*BaselineData!AQ19</f>
        <v>25205935</v>
      </c>
      <c r="AR19" s="268">
        <f>(1-BaselineData!AR22)*BaselineData!AR19</f>
        <v>25089023</v>
      </c>
      <c r="AS19" s="268">
        <f>(1-BaselineData!AS22)*BaselineData!AS19</f>
        <v>24962370</v>
      </c>
      <c r="AT19" s="268">
        <f>(1-BaselineData!AT22)*BaselineData!AT19</f>
        <v>24824987</v>
      </c>
      <c r="AU19" s="268">
        <f>(1-BaselineData!AU22)*BaselineData!AU19</f>
        <v>24676554</v>
      </c>
      <c r="AV19" s="268">
        <f>(1-BaselineData!AV22)*BaselineData!AV19</f>
        <v>24517496</v>
      </c>
      <c r="AW19" s="268">
        <f>(1-BaselineData!AW22)*BaselineData!AW19</f>
        <v>24347619</v>
      </c>
      <c r="AX19" s="268"/>
      <c r="AY19" s="268"/>
      <c r="AZ19" s="268">
        <f>(1-BaselineData!AZ22)*BaselineData!AZ19</f>
        <v>26446527.662500001</v>
      </c>
      <c r="BA19" s="268">
        <f>(1-BaselineData!BA22)*BaselineData!BA19</f>
        <v>26227058.9945</v>
      </c>
      <c r="BB19" s="268">
        <f>(1-BaselineData!BB22)*BaselineData!BB19</f>
        <v>25934341.123600002</v>
      </c>
      <c r="BC19" s="268">
        <f>(1-BaselineData!BC22)*BaselineData!BC19</f>
        <v>25920932.4756</v>
      </c>
      <c r="BD19" s="268">
        <f>(1-BaselineData!BD22)*BaselineData!BD19</f>
        <v>25775122.475400001</v>
      </c>
      <c r="BE19" s="268">
        <f>(1-BaselineData!BE22)*BaselineData!BE19</f>
        <v>25713713.610599998</v>
      </c>
      <c r="BF19" s="268">
        <f>(1-BaselineData!BF22)*BaselineData!BF19</f>
        <v>25708887.128699999</v>
      </c>
      <c r="BG19" s="268">
        <f>(1-BaselineData!BG22)*BaselineData!BG19</f>
        <v>25681369.329999998</v>
      </c>
      <c r="BH19" s="268" t="e">
        <f>(1-BaselineData!BH22)*BaselineData!BH19</f>
        <v>#VALUE!</v>
      </c>
      <c r="BI19" s="268">
        <f>(1-BaselineData!BI22)*BaselineData!BI19</f>
        <v>25605835.322015654</v>
      </c>
      <c r="BJ19" s="268">
        <f>(1-BaselineData!BJ22)*BaselineData!BJ19</f>
        <v>25541815.266965196</v>
      </c>
      <c r="BK19" s="268">
        <f>(1-BaselineData!BK22)*BaselineData!BK19</f>
        <v>25459717.775174666</v>
      </c>
      <c r="BL19" s="268">
        <f>(1-BaselineData!BL22)*BaselineData!BL19</f>
        <v>25365850.437887765</v>
      </c>
      <c r="BM19" s="268">
        <f>(1-BaselineData!BM22)*BaselineData!BM19</f>
        <v>25264814.203780681</v>
      </c>
      <c r="BN19" s="268">
        <f>(1-BaselineData!BN22)*BaselineData!BN19</f>
        <v>25156445.394852787</v>
      </c>
      <c r="BO19" s="268">
        <f>(1-BaselineData!BO22)*BaselineData!BO19</f>
        <v>25039762.941136904</v>
      </c>
      <c r="BP19" s="268">
        <f>(1-BaselineData!BP22)*BaselineData!BP19</f>
        <v>24913358.613005683</v>
      </c>
      <c r="BQ19" s="268">
        <f>(1-BaselineData!BQ22)*BaselineData!BQ19</f>
        <v>24776245.352272402</v>
      </c>
      <c r="BR19" s="268">
        <f>(1-BaselineData!BR22)*BaselineData!BR19</f>
        <v>24628103.787228528</v>
      </c>
      <c r="BS19" s="268">
        <f>(1-BaselineData!BS22)*BaselineData!BS19</f>
        <v>24469358.083424464</v>
      </c>
      <c r="BT19" s="268">
        <f>(1-BaselineData!BT22)*BaselineData!BT19</f>
        <v>24299814.621761907</v>
      </c>
      <c r="BU19" s="268"/>
    </row>
    <row r="20" spans="1:73">
      <c r="A20" s="17"/>
      <c r="F20" s="268"/>
      <c r="G20" s="268"/>
      <c r="H20" s="268"/>
      <c r="I20" s="268"/>
      <c r="J20" s="268"/>
      <c r="K20" s="268"/>
      <c r="L20" s="268"/>
      <c r="M20" s="268"/>
      <c r="N20" s="268"/>
      <c r="O20" s="268"/>
      <c r="P20" s="268"/>
      <c r="Q20" s="268"/>
      <c r="R20" s="268"/>
      <c r="S20" s="268"/>
      <c r="T20" s="268"/>
      <c r="U20" s="268"/>
      <c r="V20" s="268"/>
      <c r="W20" s="268"/>
      <c r="X20" s="268"/>
      <c r="Y20" s="268"/>
      <c r="Z20" s="268"/>
      <c r="AA20" s="268"/>
      <c r="AB20" s="268"/>
      <c r="AC20" s="268"/>
      <c r="AD20" s="268"/>
      <c r="AE20" s="268"/>
      <c r="AF20" s="268"/>
      <c r="AG20" s="268"/>
      <c r="AH20" s="268"/>
      <c r="AI20" s="268"/>
      <c r="AJ20" s="268"/>
      <c r="AK20" s="268"/>
      <c r="AL20" s="268"/>
      <c r="AM20" s="268"/>
      <c r="AN20" s="268"/>
      <c r="AO20" s="268"/>
      <c r="AP20" s="268"/>
      <c r="AQ20" s="268"/>
      <c r="AR20" s="268"/>
      <c r="AS20" s="268"/>
      <c r="AT20" s="268"/>
      <c r="AU20" s="268"/>
      <c r="AV20" s="268"/>
      <c r="AW20" s="268"/>
      <c r="AX20" s="268"/>
      <c r="AY20" s="268"/>
      <c r="AZ20" s="268"/>
      <c r="BA20" s="268"/>
      <c r="BB20" s="268"/>
      <c r="BC20" s="268"/>
      <c r="BD20" s="268"/>
      <c r="BE20" s="268"/>
      <c r="BF20" s="268"/>
      <c r="BG20" s="268"/>
      <c r="BH20" s="268"/>
      <c r="BI20" s="268"/>
      <c r="BJ20" s="268"/>
      <c r="BK20" s="268"/>
      <c r="BL20" s="268"/>
      <c r="BM20" s="268"/>
      <c r="BN20" s="268"/>
      <c r="BO20" s="268"/>
      <c r="BP20" s="268"/>
      <c r="BQ20" s="268"/>
      <c r="BR20" s="268"/>
      <c r="BS20" s="268"/>
      <c r="BT20" s="268"/>
    </row>
    <row r="21" spans="1:73">
      <c r="A21" s="17"/>
      <c r="E21" s="86" t="s">
        <v>110</v>
      </c>
      <c r="F21" s="268" t="e">
        <f>IF(SUM(F13:F19)=BaselineData!F19, "Correct","Wrong")</f>
        <v>#VALUE!</v>
      </c>
      <c r="G21" s="268" t="str">
        <f>IF(SUM(G13:G19)=BaselineData!G19, "Correct","Wrong")</f>
        <v>Correct</v>
      </c>
      <c r="H21" s="268" t="str">
        <f>IF(SUM(H13:H19)=BaselineData!H19, "Correct","Wrong")</f>
        <v>Correct</v>
      </c>
      <c r="I21" s="268" t="str">
        <f>IF(SUM(I13:I19)=BaselineData!I19, "Correct","Wrong")</f>
        <v>Correct</v>
      </c>
      <c r="J21" s="268" t="str">
        <f>IF(SUM(J13:J19)=BaselineData!J19, "Correct","Wrong")</f>
        <v>Correct</v>
      </c>
      <c r="K21" s="268" t="str">
        <f>IF(SUM(K13:K19)=BaselineData!K19, "Correct","Wrong")</f>
        <v>Correct</v>
      </c>
      <c r="L21" s="268" t="str">
        <f>IF(SUM(L13:L19)=BaselineData!L19, "Correct","Wrong")</f>
        <v>Correct</v>
      </c>
      <c r="M21" s="268" t="str">
        <f>IF(SUM(M13:M19)=BaselineData!M19, "Correct","Wrong")</f>
        <v>Correct</v>
      </c>
      <c r="N21" s="268" t="e">
        <f>IF(SUM(N13:N19)=BaselineData!N19, "Correct","Wrong")</f>
        <v>#VALUE!</v>
      </c>
      <c r="O21" s="268" t="str">
        <f>IF(SUM(O13:O19)=BaselineData!O19, "Correct","Wrong")</f>
        <v>Correct</v>
      </c>
      <c r="P21" s="268" t="str">
        <f>IF(SUM(P13:P19)=BaselineData!P19, "Correct","Wrong")</f>
        <v>Correct</v>
      </c>
      <c r="Q21" s="268" t="str">
        <f>IF(SUM(Q13:Q19)=BaselineData!Q19, "Correct","Wrong")</f>
        <v>Correct</v>
      </c>
      <c r="R21" s="268" t="str">
        <f>IF(SUM(R13:R19)=BaselineData!R19, "Correct","Wrong")</f>
        <v>Correct</v>
      </c>
      <c r="S21" s="268" t="str">
        <f>IF(SUM(S13:S19)=BaselineData!S19, "Correct","Wrong")</f>
        <v>Correct</v>
      </c>
      <c r="T21" s="268" t="str">
        <f>IF(SUM(T13:T19)=BaselineData!T19, "Correct","Wrong")</f>
        <v>Correct</v>
      </c>
      <c r="U21" s="268" t="str">
        <f>IF(SUM(U13:U19)=BaselineData!U19, "Correct","Wrong")</f>
        <v>Correct</v>
      </c>
      <c r="V21" s="268" t="str">
        <f>IF(SUM(V13:V19)=BaselineData!V19, "Correct","Wrong")</f>
        <v>Correct</v>
      </c>
      <c r="W21" s="268" t="str">
        <f>IF(SUM(W13:W19)=BaselineData!W19, "Correct","Wrong")</f>
        <v>Correct</v>
      </c>
      <c r="X21" s="268" t="str">
        <f>IF(SUM(X13:X19)=BaselineData!X19, "Correct","Wrong")</f>
        <v>Correct</v>
      </c>
      <c r="Y21" s="268" t="str">
        <f>IF(SUM(Y13:Y19)=BaselineData!Y19, "Correct","Wrong")</f>
        <v>Correct</v>
      </c>
      <c r="Z21" s="268" t="str">
        <f>IF(SUM(Z13:Z19)=BaselineData!Z19, "Correct","Wrong")</f>
        <v>Correct</v>
      </c>
      <c r="AA21" s="268"/>
      <c r="AB21" s="268"/>
      <c r="AC21" s="268" t="e">
        <f>IF(SUM(AC13:AC19)=BaselineData!AC19, "Correct","Wrong")</f>
        <v>#VALUE!</v>
      </c>
      <c r="AD21" s="268" t="str">
        <f>IF(SUM(AD13:AD19)=BaselineData!AD19, "Correct","Wrong")</f>
        <v>Correct</v>
      </c>
      <c r="AE21" s="268" t="str">
        <f>IF(SUM(AE13:AE19)=BaselineData!AE19, "Correct","Wrong")</f>
        <v>Correct</v>
      </c>
      <c r="AF21" s="268" t="str">
        <f>IF(SUM(AF13:AF19)=BaselineData!AF19, "Correct","Wrong")</f>
        <v>Correct</v>
      </c>
      <c r="AG21" s="268" t="str">
        <f>IF(SUM(AG13:AG19)=BaselineData!AG19, "Correct","Wrong")</f>
        <v>Correct</v>
      </c>
      <c r="AH21" s="268" t="str">
        <f>IF(SUM(AH13:AH19)=BaselineData!AH19, "Correct","Wrong")</f>
        <v>Correct</v>
      </c>
      <c r="AI21" s="268" t="str">
        <f>IF(SUM(AI13:AI19)=BaselineData!AI19, "Correct","Wrong")</f>
        <v>Correct</v>
      </c>
      <c r="AJ21" s="268" t="str">
        <f>IF(SUM(AJ13:AJ19)=BaselineData!AJ19, "Correct","Wrong")</f>
        <v>Correct</v>
      </c>
      <c r="AK21" s="268" t="e">
        <f>IF(SUM(AK13:AK19)=BaselineData!AK19, "Correct","Wrong")</f>
        <v>#VALUE!</v>
      </c>
      <c r="AL21" s="268" t="str">
        <f>IF(SUM(AL13:AL19)=BaselineData!AL19, "Correct","Wrong")</f>
        <v>Correct</v>
      </c>
      <c r="AM21" s="268" t="str">
        <f>IF(SUM(AM13:AM19)=BaselineData!AM19, "Correct","Wrong")</f>
        <v>Correct</v>
      </c>
      <c r="AN21" s="268" t="str">
        <f>IF(SUM(AN13:AN19)=BaselineData!AN19, "Correct","Wrong")</f>
        <v>Correct</v>
      </c>
      <c r="AO21" s="268" t="str">
        <f>IF(SUM(AO13:AO19)=BaselineData!AO19, "Correct","Wrong")</f>
        <v>Correct</v>
      </c>
      <c r="AP21" s="268" t="str">
        <f>IF(SUM(AP13:AP19)=BaselineData!AP19, "Correct","Wrong")</f>
        <v>Correct</v>
      </c>
      <c r="AQ21" s="268" t="str">
        <f>IF(SUM(AQ13:AQ19)=BaselineData!AQ19, "Correct","Wrong")</f>
        <v>Correct</v>
      </c>
      <c r="AR21" s="268" t="str">
        <f>IF(SUM(AR13:AR19)=BaselineData!AR19, "Correct","Wrong")</f>
        <v>Correct</v>
      </c>
      <c r="AS21" s="268" t="str">
        <f>IF(SUM(AS13:AS19)=BaselineData!AS19, "Correct","Wrong")</f>
        <v>Correct</v>
      </c>
      <c r="AT21" s="268" t="str">
        <f>IF(SUM(AT13:AT19)=BaselineData!AT19, "Correct","Wrong")</f>
        <v>Correct</v>
      </c>
      <c r="AU21" s="268" t="str">
        <f>IF(SUM(AU13:AU19)=BaselineData!AU19, "Correct","Wrong")</f>
        <v>Correct</v>
      </c>
      <c r="AV21" s="268" t="str">
        <f>IF(SUM(AV13:AV19)=BaselineData!AV19, "Correct","Wrong")</f>
        <v>Correct</v>
      </c>
      <c r="AW21" s="268" t="str">
        <f>IF(SUM(AW13:AW19)=BaselineData!AW19, "Correct","Wrong")</f>
        <v>Correct</v>
      </c>
      <c r="AX21" s="268"/>
      <c r="AY21" s="268"/>
      <c r="AZ21" s="268" t="e">
        <f>IF(SUM(AZ13:AZ19)=BaselineData!AZ19, "Correct","Wrong")</f>
        <v>#VALUE!</v>
      </c>
      <c r="BA21" s="268" t="str">
        <f>IF(SUM(BA13:BA19)=BaselineData!BA19, "Correct","Wrong")</f>
        <v>Correct</v>
      </c>
      <c r="BB21" s="268" t="str">
        <f>IF(SUM(BB13:BB19)=BaselineData!BB19, "Correct","Wrong")</f>
        <v>Correct</v>
      </c>
      <c r="BC21" s="268" t="str">
        <f>IF(SUM(BC13:BC19)=BaselineData!BC19, "Correct","Wrong")</f>
        <v>Correct</v>
      </c>
      <c r="BD21" s="268" t="str">
        <f>IF(SUM(BD13:BD19)=BaselineData!BD19, "Correct","Wrong")</f>
        <v>Correct</v>
      </c>
      <c r="BE21" s="268" t="str">
        <f>IF(SUM(BE13:BE19)=BaselineData!BE19, "Correct","Wrong")</f>
        <v>Correct</v>
      </c>
      <c r="BF21" s="268" t="str">
        <f>IF(SUM(BF13:BF19)=BaselineData!BF19, "Correct","Wrong")</f>
        <v>Correct</v>
      </c>
      <c r="BG21" s="268" t="str">
        <f>IF(SUM(BG13:BG19)=BaselineData!BG19, "Correct","Wrong")</f>
        <v>Correct</v>
      </c>
      <c r="BH21" s="268" t="e">
        <f>IF(SUM(BH13:BH19)=BaselineData!BH19, "Correct","Wrong")</f>
        <v>#VALUE!</v>
      </c>
      <c r="BI21" s="268" t="str">
        <f>IF(SUM(BI13:BI19)=BaselineData!BI19, "Correct","Wrong")</f>
        <v>Correct</v>
      </c>
      <c r="BJ21" s="268" t="str">
        <f>IF(SUM(BJ13:BJ19)=BaselineData!BJ19, "Correct","Wrong")</f>
        <v>Correct</v>
      </c>
      <c r="BK21" s="268" t="str">
        <f>IF(SUM(BK13:BK19)=BaselineData!BK19, "Correct","Wrong")</f>
        <v>Correct</v>
      </c>
      <c r="BL21" s="268" t="str">
        <f>IF(SUM(BL13:BL19)=BaselineData!BL19, "Correct","Wrong")</f>
        <v>Correct</v>
      </c>
      <c r="BM21" s="268" t="str">
        <f>IF(SUM(BM13:BM19)=BaselineData!BM19, "Correct","Wrong")</f>
        <v>Correct</v>
      </c>
      <c r="BN21" s="268" t="str">
        <f>IF(SUM(BN13:BN19)=BaselineData!BN19, "Correct","Wrong")</f>
        <v>Correct</v>
      </c>
      <c r="BO21" s="268" t="str">
        <f>IF(SUM(BO13:BO19)=BaselineData!BO19, "Correct","Wrong")</f>
        <v>Correct</v>
      </c>
      <c r="BP21" s="268" t="str">
        <f>IF(SUM(BP13:BP19)=BaselineData!BP19, "Correct","Wrong")</f>
        <v>Correct</v>
      </c>
      <c r="BQ21" s="268" t="str">
        <f>IF(SUM(BQ13:BQ19)=BaselineData!BQ19, "Correct","Wrong")</f>
        <v>Correct</v>
      </c>
      <c r="BR21" s="268" t="str">
        <f>IF(SUM(BR13:BR19)=BaselineData!BR19, "Correct","Wrong")</f>
        <v>Correct</v>
      </c>
      <c r="BS21" s="268" t="str">
        <f>IF(SUM(BS13:BS19)=BaselineData!BS19, "Correct","Wrong")</f>
        <v>Correct</v>
      </c>
      <c r="BT21" s="268" t="str">
        <f>IF(SUM(BT13:BT19)=BaselineData!BT19, "Correct","Wrong")</f>
        <v>Correct</v>
      </c>
    </row>
    <row r="22" spans="1:73">
      <c r="A22" s="17"/>
      <c r="G22" s="17"/>
      <c r="H22" s="17"/>
      <c r="I22" s="17"/>
      <c r="J22" s="17"/>
      <c r="K22" s="17"/>
      <c r="L22" s="17"/>
      <c r="M22" s="17"/>
      <c r="N22" s="17"/>
      <c r="AX22" s="17"/>
      <c r="AY22" s="17"/>
    </row>
    <row r="23" spans="1:73">
      <c r="A23" s="17"/>
      <c r="E23" s="176" t="s">
        <v>218</v>
      </c>
      <c r="F23" s="176"/>
      <c r="G23" s="176"/>
      <c r="H23" s="176"/>
      <c r="I23" s="176"/>
      <c r="J23" s="176"/>
      <c r="K23" s="176"/>
      <c r="L23" s="176"/>
      <c r="M23" s="176"/>
      <c r="N23" s="176"/>
      <c r="O23" s="176"/>
      <c r="P23" s="176"/>
      <c r="Q23" s="176"/>
      <c r="R23" s="176"/>
      <c r="S23" s="176"/>
      <c r="T23" s="176"/>
      <c r="U23" s="176"/>
      <c r="V23" s="176"/>
      <c r="W23" s="176"/>
      <c r="X23" s="176"/>
      <c r="Y23" s="176"/>
      <c r="Z23" s="176"/>
      <c r="AA23" s="176"/>
      <c r="AB23" s="176"/>
      <c r="AC23" s="176"/>
      <c r="AD23" s="176"/>
      <c r="AE23" s="176"/>
      <c r="AF23" s="176"/>
      <c r="AG23" s="176"/>
      <c r="AH23" s="176"/>
      <c r="AI23" s="176"/>
      <c r="AJ23" s="176"/>
      <c r="AK23" s="176"/>
      <c r="AL23" s="176"/>
      <c r="AM23" s="176"/>
      <c r="AN23" s="176"/>
      <c r="AO23" s="176"/>
      <c r="AP23" s="176"/>
      <c r="AQ23" s="176"/>
      <c r="AR23" s="176"/>
      <c r="AS23" s="176"/>
      <c r="AT23" s="176"/>
      <c r="AU23" s="176"/>
      <c r="AV23" s="176"/>
      <c r="AW23" s="176"/>
      <c r="AX23" s="176"/>
      <c r="AY23" s="176"/>
      <c r="AZ23" s="176"/>
      <c r="BA23" s="176"/>
      <c r="BB23" s="176"/>
      <c r="BC23" s="176"/>
      <c r="BD23" s="176"/>
      <c r="BE23" s="176"/>
      <c r="BF23" s="176"/>
      <c r="BG23" s="176"/>
      <c r="BH23" s="176"/>
      <c r="BI23" s="176"/>
      <c r="BJ23" s="176"/>
      <c r="BK23" s="176"/>
      <c r="BL23" s="176"/>
      <c r="BM23" s="176"/>
      <c r="BN23" s="176"/>
      <c r="BO23" s="176"/>
      <c r="BP23" s="176"/>
      <c r="BQ23" s="176"/>
      <c r="BR23" s="176"/>
      <c r="BS23" s="176"/>
      <c r="BT23" s="176"/>
    </row>
    <row r="24" spans="1:73" s="64" customFormat="1">
      <c r="E24" s="320"/>
      <c r="F24" s="320"/>
      <c r="G24" s="320"/>
      <c r="H24" s="320"/>
      <c r="I24" s="320"/>
      <c r="J24" s="320"/>
      <c r="K24" s="320"/>
      <c r="L24" s="320"/>
      <c r="M24" s="320"/>
      <c r="N24" s="320"/>
      <c r="O24" s="320"/>
      <c r="P24" s="320"/>
      <c r="Q24" s="320"/>
      <c r="R24" s="320"/>
      <c r="S24" s="320"/>
      <c r="T24" s="320"/>
      <c r="U24" s="320"/>
      <c r="V24" s="320"/>
      <c r="W24" s="320"/>
      <c r="X24" s="320"/>
      <c r="Y24" s="320"/>
      <c r="Z24" s="320"/>
      <c r="AA24" s="320"/>
      <c r="AB24" s="320"/>
      <c r="AC24" s="320"/>
      <c r="AD24" s="320"/>
      <c r="AE24" s="320"/>
      <c r="AF24" s="320"/>
      <c r="AG24" s="320"/>
      <c r="AH24" s="320"/>
      <c r="AI24" s="320"/>
      <c r="AJ24" s="320"/>
      <c r="AK24" s="320"/>
      <c r="AL24" s="320"/>
      <c r="AM24" s="320"/>
      <c r="AN24" s="320"/>
      <c r="AO24" s="320"/>
      <c r="AP24" s="320"/>
      <c r="AQ24" s="320"/>
      <c r="AR24" s="320"/>
      <c r="AS24" s="320"/>
      <c r="AT24" s="320"/>
      <c r="AU24" s="320"/>
      <c r="AV24" s="320"/>
      <c r="AW24" s="320"/>
      <c r="AX24" s="320"/>
      <c r="AY24" s="320"/>
      <c r="AZ24" s="320"/>
      <c r="BA24" s="320"/>
      <c r="BB24" s="320"/>
      <c r="BC24" s="320"/>
      <c r="BD24" s="320"/>
      <c r="BE24" s="320"/>
      <c r="BF24" s="320"/>
      <c r="BG24" s="320"/>
      <c r="BH24" s="320"/>
      <c r="BI24" s="320"/>
      <c r="BJ24" s="320"/>
      <c r="BK24" s="320"/>
      <c r="BL24" s="320"/>
      <c r="BM24" s="320"/>
      <c r="BN24" s="320"/>
      <c r="BO24" s="320"/>
      <c r="BP24" s="320"/>
      <c r="BQ24" s="320"/>
      <c r="BR24" s="320"/>
      <c r="BS24" s="320"/>
      <c r="BT24" s="320"/>
    </row>
    <row r="25" spans="1:73" s="64" customFormat="1">
      <c r="E25" s="64" t="s">
        <v>219</v>
      </c>
      <c r="F25" s="366" t="e">
        <f>F13</f>
        <v>#VALUE!</v>
      </c>
      <c r="G25" s="366">
        <f t="shared" ref="G25:AI25" si="0">G13</f>
        <v>2149.3384605099118</v>
      </c>
      <c r="H25" s="366">
        <f t="shared" si="0"/>
        <v>7894.3508035474451</v>
      </c>
      <c r="I25" s="366">
        <f t="shared" si="0"/>
        <v>1448.4957003463967</v>
      </c>
      <c r="J25" s="366">
        <f t="shared" si="0"/>
        <v>808.33650094132315</v>
      </c>
      <c r="K25" s="366">
        <f t="shared" si="0"/>
        <v>851.771036386368</v>
      </c>
      <c r="L25" s="366">
        <f t="shared" si="0"/>
        <v>1643.1514056496351</v>
      </c>
      <c r="M25" s="366">
        <f t="shared" si="0"/>
        <v>1666.1864807871693</v>
      </c>
      <c r="N25" s="366" t="e">
        <f t="shared" si="0"/>
        <v>#VALUE!</v>
      </c>
      <c r="O25" s="366">
        <f t="shared" si="0"/>
        <v>4013.9040822383658</v>
      </c>
      <c r="P25" s="366">
        <f t="shared" si="0"/>
        <v>4003.8684650799892</v>
      </c>
      <c r="Q25" s="366">
        <f t="shared" si="0"/>
        <v>3990.9990760014693</v>
      </c>
      <c r="R25" s="366">
        <f t="shared" si="0"/>
        <v>3976.2846765848335</v>
      </c>
      <c r="S25" s="366">
        <f t="shared" si="0"/>
        <v>3960.4464995663425</v>
      </c>
      <c r="T25" s="366">
        <f t="shared" si="0"/>
        <v>3943.4588872087411</v>
      </c>
      <c r="U25" s="366">
        <f t="shared" si="0"/>
        <v>3925.1680495381152</v>
      </c>
      <c r="V25" s="366">
        <f t="shared" si="0"/>
        <v>3905.3532361442994</v>
      </c>
      <c r="W25" s="366">
        <f t="shared" si="0"/>
        <v>3883.8597183556753</v>
      </c>
      <c r="X25" s="366">
        <f t="shared" si="0"/>
        <v>3860.6374322946722</v>
      </c>
      <c r="Y25" s="366">
        <f t="shared" si="0"/>
        <v>3835.7528690486888</v>
      </c>
      <c r="Z25" s="366">
        <f t="shared" si="0"/>
        <v>3809.1756773919478</v>
      </c>
      <c r="AA25" s="366"/>
      <c r="AB25" s="366"/>
      <c r="AC25" s="366" t="e">
        <f t="shared" si="0"/>
        <v>#VALUE!</v>
      </c>
      <c r="AD25" s="366">
        <f t="shared" si="0"/>
        <v>2736.5270378821765</v>
      </c>
      <c r="AE25" s="366">
        <f t="shared" si="0"/>
        <v>11032.411838360455</v>
      </c>
      <c r="AF25" s="366">
        <f t="shared" si="0"/>
        <v>0</v>
      </c>
      <c r="AG25" s="366">
        <f t="shared" si="0"/>
        <v>819.03370791584359</v>
      </c>
      <c r="AH25" s="366">
        <f t="shared" si="0"/>
        <v>778.01654970284312</v>
      </c>
      <c r="AI25" s="366">
        <f t="shared" si="0"/>
        <v>0</v>
      </c>
      <c r="AJ25" s="366">
        <f>AJ13</f>
        <v>0</v>
      </c>
      <c r="AK25" s="366" t="e">
        <f t="shared" ref="AK25:BC25" si="1">AK13</f>
        <v>#VALUE!</v>
      </c>
      <c r="AL25" s="366">
        <f t="shared" si="1"/>
        <v>0</v>
      </c>
      <c r="AM25" s="366">
        <f t="shared" si="1"/>
        <v>0</v>
      </c>
      <c r="AN25" s="366">
        <f t="shared" si="1"/>
        <v>0</v>
      </c>
      <c r="AO25" s="366">
        <f t="shared" si="1"/>
        <v>0</v>
      </c>
      <c r="AP25" s="366">
        <f t="shared" si="1"/>
        <v>0</v>
      </c>
      <c r="AQ25" s="366">
        <f t="shared" si="1"/>
        <v>0</v>
      </c>
      <c r="AR25" s="366">
        <f t="shared" si="1"/>
        <v>0</v>
      </c>
      <c r="AS25" s="366">
        <f t="shared" si="1"/>
        <v>0</v>
      </c>
      <c r="AT25" s="366">
        <f t="shared" si="1"/>
        <v>0</v>
      </c>
      <c r="AU25" s="366">
        <f t="shared" si="1"/>
        <v>0</v>
      </c>
      <c r="AV25" s="366">
        <f t="shared" si="1"/>
        <v>0</v>
      </c>
      <c r="AW25" s="366">
        <f t="shared" si="1"/>
        <v>0</v>
      </c>
      <c r="AX25" s="366"/>
      <c r="AY25" s="366"/>
      <c r="AZ25" s="366" t="e">
        <f t="shared" si="1"/>
        <v>#VALUE!</v>
      </c>
      <c r="BA25" s="366">
        <f t="shared" si="1"/>
        <v>732.54418879168804</v>
      </c>
      <c r="BB25" s="366">
        <f t="shared" si="1"/>
        <v>4281.4328662611269</v>
      </c>
      <c r="BC25" s="366">
        <f t="shared" si="1"/>
        <v>1796.5847103175038</v>
      </c>
      <c r="BD25" s="366">
        <f>BD13</f>
        <v>534.8440141701841</v>
      </c>
      <c r="BE25" s="366">
        <f t="shared" ref="BE25:BT25" si="2">BE13</f>
        <v>606.87873356117234</v>
      </c>
      <c r="BF25" s="366">
        <f t="shared" si="2"/>
        <v>2137.4914375228318</v>
      </c>
      <c r="BG25" s="366">
        <f t="shared" si="2"/>
        <v>2118.8113226307596</v>
      </c>
      <c r="BH25" s="366" t="e">
        <f t="shared" si="2"/>
        <v>#VALUE!</v>
      </c>
      <c r="BI25" s="366">
        <f t="shared" si="2"/>
        <v>6149.7939146622966</v>
      </c>
      <c r="BJ25" s="366">
        <f t="shared" si="2"/>
        <v>6134.4181169187596</v>
      </c>
      <c r="BK25" s="366">
        <f t="shared" si="2"/>
        <v>6114.7006326393703</v>
      </c>
      <c r="BL25" s="366">
        <f t="shared" si="2"/>
        <v>6092.1563659762069</v>
      </c>
      <c r="BM25" s="366">
        <f t="shared" si="2"/>
        <v>6067.8903340402012</v>
      </c>
      <c r="BN25" s="366">
        <f t="shared" si="2"/>
        <v>6041.8632260274062</v>
      </c>
      <c r="BO25" s="366">
        <f t="shared" si="2"/>
        <v>6013.8394168141658</v>
      </c>
      <c r="BP25" s="366">
        <f t="shared" si="2"/>
        <v>5983.4806896665314</v>
      </c>
      <c r="BQ25" s="366">
        <f t="shared" si="2"/>
        <v>5950.5499812606995</v>
      </c>
      <c r="BR25" s="366">
        <f t="shared" si="2"/>
        <v>5914.970587588974</v>
      </c>
      <c r="BS25" s="366">
        <f t="shared" si="2"/>
        <v>5876.8443811615807</v>
      </c>
      <c r="BT25" s="366">
        <f t="shared" si="2"/>
        <v>5836.1248601738507</v>
      </c>
    </row>
    <row r="26" spans="1:73" s="64" customFormat="1">
      <c r="B26" s="92"/>
      <c r="E26" s="64" t="s">
        <v>220</v>
      </c>
      <c r="F26" s="366" t="e">
        <f>F15+F17</f>
        <v>#VALUE!</v>
      </c>
      <c r="G26" s="366">
        <f t="shared" ref="G26:AI26" si="3">G15+G17</f>
        <v>50231.056242490093</v>
      </c>
      <c r="H26" s="366">
        <f t="shared" si="3"/>
        <v>106816.64181085258</v>
      </c>
      <c r="I26" s="366">
        <f t="shared" si="3"/>
        <v>14585.552702053605</v>
      </c>
      <c r="J26" s="366">
        <f t="shared" si="3"/>
        <v>39994.300442658685</v>
      </c>
      <c r="K26" s="366">
        <f t="shared" si="3"/>
        <v>36306.595728013628</v>
      </c>
      <c r="L26" s="366">
        <f t="shared" si="3"/>
        <v>14259.730984150367</v>
      </c>
      <c r="M26" s="366">
        <f t="shared" si="3"/>
        <v>15986.538329212832</v>
      </c>
      <c r="N26" s="366" t="e">
        <f t="shared" si="3"/>
        <v>#VALUE!</v>
      </c>
      <c r="O26" s="366">
        <f t="shared" si="3"/>
        <v>12942.279641022304</v>
      </c>
      <c r="P26" s="366">
        <f t="shared" si="3"/>
        <v>12909.921178793802</v>
      </c>
      <c r="Q26" s="366">
        <f t="shared" si="3"/>
        <v>12868.425610177612</v>
      </c>
      <c r="R26" s="366">
        <f t="shared" si="3"/>
        <v>12820.981060408101</v>
      </c>
      <c r="S26" s="366">
        <f t="shared" si="3"/>
        <v>12769.913044885663</v>
      </c>
      <c r="T26" s="366">
        <f t="shared" si="3"/>
        <v>12715.138833778266</v>
      </c>
      <c r="U26" s="366">
        <f t="shared" si="3"/>
        <v>12656.162552543919</v>
      </c>
      <c r="V26" s="366">
        <f t="shared" si="3"/>
        <v>12592.272421957035</v>
      </c>
      <c r="W26" s="366">
        <f t="shared" si="3"/>
        <v>12522.969540774451</v>
      </c>
      <c r="X26" s="366">
        <f t="shared" si="3"/>
        <v>12448.092484933666</v>
      </c>
      <c r="Y26" s="366">
        <f t="shared" si="3"/>
        <v>12367.855645767686</v>
      </c>
      <c r="Z26" s="366">
        <f t="shared" si="3"/>
        <v>12282.161159938625</v>
      </c>
      <c r="AA26" s="366"/>
      <c r="AB26" s="366"/>
      <c r="AC26" s="366" t="e">
        <f t="shared" si="3"/>
        <v>#VALUE!</v>
      </c>
      <c r="AD26" s="366">
        <f t="shared" si="3"/>
        <v>31581.662595117821</v>
      </c>
      <c r="AE26" s="366">
        <f t="shared" si="3"/>
        <v>85754.988180039581</v>
      </c>
      <c r="AF26" s="366">
        <f t="shared" si="3"/>
        <v>0</v>
      </c>
      <c r="AG26" s="366">
        <f t="shared" si="3"/>
        <v>22243.326303684153</v>
      </c>
      <c r="AH26" s="366">
        <f t="shared" si="3"/>
        <v>18685.889850697153</v>
      </c>
      <c r="AI26" s="366">
        <f t="shared" si="3"/>
        <v>0</v>
      </c>
      <c r="AJ26" s="366">
        <f>AJ15+AJ17</f>
        <v>0</v>
      </c>
      <c r="AK26" s="366" t="e">
        <f t="shared" ref="AK26:BC26" si="4">AK15+AK17</f>
        <v>#VALUE!</v>
      </c>
      <c r="AL26" s="366">
        <f t="shared" si="4"/>
        <v>0</v>
      </c>
      <c r="AM26" s="366">
        <f t="shared" si="4"/>
        <v>0</v>
      </c>
      <c r="AN26" s="366">
        <f t="shared" si="4"/>
        <v>0</v>
      </c>
      <c r="AO26" s="366">
        <f t="shared" si="4"/>
        <v>0</v>
      </c>
      <c r="AP26" s="366">
        <f t="shared" si="4"/>
        <v>0</v>
      </c>
      <c r="AQ26" s="366">
        <f t="shared" si="4"/>
        <v>0</v>
      </c>
      <c r="AR26" s="366">
        <f t="shared" si="4"/>
        <v>0</v>
      </c>
      <c r="AS26" s="366">
        <f t="shared" si="4"/>
        <v>0</v>
      </c>
      <c r="AT26" s="366">
        <f t="shared" si="4"/>
        <v>0</v>
      </c>
      <c r="AU26" s="366">
        <f t="shared" si="4"/>
        <v>0</v>
      </c>
      <c r="AV26" s="366">
        <f t="shared" si="4"/>
        <v>0</v>
      </c>
      <c r="AW26" s="366">
        <f t="shared" si="4"/>
        <v>0</v>
      </c>
      <c r="AX26" s="366"/>
      <c r="AY26" s="366"/>
      <c r="AZ26" s="366" t="e">
        <f t="shared" si="4"/>
        <v>#VALUE!</v>
      </c>
      <c r="BA26" s="366">
        <f t="shared" si="4"/>
        <v>69710.055584208312</v>
      </c>
      <c r="BB26" s="366">
        <f t="shared" si="4"/>
        <v>128353.1523441389</v>
      </c>
      <c r="BC26" s="366">
        <f t="shared" si="4"/>
        <v>32053.073028082501</v>
      </c>
      <c r="BD26" s="366">
        <f>BD15+BD17</f>
        <v>58008.069861429831</v>
      </c>
      <c r="BE26" s="366">
        <f t="shared" ref="BE26:BT26" si="5">BE15+BE17</f>
        <v>54245.948394838837</v>
      </c>
      <c r="BF26" s="366">
        <f t="shared" si="5"/>
        <v>31435.260274277167</v>
      </c>
      <c r="BG26" s="366">
        <f t="shared" si="5"/>
        <v>33186.638297369238</v>
      </c>
      <c r="BH26" s="366" t="e">
        <f t="shared" si="5"/>
        <v>#VALUE!</v>
      </c>
      <c r="BI26" s="366">
        <f t="shared" si="5"/>
        <v>28406.549182598377</v>
      </c>
      <c r="BJ26" s="366">
        <f t="shared" si="5"/>
        <v>28335.526744955041</v>
      </c>
      <c r="BK26" s="366">
        <f t="shared" si="5"/>
        <v>28244.449597539715</v>
      </c>
      <c r="BL26" s="366">
        <f t="shared" si="5"/>
        <v>28140.315243016736</v>
      </c>
      <c r="BM26" s="366">
        <f t="shared" si="5"/>
        <v>28028.227872411808</v>
      </c>
      <c r="BN26" s="366">
        <f t="shared" si="5"/>
        <v>27908.005904959609</v>
      </c>
      <c r="BO26" s="366">
        <f t="shared" si="5"/>
        <v>27778.560963267872</v>
      </c>
      <c r="BP26" s="366">
        <f t="shared" si="5"/>
        <v>27638.330788434811</v>
      </c>
      <c r="BQ26" s="366">
        <f t="shared" si="5"/>
        <v>27486.220359869432</v>
      </c>
      <c r="BR26" s="366">
        <f t="shared" si="5"/>
        <v>27321.87537363937</v>
      </c>
      <c r="BS26" s="366">
        <f t="shared" si="5"/>
        <v>27145.7663896548</v>
      </c>
      <c r="BT26" s="366">
        <f t="shared" si="5"/>
        <v>26957.678611156727</v>
      </c>
    </row>
    <row r="27" spans="1:73" s="64" customFormat="1">
      <c r="E27" s="64" t="s">
        <v>258</v>
      </c>
      <c r="F27" s="366" t="e">
        <f>F14+F16+F18</f>
        <v>#VALUE!</v>
      </c>
      <c r="G27" s="366">
        <f t="shared" ref="G27:AI27" si="6">G14+G16+G18</f>
        <v>23975.865796999991</v>
      </c>
      <c r="H27" s="366">
        <f t="shared" si="6"/>
        <v>52506.197785600001</v>
      </c>
      <c r="I27" s="366">
        <f t="shared" si="6"/>
        <v>7339.1999975999988</v>
      </c>
      <c r="J27" s="366">
        <f t="shared" si="6"/>
        <v>18676.425656399995</v>
      </c>
      <c r="K27" s="366">
        <f t="shared" si="6"/>
        <v>17008.348635599996</v>
      </c>
      <c r="L27" s="366">
        <f t="shared" si="6"/>
        <v>7279.1619101999986</v>
      </c>
      <c r="M27" s="366">
        <f t="shared" si="6"/>
        <v>8080.1101899999976</v>
      </c>
      <c r="N27" s="366" t="e">
        <f t="shared" si="6"/>
        <v>#VALUE!</v>
      </c>
      <c r="O27" s="366">
        <f t="shared" si="6"/>
        <v>7761.2852610843283</v>
      </c>
      <c r="P27" s="366">
        <f t="shared" si="6"/>
        <v>7741.8803909276521</v>
      </c>
      <c r="Q27" s="366">
        <f t="shared" si="6"/>
        <v>7716.9961391548541</v>
      </c>
      <c r="R27" s="366">
        <f t="shared" si="6"/>
        <v>7688.5443752416622</v>
      </c>
      <c r="S27" s="366">
        <f t="shared" si="6"/>
        <v>7657.9196748657851</v>
      </c>
      <c r="T27" s="366">
        <f t="shared" si="6"/>
        <v>7625.072426224373</v>
      </c>
      <c r="U27" s="366">
        <f t="shared" si="6"/>
        <v>7589.7052610113096</v>
      </c>
      <c r="V27" s="366">
        <f t="shared" si="6"/>
        <v>7551.3913362154781</v>
      </c>
      <c r="W27" s="366">
        <f t="shared" si="6"/>
        <v>7509.8314684648085</v>
      </c>
      <c r="X27" s="366">
        <f t="shared" si="6"/>
        <v>7464.9288542415416</v>
      </c>
      <c r="Y27" s="366">
        <f t="shared" si="6"/>
        <v>7416.812060717697</v>
      </c>
      <c r="Z27" s="366">
        <f t="shared" si="6"/>
        <v>7365.4224007606399</v>
      </c>
      <c r="AA27" s="366"/>
      <c r="AB27" s="366"/>
      <c r="AC27" s="366" t="e">
        <f t="shared" si="6"/>
        <v>#VALUE!</v>
      </c>
      <c r="AD27" s="366">
        <f t="shared" si="6"/>
        <v>15708.325866999996</v>
      </c>
      <c r="AE27" s="366">
        <f t="shared" si="6"/>
        <v>44302.104381599995</v>
      </c>
      <c r="AF27" s="366">
        <f t="shared" si="6"/>
        <v>0</v>
      </c>
      <c r="AG27" s="366">
        <f t="shared" si="6"/>
        <v>10556.240588399998</v>
      </c>
      <c r="AH27" s="366">
        <f t="shared" si="6"/>
        <v>8909.1349995999972</v>
      </c>
      <c r="AI27" s="366">
        <f t="shared" si="6"/>
        <v>0</v>
      </c>
      <c r="AJ27" s="366">
        <f>AJ14+AJ16+AJ18</f>
        <v>0</v>
      </c>
      <c r="AK27" s="366" t="e">
        <f t="shared" ref="AK27:BC27" si="7">AK14+AK16+AK18</f>
        <v>#VALUE!</v>
      </c>
      <c r="AL27" s="366">
        <f t="shared" si="7"/>
        <v>0</v>
      </c>
      <c r="AM27" s="366">
        <f t="shared" si="7"/>
        <v>0</v>
      </c>
      <c r="AN27" s="366">
        <f t="shared" si="7"/>
        <v>0</v>
      </c>
      <c r="AO27" s="366">
        <f t="shared" si="7"/>
        <v>0</v>
      </c>
      <c r="AP27" s="366">
        <f t="shared" si="7"/>
        <v>0</v>
      </c>
      <c r="AQ27" s="366">
        <f t="shared" si="7"/>
        <v>0</v>
      </c>
      <c r="AR27" s="366">
        <f t="shared" si="7"/>
        <v>0</v>
      </c>
      <c r="AS27" s="366">
        <f t="shared" si="7"/>
        <v>0</v>
      </c>
      <c r="AT27" s="366">
        <f t="shared" si="7"/>
        <v>0</v>
      </c>
      <c r="AU27" s="366">
        <f t="shared" si="7"/>
        <v>0</v>
      </c>
      <c r="AV27" s="366">
        <f t="shared" si="7"/>
        <v>0</v>
      </c>
      <c r="AW27" s="366">
        <f t="shared" si="7"/>
        <v>0</v>
      </c>
      <c r="AX27" s="366"/>
      <c r="AY27" s="366"/>
      <c r="AZ27" s="366" t="e">
        <f t="shared" si="7"/>
        <v>#VALUE!</v>
      </c>
      <c r="BA27" s="366">
        <f t="shared" si="7"/>
        <v>32243.405726999994</v>
      </c>
      <c r="BB27" s="366">
        <f t="shared" si="7"/>
        <v>60710.291189600001</v>
      </c>
      <c r="BC27" s="366">
        <f t="shared" si="7"/>
        <v>15493.866661599999</v>
      </c>
      <c r="BD27" s="366">
        <f>BD14+BD16+BD18</f>
        <v>26796.610724399998</v>
      </c>
      <c r="BE27" s="366">
        <f t="shared" ref="BE27:BT27" si="8">BE14+BE16+BE18</f>
        <v>25107.5622716</v>
      </c>
      <c r="BF27" s="366">
        <f t="shared" si="8"/>
        <v>15367.119588199997</v>
      </c>
      <c r="BG27" s="366">
        <f t="shared" si="8"/>
        <v>16160.220379999995</v>
      </c>
      <c r="BH27" s="366" t="e">
        <f t="shared" si="8"/>
        <v>#VALUE!</v>
      </c>
      <c r="BI27" s="366">
        <f t="shared" si="8"/>
        <v>15817.334887084329</v>
      </c>
      <c r="BJ27" s="366">
        <f t="shared" si="8"/>
        <v>15777.788172927656</v>
      </c>
      <c r="BK27" s="366">
        <f t="shared" si="8"/>
        <v>15727.074595154854</v>
      </c>
      <c r="BL27" s="366">
        <f t="shared" si="8"/>
        <v>15669.090503241661</v>
      </c>
      <c r="BM27" s="366">
        <f t="shared" si="8"/>
        <v>15606.678012865785</v>
      </c>
      <c r="BN27" s="366">
        <f t="shared" si="8"/>
        <v>15539.736016224373</v>
      </c>
      <c r="BO27" s="366">
        <f t="shared" si="8"/>
        <v>15467.65848301131</v>
      </c>
      <c r="BP27" s="366">
        <f t="shared" si="8"/>
        <v>15389.57551621548</v>
      </c>
      <c r="BQ27" s="366">
        <f t="shared" si="8"/>
        <v>15304.87738646481</v>
      </c>
      <c r="BR27" s="366">
        <f t="shared" si="8"/>
        <v>15213.366810241541</v>
      </c>
      <c r="BS27" s="366">
        <f t="shared" si="8"/>
        <v>15115.3058047177</v>
      </c>
      <c r="BT27" s="366">
        <f t="shared" si="8"/>
        <v>15010.574766760641</v>
      </c>
    </row>
    <row r="28" spans="1:73" s="64" customFormat="1">
      <c r="E28" s="64" t="s">
        <v>221</v>
      </c>
      <c r="F28" s="366">
        <f>F19</f>
        <v>26473093.737500001</v>
      </c>
      <c r="G28" s="366">
        <f t="shared" ref="G28:AI28" si="9">G19</f>
        <v>26253388.739500001</v>
      </c>
      <c r="H28" s="366">
        <f t="shared" si="9"/>
        <v>25960468.809599999</v>
      </c>
      <c r="I28" s="366">
        <f t="shared" si="9"/>
        <v>25946902.751600001</v>
      </c>
      <c r="J28" s="366">
        <f t="shared" si="9"/>
        <v>25800982.937400002</v>
      </c>
      <c r="K28" s="366">
        <f t="shared" si="9"/>
        <v>25739507.284600001</v>
      </c>
      <c r="L28" s="366">
        <f t="shared" si="9"/>
        <v>25734644.955699999</v>
      </c>
      <c r="M28" s="366">
        <f t="shared" si="9"/>
        <v>25707102.164999999</v>
      </c>
      <c r="N28" s="366" t="e">
        <f t="shared" si="9"/>
        <v>#VALUE!</v>
      </c>
      <c r="O28" s="366">
        <f t="shared" si="9"/>
        <v>25631491.531015653</v>
      </c>
      <c r="P28" s="366">
        <f t="shared" si="9"/>
        <v>25567407.329965197</v>
      </c>
      <c r="Q28" s="366">
        <f t="shared" si="9"/>
        <v>25485227.579174664</v>
      </c>
      <c r="R28" s="366">
        <f t="shared" si="9"/>
        <v>25391266.189887766</v>
      </c>
      <c r="S28" s="366">
        <f t="shared" si="9"/>
        <v>25290128.720780682</v>
      </c>
      <c r="T28" s="366">
        <f t="shared" si="9"/>
        <v>25181651.329852786</v>
      </c>
      <c r="U28" s="366">
        <f t="shared" si="9"/>
        <v>25064851.964136906</v>
      </c>
      <c r="V28" s="366">
        <f t="shared" si="9"/>
        <v>24938320.98300568</v>
      </c>
      <c r="W28" s="366">
        <f t="shared" si="9"/>
        <v>24801070.339272402</v>
      </c>
      <c r="X28" s="366">
        <f t="shared" si="9"/>
        <v>24652780.34122853</v>
      </c>
      <c r="Y28" s="366">
        <f t="shared" si="9"/>
        <v>24493875.579424463</v>
      </c>
      <c r="Z28" s="366">
        <f t="shared" si="9"/>
        <v>24324162.240761906</v>
      </c>
      <c r="AA28" s="366"/>
      <c r="AB28" s="366"/>
      <c r="AC28" s="366">
        <f t="shared" si="9"/>
        <v>26499659.8125</v>
      </c>
      <c r="AD28" s="366">
        <f t="shared" si="9"/>
        <v>26279718.484499998</v>
      </c>
      <c r="AE28" s="366">
        <f t="shared" si="9"/>
        <v>25986596.4956</v>
      </c>
      <c r="AF28" s="366">
        <f t="shared" si="9"/>
        <v>25970276</v>
      </c>
      <c r="AG28" s="366">
        <f t="shared" si="9"/>
        <v>25826843.3994</v>
      </c>
      <c r="AH28" s="366">
        <f t="shared" si="9"/>
        <v>25765300.9586</v>
      </c>
      <c r="AI28" s="366">
        <f t="shared" si="9"/>
        <v>25757827</v>
      </c>
      <c r="AJ28" s="366">
        <f>AJ19</f>
        <v>25732835</v>
      </c>
      <c r="AK28" s="366" t="e">
        <f t="shared" ref="AK28:BC28" si="10">AK19</f>
        <v>#VALUE!</v>
      </c>
      <c r="AL28" s="366">
        <f t="shared" si="10"/>
        <v>25656209</v>
      </c>
      <c r="AM28" s="366">
        <f t="shared" si="10"/>
        <v>25592063</v>
      </c>
      <c r="AN28" s="366">
        <f t="shared" si="10"/>
        <v>25509804</v>
      </c>
      <c r="AO28" s="366">
        <f t="shared" si="10"/>
        <v>25415752</v>
      </c>
      <c r="AP28" s="366">
        <f t="shared" si="10"/>
        <v>25314517</v>
      </c>
      <c r="AQ28" s="366">
        <f t="shared" si="10"/>
        <v>25205935</v>
      </c>
      <c r="AR28" s="366">
        <f t="shared" si="10"/>
        <v>25089023</v>
      </c>
      <c r="AS28" s="366">
        <f t="shared" si="10"/>
        <v>24962370</v>
      </c>
      <c r="AT28" s="366">
        <f t="shared" si="10"/>
        <v>24824987</v>
      </c>
      <c r="AU28" s="366">
        <f t="shared" si="10"/>
        <v>24676554</v>
      </c>
      <c r="AV28" s="366">
        <f t="shared" si="10"/>
        <v>24517496</v>
      </c>
      <c r="AW28" s="366">
        <f t="shared" si="10"/>
        <v>24347619</v>
      </c>
      <c r="AX28" s="366"/>
      <c r="AY28" s="366"/>
      <c r="AZ28" s="366">
        <f t="shared" si="10"/>
        <v>26446527.662500001</v>
      </c>
      <c r="BA28" s="366">
        <f t="shared" si="10"/>
        <v>26227058.9945</v>
      </c>
      <c r="BB28" s="366">
        <f t="shared" si="10"/>
        <v>25934341.123600002</v>
      </c>
      <c r="BC28" s="366">
        <f t="shared" si="10"/>
        <v>25920932.4756</v>
      </c>
      <c r="BD28" s="366">
        <f>BD19</f>
        <v>25775122.475400001</v>
      </c>
      <c r="BE28" s="366">
        <f t="shared" ref="BE28:BT28" si="11">BE19</f>
        <v>25713713.610599998</v>
      </c>
      <c r="BF28" s="366">
        <f t="shared" si="11"/>
        <v>25708887.128699999</v>
      </c>
      <c r="BG28" s="366">
        <f t="shared" si="11"/>
        <v>25681369.329999998</v>
      </c>
      <c r="BH28" s="366" t="e">
        <f t="shared" si="11"/>
        <v>#VALUE!</v>
      </c>
      <c r="BI28" s="366">
        <f t="shared" si="11"/>
        <v>25605835.322015654</v>
      </c>
      <c r="BJ28" s="366">
        <f t="shared" si="11"/>
        <v>25541815.266965196</v>
      </c>
      <c r="BK28" s="366">
        <f t="shared" si="11"/>
        <v>25459717.775174666</v>
      </c>
      <c r="BL28" s="366">
        <f t="shared" si="11"/>
        <v>25365850.437887765</v>
      </c>
      <c r="BM28" s="366">
        <f t="shared" si="11"/>
        <v>25264814.203780681</v>
      </c>
      <c r="BN28" s="366">
        <f t="shared" si="11"/>
        <v>25156445.394852787</v>
      </c>
      <c r="BO28" s="366">
        <f t="shared" si="11"/>
        <v>25039762.941136904</v>
      </c>
      <c r="BP28" s="366">
        <f t="shared" si="11"/>
        <v>24913358.613005683</v>
      </c>
      <c r="BQ28" s="366">
        <f t="shared" si="11"/>
        <v>24776245.352272402</v>
      </c>
      <c r="BR28" s="366">
        <f t="shared" si="11"/>
        <v>24628103.787228528</v>
      </c>
      <c r="BS28" s="366">
        <f t="shared" si="11"/>
        <v>24469358.083424464</v>
      </c>
      <c r="BT28" s="366">
        <f t="shared" si="11"/>
        <v>24299814.621761907</v>
      </c>
    </row>
    <row r="29" spans="1:73">
      <c r="A29" s="17"/>
      <c r="B29" s="17"/>
      <c r="F29" s="268"/>
      <c r="G29" s="268"/>
      <c r="H29" s="268"/>
      <c r="I29" s="268"/>
      <c r="J29" s="268"/>
      <c r="K29" s="268"/>
      <c r="L29" s="268"/>
      <c r="M29" s="268"/>
      <c r="N29" s="268"/>
      <c r="O29" s="268"/>
      <c r="P29" s="268"/>
      <c r="Q29" s="268"/>
      <c r="R29" s="268"/>
      <c r="S29" s="268"/>
      <c r="T29" s="268"/>
      <c r="U29" s="268"/>
      <c r="V29" s="268"/>
      <c r="W29" s="268"/>
      <c r="X29" s="268"/>
      <c r="Y29" s="268"/>
      <c r="Z29" s="268"/>
      <c r="AA29" s="268"/>
      <c r="AB29" s="268"/>
      <c r="AC29" s="268"/>
      <c r="AD29" s="268"/>
      <c r="AE29" s="268"/>
      <c r="AF29" s="268"/>
      <c r="AG29" s="268"/>
      <c r="AH29" s="268"/>
      <c r="AI29" s="268"/>
      <c r="AJ29" s="268"/>
      <c r="AK29" s="268"/>
      <c r="AL29" s="268"/>
      <c r="AM29" s="268"/>
      <c r="AN29" s="268"/>
      <c r="AO29" s="268"/>
      <c r="AP29" s="268"/>
      <c r="AQ29" s="268"/>
      <c r="AR29" s="268"/>
      <c r="AS29" s="268"/>
      <c r="AT29" s="268"/>
      <c r="AU29" s="268"/>
      <c r="AV29" s="268"/>
      <c r="AW29" s="268"/>
      <c r="AX29" s="268"/>
      <c r="AY29" s="268"/>
      <c r="AZ29" s="268"/>
      <c r="BA29" s="268"/>
      <c r="BB29" s="268"/>
      <c r="BC29" s="268"/>
      <c r="BD29" s="268"/>
      <c r="BE29" s="268"/>
      <c r="BF29" s="268"/>
      <c r="BG29" s="268"/>
      <c r="BH29" s="268"/>
      <c r="BI29" s="268"/>
      <c r="BJ29" s="268"/>
      <c r="BK29" s="268"/>
      <c r="BL29" s="268"/>
      <c r="BM29" s="268"/>
      <c r="BN29" s="268"/>
      <c r="BO29" s="268"/>
      <c r="BP29" s="268"/>
      <c r="BQ29" s="268"/>
      <c r="BR29" s="268"/>
      <c r="BS29" s="268"/>
      <c r="BT29" s="268"/>
    </row>
    <row r="30" spans="1:73" ht="19">
      <c r="A30" s="17"/>
      <c r="B30" s="17"/>
      <c r="E30" s="191" t="s">
        <v>222</v>
      </c>
      <c r="F30" s="369"/>
      <c r="G30" s="369"/>
      <c r="H30" s="369"/>
      <c r="I30" s="369"/>
      <c r="J30" s="369"/>
      <c r="K30" s="369"/>
      <c r="L30" s="369"/>
      <c r="M30" s="369"/>
      <c r="N30" s="369"/>
      <c r="O30" s="369"/>
      <c r="P30" s="369"/>
      <c r="Q30" s="369"/>
      <c r="R30" s="369"/>
      <c r="S30" s="369"/>
      <c r="T30" s="369"/>
      <c r="U30" s="369"/>
      <c r="V30" s="369"/>
      <c r="W30" s="369"/>
      <c r="X30" s="369"/>
      <c r="Y30" s="369"/>
      <c r="Z30" s="369"/>
      <c r="AA30" s="369"/>
      <c r="AB30" s="369"/>
      <c r="AC30" s="369"/>
      <c r="AD30" s="369"/>
      <c r="AE30" s="369"/>
      <c r="AF30" s="369"/>
      <c r="AG30" s="369"/>
      <c r="AH30" s="369"/>
      <c r="AI30" s="369"/>
      <c r="AJ30" s="369"/>
      <c r="AK30" s="369"/>
      <c r="AL30" s="369"/>
      <c r="AM30" s="369"/>
      <c r="AN30" s="369"/>
      <c r="AO30" s="369"/>
      <c r="AP30" s="369"/>
      <c r="AQ30" s="369"/>
      <c r="AR30" s="369"/>
      <c r="AS30" s="369"/>
      <c r="AT30" s="369"/>
      <c r="AU30" s="369"/>
      <c r="AV30" s="369"/>
      <c r="AW30" s="369"/>
      <c r="AX30" s="369"/>
      <c r="AY30" s="369"/>
      <c r="AZ30" s="369"/>
      <c r="BA30" s="369"/>
      <c r="BB30" s="369"/>
      <c r="BC30" s="369"/>
      <c r="BD30" s="369"/>
      <c r="BE30" s="369"/>
      <c r="BF30" s="369"/>
      <c r="BG30" s="369"/>
      <c r="BH30" s="369"/>
      <c r="BI30" s="369"/>
      <c r="BJ30" s="369"/>
      <c r="BK30" s="369"/>
      <c r="BL30" s="369"/>
      <c r="BM30" s="369"/>
      <c r="BN30" s="369"/>
      <c r="BO30" s="369"/>
      <c r="BP30" s="369"/>
      <c r="BQ30" s="369"/>
      <c r="BR30" s="369"/>
      <c r="BS30" s="369"/>
      <c r="BT30" s="369"/>
    </row>
    <row r="31" spans="1:73">
      <c r="A31" s="17"/>
      <c r="B31" s="17"/>
      <c r="F31" s="366"/>
      <c r="G31" s="366"/>
      <c r="H31" s="366"/>
      <c r="I31" s="366"/>
      <c r="J31" s="366"/>
      <c r="K31" s="366"/>
      <c r="L31" s="366"/>
      <c r="M31" s="366"/>
      <c r="N31" s="366"/>
      <c r="O31" s="366"/>
      <c r="P31" s="366"/>
      <c r="Q31" s="366"/>
      <c r="R31" s="366"/>
      <c r="S31" s="366"/>
      <c r="T31" s="366"/>
      <c r="U31" s="366"/>
      <c r="V31" s="366"/>
      <c r="W31" s="366"/>
      <c r="X31" s="366"/>
      <c r="Y31" s="366"/>
      <c r="Z31" s="366"/>
      <c r="AA31" s="366"/>
      <c r="AB31" s="366"/>
      <c r="AC31" s="366"/>
      <c r="AD31" s="366"/>
      <c r="AE31" s="366"/>
      <c r="AF31" s="366"/>
      <c r="AG31" s="366"/>
      <c r="AH31" s="366"/>
      <c r="AI31" s="366"/>
      <c r="AJ31" s="366"/>
      <c r="AK31" s="366"/>
      <c r="AL31" s="366"/>
      <c r="AM31" s="366"/>
      <c r="AN31" s="366"/>
      <c r="AO31" s="366"/>
      <c r="AP31" s="366"/>
      <c r="AQ31" s="366"/>
      <c r="AR31" s="366"/>
      <c r="AS31" s="366"/>
      <c r="AT31" s="366"/>
      <c r="AU31" s="366"/>
      <c r="AV31" s="366"/>
      <c r="AW31" s="366"/>
      <c r="AX31" s="366"/>
      <c r="AY31" s="366"/>
      <c r="AZ31" s="366"/>
      <c r="BA31" s="366"/>
      <c r="BB31" s="366"/>
      <c r="BC31" s="366"/>
      <c r="BD31" s="366"/>
      <c r="BE31" s="366"/>
      <c r="BF31" s="366"/>
      <c r="BG31" s="366"/>
      <c r="BH31" s="366"/>
      <c r="BI31" s="366"/>
      <c r="BJ31" s="366"/>
      <c r="BK31" s="366"/>
      <c r="BL31" s="366"/>
      <c r="BM31" s="366"/>
      <c r="BN31" s="366"/>
      <c r="BO31" s="366"/>
      <c r="BP31" s="366"/>
      <c r="BQ31" s="366"/>
      <c r="BR31" s="366"/>
      <c r="BS31" s="366"/>
      <c r="BT31" s="366"/>
    </row>
    <row r="32" spans="1:73">
      <c r="A32" s="17"/>
      <c r="B32" s="17"/>
      <c r="E32" s="17" t="str">
        <f>IF(Cover!E4="English","1 dose/case",IF(Cover!E4="Français", "1 dose / cas","1 dosis / caja"))</f>
        <v>1 dose/case</v>
      </c>
      <c r="F32" s="366" t="e">
        <f>IFERROR((F13+F14)*1, #N/A)</f>
        <v>#N/A</v>
      </c>
      <c r="G32" s="366">
        <f t="shared" ref="G32:AI32" si="12">IFERROR((G13+G14)*1, #N/A)</f>
        <v>3133.1464438919993</v>
      </c>
      <c r="H32" s="366">
        <f t="shared" si="12"/>
        <v>11507.800005171202</v>
      </c>
      <c r="I32" s="366">
        <f t="shared" si="12"/>
        <v>2111.5097672687998</v>
      </c>
      <c r="J32" s="366">
        <f t="shared" si="12"/>
        <v>1178.3330917511998</v>
      </c>
      <c r="K32" s="366">
        <f t="shared" si="12"/>
        <v>1241.648741088</v>
      </c>
      <c r="L32" s="366">
        <f t="shared" si="12"/>
        <v>2395.2644397224999</v>
      </c>
      <c r="M32" s="366">
        <f t="shared" si="12"/>
        <v>2428.8432664535994</v>
      </c>
      <c r="N32" s="366" t="e">
        <f t="shared" si="12"/>
        <v>#N/A</v>
      </c>
      <c r="O32" s="366">
        <f t="shared" si="12"/>
        <v>5851.1721315428067</v>
      </c>
      <c r="P32" s="366">
        <f t="shared" si="12"/>
        <v>5836.5429520116459</v>
      </c>
      <c r="Q32" s="366">
        <f t="shared" si="12"/>
        <v>5817.7829096231326</v>
      </c>
      <c r="R32" s="366">
        <f t="shared" si="12"/>
        <v>5796.333347791302</v>
      </c>
      <c r="S32" s="366">
        <f t="shared" si="12"/>
        <v>5773.2456261900033</v>
      </c>
      <c r="T32" s="366">
        <f t="shared" si="12"/>
        <v>5748.4823428698846</v>
      </c>
      <c r="U32" s="366">
        <f t="shared" si="12"/>
        <v>5721.8193141955026</v>
      </c>
      <c r="V32" s="366">
        <f t="shared" si="12"/>
        <v>5692.9347465660339</v>
      </c>
      <c r="W32" s="366">
        <f t="shared" si="12"/>
        <v>5661.6030879820337</v>
      </c>
      <c r="X32" s="366">
        <f t="shared" si="12"/>
        <v>5627.7513590301342</v>
      </c>
      <c r="Y32" s="366">
        <f t="shared" si="12"/>
        <v>5591.4764854937148</v>
      </c>
      <c r="Z32" s="366">
        <f t="shared" si="12"/>
        <v>5552.7342236034219</v>
      </c>
      <c r="AA32" s="366"/>
      <c r="AB32" s="366"/>
      <c r="AC32" s="366" t="e">
        <f t="shared" si="12"/>
        <v>#N/A</v>
      </c>
      <c r="AD32" s="366">
        <f t="shared" si="12"/>
        <v>3989.1064692160007</v>
      </c>
      <c r="AE32" s="366">
        <f t="shared" si="12"/>
        <v>16082.233000525443</v>
      </c>
      <c r="AF32" s="366">
        <f t="shared" si="12"/>
        <v>0</v>
      </c>
      <c r="AG32" s="366">
        <f t="shared" si="12"/>
        <v>1193.9266879239701</v>
      </c>
      <c r="AH32" s="366">
        <f t="shared" si="12"/>
        <v>1134.1349121032697</v>
      </c>
      <c r="AI32" s="366">
        <f t="shared" si="12"/>
        <v>0</v>
      </c>
      <c r="AJ32" s="366">
        <f>IFERROR((AJ13+AJ14)*1, #N/A)</f>
        <v>0</v>
      </c>
      <c r="AK32" s="366" t="e">
        <f t="shared" ref="AK32:BC32" si="13">IFERROR((AK13+AK14)*1, #N/A)</f>
        <v>#N/A</v>
      </c>
      <c r="AL32" s="366">
        <f t="shared" si="13"/>
        <v>0</v>
      </c>
      <c r="AM32" s="366">
        <f t="shared" si="13"/>
        <v>0</v>
      </c>
      <c r="AN32" s="366">
        <f t="shared" si="13"/>
        <v>0</v>
      </c>
      <c r="AO32" s="366">
        <f t="shared" si="13"/>
        <v>0</v>
      </c>
      <c r="AP32" s="366">
        <f t="shared" si="13"/>
        <v>0</v>
      </c>
      <c r="AQ32" s="366">
        <f t="shared" si="13"/>
        <v>0</v>
      </c>
      <c r="AR32" s="366">
        <f t="shared" si="13"/>
        <v>0</v>
      </c>
      <c r="AS32" s="366">
        <f t="shared" si="13"/>
        <v>0</v>
      </c>
      <c r="AT32" s="366">
        <f t="shared" si="13"/>
        <v>0</v>
      </c>
      <c r="AU32" s="366">
        <f t="shared" si="13"/>
        <v>0</v>
      </c>
      <c r="AV32" s="366">
        <f t="shared" si="13"/>
        <v>0</v>
      </c>
      <c r="AW32" s="366">
        <f t="shared" si="13"/>
        <v>0</v>
      </c>
      <c r="AX32" s="366"/>
      <c r="AY32" s="366"/>
      <c r="AZ32" s="366" t="e">
        <f t="shared" si="13"/>
        <v>#N/A</v>
      </c>
      <c r="BA32" s="366">
        <f t="shared" si="13"/>
        <v>1067.848671708</v>
      </c>
      <c r="BB32" s="366">
        <f t="shared" si="13"/>
        <v>6241.155781721759</v>
      </c>
      <c r="BC32" s="366">
        <f t="shared" si="13"/>
        <v>2618.92814915088</v>
      </c>
      <c r="BD32" s="366">
        <f>IFERROR((BD13+BD14)*1, #N/A)</f>
        <v>779.65599733262979</v>
      </c>
      <c r="BE32" s="366">
        <f t="shared" ref="BE32:BT32" si="14">IFERROR((BE13+BE14)*1, #N/A)</f>
        <v>884.66287691132993</v>
      </c>
      <c r="BF32" s="366">
        <f t="shared" si="14"/>
        <v>3115.8767310828448</v>
      </c>
      <c r="BG32" s="366">
        <f t="shared" si="14"/>
        <v>3088.6462429019816</v>
      </c>
      <c r="BH32" s="366" t="e">
        <f t="shared" si="14"/>
        <v>#N/A</v>
      </c>
      <c r="BI32" s="366">
        <f t="shared" si="14"/>
        <v>8964.7141613152999</v>
      </c>
      <c r="BJ32" s="366">
        <f t="shared" si="14"/>
        <v>8942.3004619806979</v>
      </c>
      <c r="BK32" s="366">
        <f t="shared" si="14"/>
        <v>8913.557773526778</v>
      </c>
      <c r="BL32" s="366">
        <f t="shared" si="14"/>
        <v>8880.6944110440327</v>
      </c>
      <c r="BM32" s="366">
        <f t="shared" si="14"/>
        <v>8845.3211866475231</v>
      </c>
      <c r="BN32" s="366">
        <f t="shared" si="14"/>
        <v>8807.3807959583173</v>
      </c>
      <c r="BO32" s="366">
        <f t="shared" si="14"/>
        <v>8766.5297621197751</v>
      </c>
      <c r="BP32" s="366">
        <f t="shared" si="14"/>
        <v>8722.2750578229316</v>
      </c>
      <c r="BQ32" s="366">
        <f t="shared" si="14"/>
        <v>8674.2711097094743</v>
      </c>
      <c r="BR32" s="366">
        <f t="shared" si="14"/>
        <v>8622.4061043571037</v>
      </c>
      <c r="BS32" s="366">
        <f t="shared" si="14"/>
        <v>8566.8285439673182</v>
      </c>
      <c r="BT32" s="366">
        <f t="shared" si="14"/>
        <v>8507.4706416528425</v>
      </c>
    </row>
    <row r="33" spans="1:72">
      <c r="A33" s="17"/>
      <c r="B33" s="17"/>
      <c r="E33" s="17" t="str">
        <f>IF(Cover!E4="English","2 doses/case",IF(Cover!E4="Français", "2 doses / cas","2 dosis / caja"))</f>
        <v>2 doses/case</v>
      </c>
      <c r="F33" s="366" t="e">
        <f>IFERROR((F13+F14)*2,#N/A)</f>
        <v>#N/A</v>
      </c>
      <c r="G33" s="366">
        <f t="shared" ref="G33:AI33" si="15">IFERROR((G13+G14)*2,#N/A)</f>
        <v>6266.2928877839986</v>
      </c>
      <c r="H33" s="366">
        <f t="shared" si="15"/>
        <v>23015.600010342405</v>
      </c>
      <c r="I33" s="366">
        <f t="shared" si="15"/>
        <v>4223.0195345375996</v>
      </c>
      <c r="J33" s="366">
        <f t="shared" si="15"/>
        <v>2356.6661835023997</v>
      </c>
      <c r="K33" s="366">
        <f t="shared" si="15"/>
        <v>2483.2974821759999</v>
      </c>
      <c r="L33" s="366">
        <f t="shared" si="15"/>
        <v>4790.5288794449998</v>
      </c>
      <c r="M33" s="366">
        <f t="shared" si="15"/>
        <v>4857.6865329071989</v>
      </c>
      <c r="N33" s="366" t="e">
        <f t="shared" si="15"/>
        <v>#N/A</v>
      </c>
      <c r="O33" s="366">
        <f t="shared" si="15"/>
        <v>11702.344263085613</v>
      </c>
      <c r="P33" s="366">
        <f t="shared" si="15"/>
        <v>11673.085904023292</v>
      </c>
      <c r="Q33" s="366">
        <f t="shared" si="15"/>
        <v>11635.565819246265</v>
      </c>
      <c r="R33" s="366">
        <f t="shared" si="15"/>
        <v>11592.666695582604</v>
      </c>
      <c r="S33" s="366">
        <f t="shared" si="15"/>
        <v>11546.491252380007</v>
      </c>
      <c r="T33" s="366">
        <f t="shared" si="15"/>
        <v>11496.964685739769</v>
      </c>
      <c r="U33" s="366">
        <f t="shared" si="15"/>
        <v>11443.638628391005</v>
      </c>
      <c r="V33" s="366">
        <f t="shared" si="15"/>
        <v>11385.869493132068</v>
      </c>
      <c r="W33" s="366">
        <f t="shared" si="15"/>
        <v>11323.206175964067</v>
      </c>
      <c r="X33" s="366">
        <f t="shared" si="15"/>
        <v>11255.502718060268</v>
      </c>
      <c r="Y33" s="366">
        <f t="shared" si="15"/>
        <v>11182.95297098743</v>
      </c>
      <c r="Z33" s="366">
        <f t="shared" si="15"/>
        <v>11105.468447206844</v>
      </c>
      <c r="AA33" s="366"/>
      <c r="AB33" s="366"/>
      <c r="AC33" s="366" t="e">
        <f t="shared" si="15"/>
        <v>#N/A</v>
      </c>
      <c r="AD33" s="366">
        <f t="shared" si="15"/>
        <v>7978.2129384320015</v>
      </c>
      <c r="AE33" s="366">
        <f t="shared" si="15"/>
        <v>32164.466001050885</v>
      </c>
      <c r="AF33" s="366">
        <f t="shared" si="15"/>
        <v>0</v>
      </c>
      <c r="AG33" s="366">
        <f t="shared" si="15"/>
        <v>2387.8533758479402</v>
      </c>
      <c r="AH33" s="366">
        <f t="shared" si="15"/>
        <v>2268.2698242065394</v>
      </c>
      <c r="AI33" s="366">
        <f t="shared" si="15"/>
        <v>0</v>
      </c>
      <c r="AJ33" s="366">
        <f>IFERROR((AJ13+AJ14)*2,#N/A)</f>
        <v>0</v>
      </c>
      <c r="AK33" s="366" t="e">
        <f t="shared" ref="AK33:BC33" si="16">IFERROR((AK13+AK14)*2,#N/A)</f>
        <v>#N/A</v>
      </c>
      <c r="AL33" s="366">
        <f t="shared" si="16"/>
        <v>0</v>
      </c>
      <c r="AM33" s="366">
        <f t="shared" si="16"/>
        <v>0</v>
      </c>
      <c r="AN33" s="366">
        <f t="shared" si="16"/>
        <v>0</v>
      </c>
      <c r="AO33" s="366">
        <f t="shared" si="16"/>
        <v>0</v>
      </c>
      <c r="AP33" s="366">
        <f t="shared" si="16"/>
        <v>0</v>
      </c>
      <c r="AQ33" s="366">
        <f t="shared" si="16"/>
        <v>0</v>
      </c>
      <c r="AR33" s="366">
        <f t="shared" si="16"/>
        <v>0</v>
      </c>
      <c r="AS33" s="366">
        <f t="shared" si="16"/>
        <v>0</v>
      </c>
      <c r="AT33" s="366">
        <f t="shared" si="16"/>
        <v>0</v>
      </c>
      <c r="AU33" s="366">
        <f t="shared" si="16"/>
        <v>0</v>
      </c>
      <c r="AV33" s="366">
        <f t="shared" si="16"/>
        <v>0</v>
      </c>
      <c r="AW33" s="366">
        <f t="shared" si="16"/>
        <v>0</v>
      </c>
      <c r="AX33" s="366"/>
      <c r="AY33" s="366"/>
      <c r="AZ33" s="366" t="e">
        <f t="shared" si="16"/>
        <v>#N/A</v>
      </c>
      <c r="BA33" s="366">
        <f t="shared" si="16"/>
        <v>2135.697343416</v>
      </c>
      <c r="BB33" s="366">
        <f t="shared" si="16"/>
        <v>12482.311563443518</v>
      </c>
      <c r="BC33" s="366">
        <f t="shared" si="16"/>
        <v>5237.85629830176</v>
      </c>
      <c r="BD33" s="366">
        <f>IFERROR((BD13+BD14)*2,#N/A)</f>
        <v>1559.3119946652596</v>
      </c>
      <c r="BE33" s="366">
        <f t="shared" ref="BE33:BT33" si="17">IFERROR((BE13+BE14)*2,#N/A)</f>
        <v>1769.3257538226599</v>
      </c>
      <c r="BF33" s="366">
        <f t="shared" si="17"/>
        <v>6231.7534621656896</v>
      </c>
      <c r="BG33" s="366">
        <f t="shared" si="17"/>
        <v>6177.2924858039632</v>
      </c>
      <c r="BH33" s="366" t="e">
        <f t="shared" si="17"/>
        <v>#N/A</v>
      </c>
      <c r="BI33" s="366">
        <f t="shared" si="17"/>
        <v>17929.4283226306</v>
      </c>
      <c r="BJ33" s="366">
        <f t="shared" si="17"/>
        <v>17884.600923961396</v>
      </c>
      <c r="BK33" s="366">
        <f t="shared" si="17"/>
        <v>17827.115547053556</v>
      </c>
      <c r="BL33" s="366">
        <f t="shared" si="17"/>
        <v>17761.388822088065</v>
      </c>
      <c r="BM33" s="366">
        <f t="shared" si="17"/>
        <v>17690.642373295046</v>
      </c>
      <c r="BN33" s="366">
        <f t="shared" si="17"/>
        <v>17614.761591916635</v>
      </c>
      <c r="BO33" s="366">
        <f t="shared" si="17"/>
        <v>17533.05952423955</v>
      </c>
      <c r="BP33" s="366">
        <f t="shared" si="17"/>
        <v>17444.550115645863</v>
      </c>
      <c r="BQ33" s="366">
        <f t="shared" si="17"/>
        <v>17348.542219418949</v>
      </c>
      <c r="BR33" s="366">
        <f t="shared" si="17"/>
        <v>17244.812208714207</v>
      </c>
      <c r="BS33" s="366">
        <f t="shared" si="17"/>
        <v>17133.657087934636</v>
      </c>
      <c r="BT33" s="366">
        <f t="shared" si="17"/>
        <v>17014.941283305685</v>
      </c>
    </row>
    <row r="34" spans="1:72">
      <c r="E34" s="17" t="str">
        <f>IF(Cover!E4="English","3 doses/case",IF(Cover!E4="Français", "3 doses / cas","3 dosis / caja"))</f>
        <v>3 doses/case</v>
      </c>
      <c r="F34" s="268" t="e">
        <f>IFERROR((F13+F14)*3,#N/A)</f>
        <v>#N/A</v>
      </c>
      <c r="G34" s="268">
        <f t="shared" ref="G34:AI34" si="18">IFERROR((G13+G14)*3,#N/A)</f>
        <v>9399.4393316759979</v>
      </c>
      <c r="H34" s="268">
        <f t="shared" si="18"/>
        <v>34523.400015513609</v>
      </c>
      <c r="I34" s="268">
        <f t="shared" si="18"/>
        <v>6334.5293018063994</v>
      </c>
      <c r="J34" s="268">
        <f t="shared" si="18"/>
        <v>3534.9992752535995</v>
      </c>
      <c r="K34" s="268">
        <f t="shared" si="18"/>
        <v>3724.9462232639999</v>
      </c>
      <c r="L34" s="268">
        <f t="shared" si="18"/>
        <v>7185.7933191675002</v>
      </c>
      <c r="M34" s="268">
        <f t="shared" si="18"/>
        <v>7286.5297993607983</v>
      </c>
      <c r="N34" s="268" t="e">
        <f t="shared" si="18"/>
        <v>#N/A</v>
      </c>
      <c r="O34" s="268">
        <f t="shared" si="18"/>
        <v>17553.516394628419</v>
      </c>
      <c r="P34" s="268">
        <f t="shared" si="18"/>
        <v>17509.628856034939</v>
      </c>
      <c r="Q34" s="268">
        <f t="shared" si="18"/>
        <v>17453.348728869398</v>
      </c>
      <c r="R34" s="268">
        <f t="shared" si="18"/>
        <v>17389.000043373904</v>
      </c>
      <c r="S34" s="268">
        <f t="shared" si="18"/>
        <v>17319.736878570009</v>
      </c>
      <c r="T34" s="268">
        <f t="shared" si="18"/>
        <v>17245.447028609655</v>
      </c>
      <c r="U34" s="268">
        <f t="shared" si="18"/>
        <v>17165.457942586509</v>
      </c>
      <c r="V34" s="268">
        <f t="shared" si="18"/>
        <v>17078.804239698104</v>
      </c>
      <c r="W34" s="268">
        <f t="shared" si="18"/>
        <v>16984.809263946103</v>
      </c>
      <c r="X34" s="268">
        <f t="shared" si="18"/>
        <v>16883.254077090402</v>
      </c>
      <c r="Y34" s="268">
        <f t="shared" si="18"/>
        <v>16774.429456481143</v>
      </c>
      <c r="Z34" s="268">
        <f t="shared" si="18"/>
        <v>16658.202670810264</v>
      </c>
      <c r="AA34" s="268"/>
      <c r="AB34" s="268"/>
      <c r="AC34" s="268" t="e">
        <f t="shared" si="18"/>
        <v>#N/A</v>
      </c>
      <c r="AD34" s="268">
        <f t="shared" si="18"/>
        <v>11967.319407648003</v>
      </c>
      <c r="AE34" s="268">
        <f t="shared" si="18"/>
        <v>48246.699001576329</v>
      </c>
      <c r="AF34" s="268">
        <f t="shared" si="18"/>
        <v>0</v>
      </c>
      <c r="AG34" s="268">
        <f t="shared" si="18"/>
        <v>3581.7800637719101</v>
      </c>
      <c r="AH34" s="268">
        <f t="shared" si="18"/>
        <v>3402.4047363098089</v>
      </c>
      <c r="AI34" s="268">
        <f t="shared" si="18"/>
        <v>0</v>
      </c>
      <c r="AJ34" s="268">
        <f>IFERROR((AJ13+AJ14)*3,#N/A)</f>
        <v>0</v>
      </c>
      <c r="AK34" s="268" t="e">
        <f t="shared" ref="AK34:BC34" si="19">IFERROR((AK13+AK14)*3,#N/A)</f>
        <v>#N/A</v>
      </c>
      <c r="AL34" s="268">
        <f t="shared" si="19"/>
        <v>0</v>
      </c>
      <c r="AM34" s="268">
        <f t="shared" si="19"/>
        <v>0</v>
      </c>
      <c r="AN34" s="268">
        <f t="shared" si="19"/>
        <v>0</v>
      </c>
      <c r="AO34" s="268">
        <f t="shared" si="19"/>
        <v>0</v>
      </c>
      <c r="AP34" s="268">
        <f t="shared" si="19"/>
        <v>0</v>
      </c>
      <c r="AQ34" s="268">
        <f t="shared" si="19"/>
        <v>0</v>
      </c>
      <c r="AR34" s="268">
        <f t="shared" si="19"/>
        <v>0</v>
      </c>
      <c r="AS34" s="268">
        <f t="shared" si="19"/>
        <v>0</v>
      </c>
      <c r="AT34" s="268">
        <f t="shared" si="19"/>
        <v>0</v>
      </c>
      <c r="AU34" s="268">
        <f t="shared" si="19"/>
        <v>0</v>
      </c>
      <c r="AV34" s="268">
        <f t="shared" si="19"/>
        <v>0</v>
      </c>
      <c r="AW34" s="268">
        <f t="shared" si="19"/>
        <v>0</v>
      </c>
      <c r="AX34" s="268"/>
      <c r="AY34" s="268"/>
      <c r="AZ34" s="268" t="e">
        <f t="shared" si="19"/>
        <v>#N/A</v>
      </c>
      <c r="BA34" s="268">
        <f t="shared" si="19"/>
        <v>3203.546015124</v>
      </c>
      <c r="BB34" s="268">
        <f t="shared" si="19"/>
        <v>18723.467345165278</v>
      </c>
      <c r="BC34" s="268">
        <f t="shared" si="19"/>
        <v>7856.7844474526401</v>
      </c>
      <c r="BD34" s="268">
        <f>IFERROR((BD13+BD14)*3,#N/A)</f>
        <v>2338.9679919978894</v>
      </c>
      <c r="BE34" s="268">
        <f t="shared" ref="BE34:BT34" si="20">IFERROR((BE13+BE14)*3,#N/A)</f>
        <v>2653.9886307339898</v>
      </c>
      <c r="BF34" s="268">
        <f t="shared" si="20"/>
        <v>9347.6301932485349</v>
      </c>
      <c r="BG34" s="268">
        <f t="shared" si="20"/>
        <v>9265.9387287059453</v>
      </c>
      <c r="BH34" s="268" t="e">
        <f t="shared" si="20"/>
        <v>#N/A</v>
      </c>
      <c r="BI34" s="268">
        <f t="shared" si="20"/>
        <v>26894.1424839459</v>
      </c>
      <c r="BJ34" s="268">
        <f t="shared" si="20"/>
        <v>26826.901385942096</v>
      </c>
      <c r="BK34" s="268">
        <f t="shared" si="20"/>
        <v>26740.673320580332</v>
      </c>
      <c r="BL34" s="268">
        <f t="shared" si="20"/>
        <v>26642.0832331321</v>
      </c>
      <c r="BM34" s="268">
        <f t="shared" si="20"/>
        <v>26535.963559942567</v>
      </c>
      <c r="BN34" s="268">
        <f t="shared" si="20"/>
        <v>26422.142387874952</v>
      </c>
      <c r="BO34" s="268">
        <f t="shared" si="20"/>
        <v>26299.589286359325</v>
      </c>
      <c r="BP34" s="268">
        <f t="shared" si="20"/>
        <v>26166.825173468795</v>
      </c>
      <c r="BQ34" s="268">
        <f t="shared" si="20"/>
        <v>26022.813329128425</v>
      </c>
      <c r="BR34" s="268">
        <f t="shared" si="20"/>
        <v>25867.218313071309</v>
      </c>
      <c r="BS34" s="268">
        <f t="shared" si="20"/>
        <v>25700.485631901953</v>
      </c>
      <c r="BT34" s="268">
        <f t="shared" si="20"/>
        <v>25522.411924958527</v>
      </c>
    </row>
    <row r="35" spans="1:72">
      <c r="A35" s="17"/>
      <c r="B35" s="17"/>
      <c r="G35" s="17"/>
      <c r="H35" s="17"/>
      <c r="I35" s="17"/>
      <c r="J35" s="17"/>
      <c r="K35" s="17"/>
      <c r="L35" s="17"/>
      <c r="M35" s="17"/>
      <c r="N35" s="17"/>
      <c r="AX35" s="17"/>
      <c r="AY35" s="17"/>
    </row>
    <row r="36" spans="1:72">
      <c r="A36" s="17"/>
      <c r="B36" s="17"/>
      <c r="E36" s="17" t="s">
        <v>224</v>
      </c>
      <c r="G36" s="17"/>
      <c r="H36" s="17"/>
      <c r="I36" s="17"/>
      <c r="J36" s="17"/>
      <c r="K36" s="17"/>
      <c r="L36" s="17"/>
      <c r="M36" s="17"/>
      <c r="N36" s="17"/>
      <c r="AX36" s="17"/>
      <c r="AY36" s="17"/>
    </row>
    <row r="37" spans="1:72">
      <c r="A37" s="17"/>
      <c r="B37" s="17"/>
      <c r="G37" s="17"/>
      <c r="H37" s="17"/>
      <c r="I37" s="17"/>
      <c r="J37" s="17"/>
      <c r="K37" s="17"/>
      <c r="L37" s="17"/>
      <c r="M37" s="17"/>
      <c r="N37" s="17"/>
      <c r="AX37" s="17"/>
      <c r="AY37" s="17"/>
    </row>
    <row r="38" spans="1:72" ht="27" thickBot="1">
      <c r="A38" s="17"/>
      <c r="B38" s="17"/>
      <c r="E38" s="20" t="s">
        <v>27</v>
      </c>
      <c r="F38" s="696"/>
      <c r="G38" s="696"/>
      <c r="H38" s="696"/>
      <c r="I38" s="696"/>
      <c r="J38" s="696"/>
      <c r="K38" s="696"/>
      <c r="L38" s="696"/>
      <c r="M38" s="696"/>
      <c r="N38" s="696"/>
      <c r="O38" s="696"/>
      <c r="P38" s="696"/>
      <c r="Q38" s="696"/>
      <c r="R38" s="696"/>
      <c r="S38" s="696"/>
      <c r="T38" s="696"/>
      <c r="U38" s="696"/>
      <c r="V38" s="696"/>
      <c r="W38" s="696"/>
      <c r="X38" s="696"/>
      <c r="Y38" s="696"/>
      <c r="Z38" s="696"/>
      <c r="AA38" s="696"/>
      <c r="AB38" s="696"/>
      <c r="AC38" s="696"/>
      <c r="AD38" s="696"/>
      <c r="AE38" s="696"/>
      <c r="AF38" s="696"/>
      <c r="AG38" s="696"/>
      <c r="AH38" s="696"/>
      <c r="AI38" s="696"/>
      <c r="AJ38" s="696"/>
      <c r="AK38" s="696"/>
      <c r="AL38" s="696"/>
      <c r="AM38" s="696"/>
      <c r="AN38" s="696"/>
      <c r="AO38" s="696"/>
      <c r="AP38" s="696"/>
      <c r="AQ38" s="696"/>
      <c r="AR38" s="696"/>
      <c r="AS38" s="696"/>
      <c r="AT38" s="696"/>
      <c r="AU38" s="696"/>
      <c r="AV38" s="696"/>
      <c r="AW38" s="696"/>
      <c r="AX38" s="696"/>
      <c r="AY38" s="696"/>
      <c r="AZ38" s="696"/>
      <c r="BA38" s="696"/>
      <c r="BB38" s="696"/>
      <c r="BC38" s="696"/>
      <c r="BD38" s="696"/>
      <c r="BE38" s="696"/>
      <c r="BF38" s="696"/>
      <c r="BG38" s="696"/>
      <c r="BH38" s="696"/>
      <c r="BI38" s="696"/>
      <c r="BJ38" s="696"/>
      <c r="BK38" s="696"/>
      <c r="BL38" s="696"/>
      <c r="BM38" s="696"/>
      <c r="BN38" s="696"/>
      <c r="BO38" s="696"/>
      <c r="BP38" s="696"/>
      <c r="BQ38" s="696"/>
      <c r="BR38" s="696"/>
      <c r="BS38" s="696"/>
      <c r="BT38" s="696"/>
    </row>
    <row r="39" spans="1:72">
      <c r="A39" s="17"/>
      <c r="B39" s="17"/>
      <c r="E39" s="60"/>
      <c r="F39" s="60"/>
      <c r="G39" s="60"/>
      <c r="H39" s="60"/>
      <c r="I39" s="60"/>
      <c r="J39" s="60"/>
      <c r="K39" s="60"/>
      <c r="L39" s="60"/>
      <c r="M39" s="60"/>
      <c r="N39" s="60"/>
      <c r="O39" s="60"/>
      <c r="P39" s="60"/>
      <c r="Q39" s="60"/>
      <c r="R39" s="60"/>
      <c r="S39" s="60"/>
      <c r="T39" s="60"/>
      <c r="U39" s="60"/>
      <c r="V39" s="60"/>
      <c r="W39" s="60"/>
      <c r="X39" s="60"/>
      <c r="Y39" s="60"/>
      <c r="Z39" s="60"/>
      <c r="AA39" s="60"/>
      <c r="AB39" s="60"/>
      <c r="AC39" s="60"/>
      <c r="AD39" s="60"/>
      <c r="AE39" s="60"/>
      <c r="AF39" s="60"/>
      <c r="AG39" s="60"/>
      <c r="AH39" s="60"/>
      <c r="AI39" s="60"/>
      <c r="AJ39" s="60"/>
      <c r="AK39" s="60"/>
      <c r="AL39" s="60"/>
      <c r="AM39" s="60"/>
      <c r="AN39" s="60"/>
      <c r="AO39" s="60"/>
      <c r="AP39" s="60"/>
      <c r="AQ39" s="60"/>
      <c r="AR39" s="60"/>
      <c r="AS39" s="60"/>
      <c r="AT39" s="60"/>
      <c r="AU39" s="60"/>
      <c r="AV39" s="60"/>
      <c r="AW39" s="60"/>
      <c r="AX39" s="60"/>
      <c r="AY39" s="60"/>
      <c r="AZ39" s="60"/>
      <c r="BA39" s="60"/>
      <c r="BB39" s="60"/>
      <c r="BC39" s="60"/>
      <c r="BD39" s="60"/>
      <c r="BE39" s="60"/>
      <c r="BF39" s="60"/>
      <c r="BG39" s="60"/>
      <c r="BH39" s="60"/>
      <c r="BI39" s="60"/>
      <c r="BJ39" s="60"/>
      <c r="BK39" s="60"/>
      <c r="BL39" s="60"/>
      <c r="BM39" s="60"/>
      <c r="BN39" s="60"/>
      <c r="BO39" s="60"/>
      <c r="BP39" s="60"/>
      <c r="BQ39" s="60"/>
      <c r="BR39" s="60"/>
      <c r="BS39" s="60"/>
      <c r="BT39" s="60"/>
    </row>
    <row r="40" spans="1:72" ht="19">
      <c r="A40" s="17"/>
      <c r="B40" s="17"/>
      <c r="E40" s="163" t="s">
        <v>192</v>
      </c>
      <c r="F40" s="163"/>
      <c r="G40" s="163"/>
      <c r="H40" s="163"/>
      <c r="I40" s="163"/>
      <c r="J40" s="163"/>
      <c r="K40" s="163"/>
      <c r="L40" s="163"/>
      <c r="M40" s="163"/>
      <c r="N40" s="163"/>
      <c r="O40" s="163"/>
      <c r="P40" s="163"/>
      <c r="Q40" s="163"/>
      <c r="R40" s="163"/>
      <c r="S40" s="163"/>
      <c r="T40" s="163"/>
      <c r="U40" s="163"/>
      <c r="V40" s="163"/>
      <c r="W40" s="163"/>
      <c r="X40" s="163"/>
      <c r="Y40" s="163"/>
      <c r="Z40" s="163"/>
      <c r="AA40" s="163"/>
      <c r="AB40" s="163"/>
      <c r="AC40" s="163"/>
      <c r="AD40" s="163"/>
      <c r="AE40" s="163"/>
      <c r="AF40" s="163"/>
      <c r="AG40" s="163"/>
      <c r="AH40" s="163"/>
      <c r="AI40" s="163"/>
      <c r="AJ40" s="163"/>
      <c r="AK40" s="163"/>
      <c r="AL40" s="163"/>
      <c r="AM40" s="163"/>
      <c r="AN40" s="163"/>
      <c r="AO40" s="163"/>
      <c r="AP40" s="163"/>
      <c r="AQ40" s="163"/>
      <c r="AR40" s="163"/>
      <c r="AS40" s="163"/>
      <c r="AT40" s="163"/>
      <c r="AU40" s="163"/>
      <c r="AV40" s="163"/>
      <c r="AW40" s="163"/>
      <c r="AX40" s="163"/>
      <c r="AY40" s="163"/>
      <c r="AZ40" s="163"/>
      <c r="BA40" s="163"/>
      <c r="BB40" s="163"/>
      <c r="BC40" s="163"/>
      <c r="BD40" s="163"/>
      <c r="BE40" s="163"/>
      <c r="BF40" s="163"/>
      <c r="BG40" s="163"/>
      <c r="BH40" s="163"/>
      <c r="BI40" s="163"/>
      <c r="BJ40" s="163"/>
      <c r="BK40" s="163"/>
      <c r="BL40" s="163"/>
      <c r="BM40" s="163"/>
      <c r="BN40" s="163"/>
      <c r="BO40" s="163"/>
      <c r="BP40" s="163"/>
      <c r="BQ40" s="163"/>
      <c r="BR40" s="163"/>
      <c r="BS40" s="163"/>
      <c r="BT40" s="163"/>
    </row>
    <row r="41" spans="1:72">
      <c r="A41" s="17"/>
      <c r="B41" s="17"/>
      <c r="E41" s="162" t="s">
        <v>264</v>
      </c>
      <c r="F41" s="370" t="e">
        <f>(F13)-(SUM(F42:F45))</f>
        <v>#VALUE!</v>
      </c>
      <c r="G41" s="370">
        <f t="shared" ref="G41:AI41" si="21">(G13)-(SUM(G42:G45))</f>
        <v>2084.937430014802</v>
      </c>
      <c r="H41" s="370">
        <f t="shared" si="21"/>
        <v>7657.8108931613724</v>
      </c>
      <c r="I41" s="370">
        <f t="shared" si="21"/>
        <v>1405.0941526218412</v>
      </c>
      <c r="J41" s="370">
        <f t="shared" si="21"/>
        <v>784.11616310068246</v>
      </c>
      <c r="K41" s="370">
        <f t="shared" si="21"/>
        <v>826.24926143234052</v>
      </c>
      <c r="L41" s="370">
        <f t="shared" si="21"/>
        <v>1593.9173526014149</v>
      </c>
      <c r="M41" s="370">
        <f t="shared" si="21"/>
        <v>1616.2622234720802</v>
      </c>
      <c r="N41" s="370" t="e">
        <f t="shared" si="21"/>
        <v>#VALUE!</v>
      </c>
      <c r="O41" s="370">
        <f t="shared" si="21"/>
        <v>3893.634723105718</v>
      </c>
      <c r="P41" s="370">
        <f t="shared" si="21"/>
        <v>3883.8998050222094</v>
      </c>
      <c r="Q41" s="370">
        <f t="shared" si="21"/>
        <v>3871.4160238568811</v>
      </c>
      <c r="R41" s="370">
        <f t="shared" si="21"/>
        <v>3857.142514743452</v>
      </c>
      <c r="S41" s="370">
        <f t="shared" si="21"/>
        <v>3841.778899986743</v>
      </c>
      <c r="T41" s="370">
        <f t="shared" si="21"/>
        <v>3825.3002906370816</v>
      </c>
      <c r="U41" s="370">
        <f t="shared" si="21"/>
        <v>3807.5575047583211</v>
      </c>
      <c r="V41" s="370">
        <f t="shared" si="21"/>
        <v>3788.3364063261438</v>
      </c>
      <c r="W41" s="370">
        <f t="shared" si="21"/>
        <v>3767.4869028330736</v>
      </c>
      <c r="X41" s="370">
        <f t="shared" si="21"/>
        <v>3744.9604304748718</v>
      </c>
      <c r="Y41" s="370">
        <f t="shared" si="21"/>
        <v>3720.8214880540431</v>
      </c>
      <c r="Z41" s="370">
        <f t="shared" si="21"/>
        <v>3695.0406337642676</v>
      </c>
      <c r="AA41" s="370"/>
      <c r="AB41" s="370"/>
      <c r="AC41" s="370" t="e">
        <f t="shared" si="21"/>
        <v>#VALUE!</v>
      </c>
      <c r="AD41" s="370">
        <f t="shared" si="21"/>
        <v>2654.531966163443</v>
      </c>
      <c r="AE41" s="370">
        <f t="shared" si="21"/>
        <v>10701.845617967087</v>
      </c>
      <c r="AF41" s="370">
        <f t="shared" si="21"/>
        <v>0</v>
      </c>
      <c r="AG41" s="370">
        <f t="shared" si="21"/>
        <v>794.49284766087123</v>
      </c>
      <c r="AH41" s="370">
        <f t="shared" si="21"/>
        <v>754.70469423489328</v>
      </c>
      <c r="AI41" s="370">
        <f t="shared" si="21"/>
        <v>0</v>
      </c>
      <c r="AJ41" s="370">
        <f>(AJ13)-(SUM(AJ42:AJ45))</f>
        <v>0</v>
      </c>
      <c r="AK41" s="370" t="e">
        <f t="shared" ref="AK41:AW41" si="22">(AK13)-(SUM(AK42:AK45))</f>
        <v>#VALUE!</v>
      </c>
      <c r="AL41" s="370">
        <f t="shared" si="22"/>
        <v>0</v>
      </c>
      <c r="AM41" s="370">
        <f t="shared" si="22"/>
        <v>0</v>
      </c>
      <c r="AN41" s="370">
        <f t="shared" si="22"/>
        <v>0</v>
      </c>
      <c r="AO41" s="370">
        <f t="shared" si="22"/>
        <v>0</v>
      </c>
      <c r="AP41" s="370">
        <f t="shared" si="22"/>
        <v>0</v>
      </c>
      <c r="AQ41" s="370">
        <f t="shared" si="22"/>
        <v>0</v>
      </c>
      <c r="AR41" s="370">
        <f t="shared" si="22"/>
        <v>0</v>
      </c>
      <c r="AS41" s="370">
        <f t="shared" si="22"/>
        <v>0</v>
      </c>
      <c r="AT41" s="370">
        <f t="shared" si="22"/>
        <v>0</v>
      </c>
      <c r="AU41" s="370">
        <f t="shared" si="22"/>
        <v>0</v>
      </c>
      <c r="AV41" s="370">
        <f t="shared" si="22"/>
        <v>0</v>
      </c>
      <c r="AW41" s="370">
        <f t="shared" si="22"/>
        <v>0</v>
      </c>
      <c r="AX41" s="370"/>
      <c r="AY41" s="370"/>
      <c r="AZ41" s="370" t="e">
        <f t="shared" ref="AZ41:BC41" si="23">(AZ13)-(SUM(AZ42:AZ45))</f>
        <v>#VALUE!</v>
      </c>
      <c r="BA41" s="370">
        <f t="shared" si="23"/>
        <v>710.59483018290166</v>
      </c>
      <c r="BB41" s="370">
        <f t="shared" si="23"/>
        <v>4153.1474921104991</v>
      </c>
      <c r="BC41" s="370">
        <f t="shared" si="23"/>
        <v>1742.7533064497497</v>
      </c>
      <c r="BD41" s="370">
        <f>(BD13)-(SUM(BD42:BD45))</f>
        <v>518.8183828889529</v>
      </c>
      <c r="BE41" s="370">
        <f t="shared" ref="BE41:BT41" si="24">(BE13)-(SUM(BE42:BE45))</f>
        <v>588.69471250306754</v>
      </c>
      <c r="BF41" s="370">
        <f t="shared" si="24"/>
        <v>2073.4453815944016</v>
      </c>
      <c r="BG41" s="370">
        <f t="shared" si="24"/>
        <v>2055.3249824804257</v>
      </c>
      <c r="BH41" s="370" t="e">
        <f t="shared" si="24"/>
        <v>#VALUE!</v>
      </c>
      <c r="BI41" s="370">
        <f t="shared" si="24"/>
        <v>5965.5264887945032</v>
      </c>
      <c r="BJ41" s="370">
        <f t="shared" si="24"/>
        <v>5950.6113989560081</v>
      </c>
      <c r="BK41" s="370">
        <f t="shared" si="24"/>
        <v>5931.4847133477888</v>
      </c>
      <c r="BL41" s="370">
        <f t="shared" si="24"/>
        <v>5909.6159447653326</v>
      </c>
      <c r="BM41" s="370">
        <f t="shared" si="24"/>
        <v>5886.0770004850956</v>
      </c>
      <c r="BN41" s="370">
        <f t="shared" si="24"/>
        <v>5860.8297475801064</v>
      </c>
      <c r="BO41" s="370">
        <f t="shared" si="24"/>
        <v>5833.6456210063807</v>
      </c>
      <c r="BP41" s="370">
        <f t="shared" si="24"/>
        <v>5804.196538081259</v>
      </c>
      <c r="BQ41" s="370">
        <f t="shared" si="24"/>
        <v>5772.2525386536709</v>
      </c>
      <c r="BR41" s="370">
        <f t="shared" si="24"/>
        <v>5737.7392170124558</v>
      </c>
      <c r="BS41" s="370">
        <f t="shared" si="24"/>
        <v>5700.7553932427527</v>
      </c>
      <c r="BT41" s="370">
        <f t="shared" si="24"/>
        <v>5661.2559588821678</v>
      </c>
    </row>
    <row r="42" spans="1:72">
      <c r="A42" s="17"/>
      <c r="B42" s="17"/>
      <c r="E42" s="162" t="s">
        <v>265</v>
      </c>
      <c r="F42" s="370"/>
      <c r="G42" s="370"/>
      <c r="H42" s="370"/>
      <c r="I42" s="370"/>
      <c r="J42" s="370"/>
      <c r="K42" s="370"/>
      <c r="L42" s="370"/>
      <c r="M42" s="370"/>
      <c r="N42" s="370"/>
      <c r="O42" s="370"/>
      <c r="P42" s="370"/>
      <c r="Q42" s="370"/>
      <c r="R42" s="370"/>
      <c r="S42" s="370"/>
      <c r="T42" s="370"/>
      <c r="U42" s="370"/>
      <c r="V42" s="370"/>
      <c r="W42" s="370"/>
      <c r="X42" s="370"/>
      <c r="Y42" s="370"/>
      <c r="Z42" s="370"/>
      <c r="AA42" s="370"/>
      <c r="AB42" s="370"/>
      <c r="AC42" s="370"/>
      <c r="AD42" s="370"/>
      <c r="AE42" s="370"/>
      <c r="AF42" s="370"/>
      <c r="AG42" s="370"/>
      <c r="AH42" s="370"/>
      <c r="AI42" s="370"/>
      <c r="AJ42" s="370"/>
      <c r="AK42" s="370"/>
      <c r="AL42" s="370"/>
      <c r="AM42" s="370"/>
      <c r="AN42" s="370"/>
      <c r="AO42" s="370"/>
      <c r="AP42" s="370"/>
      <c r="AQ42" s="370"/>
      <c r="AR42" s="370"/>
      <c r="AS42" s="370"/>
      <c r="AT42" s="370"/>
      <c r="AU42" s="370"/>
      <c r="AV42" s="370"/>
      <c r="AW42" s="370"/>
      <c r="AX42" s="370"/>
      <c r="AY42" s="370"/>
      <c r="AZ42" s="370"/>
      <c r="BA42" s="370"/>
      <c r="BB42" s="370"/>
      <c r="BC42" s="370"/>
      <c r="BD42" s="370"/>
      <c r="BE42" s="370"/>
      <c r="BF42" s="370"/>
      <c r="BG42" s="370"/>
      <c r="BH42" s="370"/>
      <c r="BI42" s="370"/>
      <c r="BJ42" s="370"/>
      <c r="BK42" s="370"/>
      <c r="BL42" s="370"/>
      <c r="BM42" s="370"/>
      <c r="BN42" s="370"/>
      <c r="BO42" s="370"/>
      <c r="BP42" s="370"/>
      <c r="BQ42" s="370"/>
      <c r="BR42" s="370"/>
      <c r="BS42" s="370"/>
      <c r="BT42" s="370"/>
    </row>
    <row r="43" spans="1:72">
      <c r="A43" s="17"/>
      <c r="B43" s="17"/>
      <c r="D43" s="64"/>
      <c r="E43" s="162" t="s">
        <v>266</v>
      </c>
      <c r="F43" s="370" t="e">
        <f>((EXP(-2.5855+0.1129*BaselineData!F27))*BaselineData!$E$90)*F25</f>
        <v>#VALUE!</v>
      </c>
      <c r="G43" s="370">
        <f>((EXP(-2.5855+0.1129*BaselineData!G27))*BaselineData!$E$90)*G25</f>
        <v>26.286134895963187</v>
      </c>
      <c r="H43" s="370">
        <f>((EXP(-2.5855+0.1129*BaselineData!H27))*BaselineData!$E$90)*H25</f>
        <v>96.546902198396964</v>
      </c>
      <c r="I43" s="370">
        <f>((EXP(-2.5855+0.1129*BaselineData!I27))*BaselineData!$E$90)*I25</f>
        <v>17.71491743859411</v>
      </c>
      <c r="J43" s="370">
        <f>((EXP(-2.5855+0.1129*BaselineData!J27))*BaselineData!$E$90)*J25</f>
        <v>9.8858521798533214</v>
      </c>
      <c r="K43" s="370">
        <f>((EXP(-2.5855+0.1129*BaselineData!K27))*BaselineData!$E$90)*K25</f>
        <v>10.417051001643856</v>
      </c>
      <c r="L43" s="370">
        <f>((EXP(-2.5855+0.1129*BaselineData!L27))*BaselineData!$E$90)*L25</f>
        <v>20.095531856416365</v>
      </c>
      <c r="M43" s="370">
        <f>((EXP(-2.5855+0.1129*BaselineData!M27))*BaselineData!$E$90)*M25</f>
        <v>20.377247883709813</v>
      </c>
      <c r="N43" s="370" t="e">
        <f>((EXP(-2.5855+0.1129*BaselineData!N27))*BaselineData!$E$90)*N25</f>
        <v>#VALUE!</v>
      </c>
      <c r="O43" s="370">
        <f>((EXP(-2.5855+0.1129*BaselineData!O27))*BaselineData!$E$90)*O25</f>
        <v>49.089534339856215</v>
      </c>
      <c r="P43" s="370">
        <f>((EXP(-2.5855+0.1129*BaselineData!P27))*BaselineData!$E$90)*P25</f>
        <v>48.966800023583502</v>
      </c>
      <c r="Q43" s="370">
        <f>((EXP(-2.5855+0.1129*BaselineData!Q27))*BaselineData!$E$90)*Q25</f>
        <v>48.809409038607427</v>
      </c>
      <c r="R43" s="370">
        <f>((EXP(-2.5855+0.1129*BaselineData!R27))*BaselineData!$E$90)*R25</f>
        <v>48.629453812808784</v>
      </c>
      <c r="S43" s="370">
        <f>((EXP(-2.5855+0.1129*BaselineData!S27))*BaselineData!$E$90)*S25</f>
        <v>48.435754930448752</v>
      </c>
      <c r="T43" s="370">
        <f>((EXP(-2.5855+0.1129*BaselineData!T27))*BaselineData!$E$90)*T25</f>
        <v>48.227998600677267</v>
      </c>
      <c r="U43" s="370">
        <f>((EXP(-2.5855+0.1129*BaselineData!U27))*BaselineData!$E$90)*U25</f>
        <v>48.004303991752721</v>
      </c>
      <c r="V43" s="370">
        <f>((EXP(-2.5855+0.1129*BaselineData!V27))*BaselineData!$E$90)*V25</f>
        <v>47.761971354349207</v>
      </c>
      <c r="W43" s="370">
        <f>((EXP(-2.5855+0.1129*BaselineData!W27))*BaselineData!$E$90)*W25</f>
        <v>47.499108376572075</v>
      </c>
      <c r="X43" s="370">
        <f>((EXP(-2.5855+0.1129*BaselineData!X27))*BaselineData!$E$90)*X25</f>
        <v>47.215102783591917</v>
      </c>
      <c r="Y43" s="370">
        <f>((EXP(-2.5855+0.1129*BaselineData!Y27))*BaselineData!$E$90)*Y25</f>
        <v>46.910767752916541</v>
      </c>
      <c r="Z43" s="370">
        <f>((EXP(-2.5855+0.1129*BaselineData!Z27))*BaselineData!$E$90)*Z25</f>
        <v>46.58573209293062</v>
      </c>
      <c r="AA43" s="370"/>
      <c r="AB43" s="370"/>
      <c r="AC43" s="370" t="e">
        <f>((EXP(-2.5855+0.1129*BaselineData!AC27))*BaselineData!$E$90)*AC25</f>
        <v>#VALUE!</v>
      </c>
      <c r="AD43" s="370">
        <f>((EXP(-2.5855+0.1129*BaselineData!AD27))*BaselineData!$E$90)*AD25</f>
        <v>33.467376211727981</v>
      </c>
      <c r="AE43" s="370">
        <f>((EXP(-2.5855+0.1129*BaselineData!AE27))*BaselineData!$E$90)*AE25</f>
        <v>134.92498791566047</v>
      </c>
      <c r="AF43" s="370">
        <f>((EXP(-2.5855+0.1129*BaselineData!AF27))*BaselineData!$E$90)*AF25</f>
        <v>0</v>
      </c>
      <c r="AG43" s="370">
        <f>((EXP(-2.5855+0.1129*BaselineData!AG27))*BaselineData!$E$90)*AG25</f>
        <v>10.016677655090746</v>
      </c>
      <c r="AH43" s="370">
        <f>((EXP(-2.5855+0.1129*BaselineData!AH27))*BaselineData!$E$90)*AH25</f>
        <v>9.5150430481427986</v>
      </c>
      <c r="AI43" s="370">
        <f>((EXP(-2.5855+0.1129*BaselineData!AI27))*BaselineData!$E$90)*AI25</f>
        <v>0</v>
      </c>
      <c r="AJ43" s="370">
        <f>((EXP(-2.5855+0.1129*BaselineData!AJ27))*BaselineData!$E$90)*AJ25</f>
        <v>0</v>
      </c>
      <c r="AK43" s="370" t="e">
        <f>((EXP(-2.5855+0.1129*BaselineData!AK27))*BaselineData!$E$90)*AK25</f>
        <v>#VALUE!</v>
      </c>
      <c r="AL43" s="370">
        <f>((EXP(-2.5855+0.1129*BaselineData!AL27))*BaselineData!$E$90)*AL25</f>
        <v>0</v>
      </c>
      <c r="AM43" s="370">
        <f>((EXP(-2.5855+0.1129*BaselineData!AM27))*BaselineData!$E$90)*AM25</f>
        <v>0</v>
      </c>
      <c r="AN43" s="370">
        <f>((EXP(-2.5855+0.1129*BaselineData!AN27))*BaselineData!$E$90)*AN25</f>
        <v>0</v>
      </c>
      <c r="AO43" s="370">
        <f>((EXP(-2.5855+0.1129*BaselineData!AO27))*BaselineData!$E$90)*AO25</f>
        <v>0</v>
      </c>
      <c r="AP43" s="370">
        <f>((EXP(-2.5855+0.1129*BaselineData!AP27))*BaselineData!$E$90)*AP25</f>
        <v>0</v>
      </c>
      <c r="AQ43" s="370">
        <f>((EXP(-2.5855+0.1129*BaselineData!AQ27))*BaselineData!$E$90)*AQ25</f>
        <v>0</v>
      </c>
      <c r="AR43" s="370">
        <f>((EXP(-2.5855+0.1129*BaselineData!AR27))*BaselineData!$E$90)*AR25</f>
        <v>0</v>
      </c>
      <c r="AS43" s="370">
        <f>((EXP(-2.5855+0.1129*BaselineData!AS27))*BaselineData!$E$90)*AS25</f>
        <v>0</v>
      </c>
      <c r="AT43" s="370">
        <f>((EXP(-2.5855+0.1129*BaselineData!AT27))*BaselineData!$E$90)*AT25</f>
        <v>0</v>
      </c>
      <c r="AU43" s="370">
        <f>((EXP(-2.5855+0.1129*BaselineData!AU27))*BaselineData!$E$90)*AU25</f>
        <v>0</v>
      </c>
      <c r="AV43" s="370">
        <f>((EXP(-2.5855+0.1129*BaselineData!AV27))*BaselineData!$E$90)*AV25</f>
        <v>0</v>
      </c>
      <c r="AW43" s="370">
        <f>((EXP(-2.5855+0.1129*BaselineData!AW27))*BaselineData!$E$90)*AW25</f>
        <v>0</v>
      </c>
      <c r="AX43" s="370"/>
      <c r="AY43" s="370"/>
      <c r="AZ43" s="370" t="e">
        <f>((EXP(-2.5855+0.1129*BaselineData!AZ27))*BaselineData!$E$90)*AZ25</f>
        <v>#VALUE!</v>
      </c>
      <c r="BA43" s="370">
        <f>((EXP(-2.5855+0.1129*BaselineData!BA27))*BaselineData!$E$90)*BA25</f>
        <v>8.9589218811373144</v>
      </c>
      <c r="BB43" s="370">
        <f>((EXP(-2.5855+0.1129*BaselineData!BB27))*BaselineData!$E$90)*BB25</f>
        <v>52.361377204337849</v>
      </c>
      <c r="BC43" s="370">
        <f>((EXP(-2.5855+0.1129*BaselineData!BC27))*BaselineData!$E$90)*BC25</f>
        <v>21.972001578675084</v>
      </c>
      <c r="BD43" s="370">
        <f>((EXP(-2.5855+0.1129*BaselineData!BD27))*BaselineData!$E$90)*BD25</f>
        <v>6.5410739923392685</v>
      </c>
      <c r="BE43" s="370">
        <f>((EXP(-2.5855+0.1129*BaselineData!BE27))*BaselineData!$E$90)*BE25</f>
        <v>7.4220494114713267</v>
      </c>
      <c r="BF43" s="370">
        <f>((EXP(-2.5855+0.1129*BaselineData!BF27))*BaselineData!$E$90)*BF25</f>
        <v>26.141247317726634</v>
      </c>
      <c r="BG43" s="370">
        <f>((EXP(-2.5855+0.1129*BaselineData!BG27))*BaselineData!$E$90)*BG25</f>
        <v>25.912791898095513</v>
      </c>
      <c r="BH43" s="370" t="e">
        <f>((EXP(-2.5855+0.1129*BaselineData!BH27))*BaselineData!$E$90)*BH25</f>
        <v>#VALUE!</v>
      </c>
      <c r="BI43" s="370">
        <f>((EXP(-2.5855+0.1129*BaselineData!BI27))*BaselineData!$E$90)*BI25</f>
        <v>75.211194231752401</v>
      </c>
      <c r="BJ43" s="370">
        <f>((EXP(-2.5855+0.1129*BaselineData!BJ27))*BaselineData!$E$90)*BJ25</f>
        <v>75.02315018887802</v>
      </c>
      <c r="BK43" s="370">
        <f>((EXP(-2.5855+0.1129*BaselineData!BK27))*BaselineData!$E$90)*BK25</f>
        <v>74.782007874114768</v>
      </c>
      <c r="BL43" s="370">
        <f>((EXP(-2.5855+0.1129*BaselineData!BL27))*BaselineData!$E$90)*BL25</f>
        <v>74.506294371785359</v>
      </c>
      <c r="BM43" s="370">
        <f>((EXP(-2.5855+0.1129*BaselineData!BM27))*BaselineData!$E$90)*BM25</f>
        <v>74.209523900042967</v>
      </c>
      <c r="BN43" s="370">
        <f>((EXP(-2.5855+0.1129*BaselineData!BN27))*BaselineData!$E$90)*BN25</f>
        <v>73.891215692775404</v>
      </c>
      <c r="BO43" s="370">
        <f>((EXP(-2.5855+0.1129*BaselineData!BO27))*BaselineData!$E$90)*BO25</f>
        <v>73.548488084810302</v>
      </c>
      <c r="BP43" s="370">
        <f>((EXP(-2.5855+0.1129*BaselineData!BP27))*BaselineData!$E$90)*BP25</f>
        <v>73.177204728682597</v>
      </c>
      <c r="BQ43" s="370">
        <f>((EXP(-2.5855+0.1129*BaselineData!BQ27))*BaselineData!$E$90)*BQ25</f>
        <v>72.774466370215791</v>
      </c>
      <c r="BR43" s="370">
        <f>((EXP(-2.5855+0.1129*BaselineData!BR27))*BaselineData!$E$90)*BR25</f>
        <v>72.339334929191068</v>
      </c>
      <c r="BS43" s="370">
        <f>((EXP(-2.5855+0.1129*BaselineData!BS27))*BaselineData!$E$90)*BS25</f>
        <v>71.873056293399088</v>
      </c>
      <c r="BT43" s="370">
        <f>((EXP(-2.5855+0.1129*BaselineData!BT27))*BaselineData!$E$90)*BT25</f>
        <v>71.37506175170715</v>
      </c>
    </row>
    <row r="44" spans="1:72">
      <c r="A44" s="17"/>
      <c r="B44" s="17"/>
      <c r="E44" s="60" t="s">
        <v>267</v>
      </c>
      <c r="F44" s="370" t="e">
        <f>((EXP(-2.5855+0.1129*BaselineData!F27))*BaselineData!$E$91)*F25</f>
        <v>#VALUE!</v>
      </c>
      <c r="G44" s="370">
        <f>((EXP(-2.5855+0.1129*BaselineData!G27))*BaselineData!$E$91)*G25</f>
        <v>31.543361875155831</v>
      </c>
      <c r="H44" s="370">
        <f>((EXP(-2.5855+0.1129*BaselineData!H27))*BaselineData!$E$91)*H25</f>
        <v>115.85628263807637</v>
      </c>
      <c r="I44" s="370">
        <f>((EXP(-2.5855+0.1129*BaselineData!I27))*BaselineData!$E$91)*I25</f>
        <v>21.257900926312935</v>
      </c>
      <c r="J44" s="370">
        <f>((EXP(-2.5855+0.1129*BaselineData!J27))*BaselineData!$E$91)*J25</f>
        <v>11.863022615823988</v>
      </c>
      <c r="K44" s="370">
        <f>((EXP(-2.5855+0.1129*BaselineData!K27))*BaselineData!$E$91)*K25</f>
        <v>12.500461201972628</v>
      </c>
      <c r="L44" s="370">
        <f>((EXP(-2.5855+0.1129*BaselineData!L27))*BaselineData!$E$91)*L25</f>
        <v>24.11463822769964</v>
      </c>
      <c r="M44" s="370">
        <f>((EXP(-2.5855+0.1129*BaselineData!M27))*BaselineData!$E$91)*M25</f>
        <v>24.45269746045178</v>
      </c>
      <c r="N44" s="370" t="e">
        <f>((EXP(-2.5855+0.1129*BaselineData!N27))*BaselineData!$E$91)*N25</f>
        <v>#VALUE!</v>
      </c>
      <c r="O44" s="370">
        <f>((EXP(-2.5855+0.1129*BaselineData!O27))*BaselineData!$E$91)*O25</f>
        <v>58.907441207827468</v>
      </c>
      <c r="P44" s="370">
        <f>((EXP(-2.5855+0.1129*BaselineData!P27))*BaselineData!$E$91)*P25</f>
        <v>58.760160028300213</v>
      </c>
      <c r="Q44" s="370">
        <f>((EXP(-2.5855+0.1129*BaselineData!Q27))*BaselineData!$E$91)*Q25</f>
        <v>58.571290846328921</v>
      </c>
      <c r="R44" s="370">
        <f>((EXP(-2.5855+0.1129*BaselineData!R27))*BaselineData!$E$91)*R25</f>
        <v>58.355344575370552</v>
      </c>
      <c r="S44" s="370">
        <f>((EXP(-2.5855+0.1129*BaselineData!S27))*BaselineData!$E$91)*S25</f>
        <v>58.122905916538514</v>
      </c>
      <c r="T44" s="370">
        <f>((EXP(-2.5855+0.1129*BaselineData!T27))*BaselineData!$E$91)*T25</f>
        <v>57.873598320812725</v>
      </c>
      <c r="U44" s="370">
        <f>((EXP(-2.5855+0.1129*BaselineData!U27))*BaselineData!$E$91)*U25</f>
        <v>57.605164790103281</v>
      </c>
      <c r="V44" s="370">
        <f>((EXP(-2.5855+0.1129*BaselineData!V27))*BaselineData!$E$91)*V25</f>
        <v>57.314365625219061</v>
      </c>
      <c r="W44" s="370">
        <f>((EXP(-2.5855+0.1129*BaselineData!W27))*BaselineData!$E$91)*W25</f>
        <v>56.998930051886497</v>
      </c>
      <c r="X44" s="370">
        <f>((EXP(-2.5855+0.1129*BaselineData!X27))*BaselineData!$E$91)*X25</f>
        <v>56.658123340310311</v>
      </c>
      <c r="Y44" s="370">
        <f>((EXP(-2.5855+0.1129*BaselineData!Y27))*BaselineData!$E$91)*Y25</f>
        <v>56.29292130349986</v>
      </c>
      <c r="Z44" s="370">
        <f>((EXP(-2.5855+0.1129*BaselineData!Z27))*BaselineData!$E$91)*Z25</f>
        <v>55.902878511516754</v>
      </c>
      <c r="AA44" s="370"/>
      <c r="AB44" s="370"/>
      <c r="AC44" s="370" t="e">
        <f>((EXP(-2.5855+0.1129*BaselineData!AC27))*BaselineData!$E$91)*AC25</f>
        <v>#VALUE!</v>
      </c>
      <c r="AD44" s="370">
        <f>((EXP(-2.5855+0.1129*BaselineData!AD27))*BaselineData!$E$91)*AD25</f>
        <v>40.16085145407358</v>
      </c>
      <c r="AE44" s="370">
        <f>((EXP(-2.5855+0.1129*BaselineData!AE27))*BaselineData!$E$91)*AE25</f>
        <v>161.90998549879259</v>
      </c>
      <c r="AF44" s="370">
        <f>((EXP(-2.5855+0.1129*BaselineData!AF27))*BaselineData!$E$91)*AF25</f>
        <v>0</v>
      </c>
      <c r="AG44" s="370">
        <f>((EXP(-2.5855+0.1129*BaselineData!AG27))*BaselineData!$E$91)*AG25</f>
        <v>12.020013186108898</v>
      </c>
      <c r="AH44" s="370">
        <f>((EXP(-2.5855+0.1129*BaselineData!AH27))*BaselineData!$E$91)*AH25</f>
        <v>11.418051657771361</v>
      </c>
      <c r="AI44" s="370">
        <f>((EXP(-2.5855+0.1129*BaselineData!AI27))*BaselineData!$E$91)*AI25</f>
        <v>0</v>
      </c>
      <c r="AJ44" s="370">
        <f>((EXP(-2.5855+0.1129*BaselineData!AJ27))*BaselineData!$E$91)*AJ25</f>
        <v>0</v>
      </c>
      <c r="AK44" s="370" t="e">
        <f>((EXP(-2.5855+0.1129*BaselineData!AK27))*BaselineData!$E$91)*AK25</f>
        <v>#VALUE!</v>
      </c>
      <c r="AL44" s="370">
        <f>((EXP(-2.5855+0.1129*BaselineData!AL27))*BaselineData!$E$91)*AL25</f>
        <v>0</v>
      </c>
      <c r="AM44" s="370">
        <f>((EXP(-2.5855+0.1129*BaselineData!AM27))*BaselineData!$E$91)*AM25</f>
        <v>0</v>
      </c>
      <c r="AN44" s="370">
        <f>((EXP(-2.5855+0.1129*BaselineData!AN27))*BaselineData!$E$91)*AN25</f>
        <v>0</v>
      </c>
      <c r="AO44" s="370">
        <f>((EXP(-2.5855+0.1129*BaselineData!AO27))*BaselineData!$E$91)*AO25</f>
        <v>0</v>
      </c>
      <c r="AP44" s="370">
        <f>((EXP(-2.5855+0.1129*BaselineData!AP27))*BaselineData!$E$91)*AP25</f>
        <v>0</v>
      </c>
      <c r="AQ44" s="370">
        <f>((EXP(-2.5855+0.1129*BaselineData!AQ27))*BaselineData!$E$91)*AQ25</f>
        <v>0</v>
      </c>
      <c r="AR44" s="370">
        <f>((EXP(-2.5855+0.1129*BaselineData!AR27))*BaselineData!$E$91)*AR25</f>
        <v>0</v>
      </c>
      <c r="AS44" s="370">
        <f>((EXP(-2.5855+0.1129*BaselineData!AS27))*BaselineData!$E$91)*AS25</f>
        <v>0</v>
      </c>
      <c r="AT44" s="370">
        <f>((EXP(-2.5855+0.1129*BaselineData!AT27))*BaselineData!$E$91)*AT25</f>
        <v>0</v>
      </c>
      <c r="AU44" s="370">
        <f>((EXP(-2.5855+0.1129*BaselineData!AU27))*BaselineData!$E$91)*AU25</f>
        <v>0</v>
      </c>
      <c r="AV44" s="370">
        <f>((EXP(-2.5855+0.1129*BaselineData!AV27))*BaselineData!$E$91)*AV25</f>
        <v>0</v>
      </c>
      <c r="AW44" s="370">
        <f>((EXP(-2.5855+0.1129*BaselineData!AW27))*BaselineData!$E$91)*AW25</f>
        <v>0</v>
      </c>
      <c r="AX44" s="370"/>
      <c r="AY44" s="370"/>
      <c r="AZ44" s="370" t="e">
        <f>((EXP(-2.5855+0.1129*BaselineData!AZ27))*BaselineData!$E$91)*AZ25</f>
        <v>#VALUE!</v>
      </c>
      <c r="BA44" s="370">
        <f>((EXP(-2.5855+0.1129*BaselineData!BA27))*BaselineData!$E$91)*BA25</f>
        <v>10.750706257364778</v>
      </c>
      <c r="BB44" s="370">
        <f>((EXP(-2.5855+0.1129*BaselineData!BB27))*BaselineData!$E$91)*BB25</f>
        <v>62.833652645205433</v>
      </c>
      <c r="BC44" s="370">
        <f>((EXP(-2.5855+0.1129*BaselineData!BC27))*BaselineData!$E$91)*BC25</f>
        <v>26.366401894410103</v>
      </c>
      <c r="BD44" s="370">
        <f>((EXP(-2.5855+0.1129*BaselineData!BD27))*BaselineData!$E$91)*BD25</f>
        <v>7.8492887908071234</v>
      </c>
      <c r="BE44" s="370">
        <f>((EXP(-2.5855+0.1129*BaselineData!BE27))*BaselineData!$E$91)*BE25</f>
        <v>8.9064592937655931</v>
      </c>
      <c r="BF44" s="370">
        <f>((EXP(-2.5855+0.1129*BaselineData!BF27))*BaselineData!$E$91)*BF25</f>
        <v>31.36949678127197</v>
      </c>
      <c r="BG44" s="370">
        <f>((EXP(-2.5855+0.1129*BaselineData!BG27))*BaselineData!$E$91)*BG25</f>
        <v>31.095350277714623</v>
      </c>
      <c r="BH44" s="370" t="e">
        <f>((EXP(-2.5855+0.1129*BaselineData!BH27))*BaselineData!$E$91)*BH25</f>
        <v>#VALUE!</v>
      </c>
      <c r="BI44" s="370">
        <f>((EXP(-2.5855+0.1129*BaselineData!BI27))*BaselineData!$E$91)*BI25</f>
        <v>90.253433078102887</v>
      </c>
      <c r="BJ44" s="370">
        <f>((EXP(-2.5855+0.1129*BaselineData!BJ27))*BaselineData!$E$91)*BJ25</f>
        <v>90.027780226653647</v>
      </c>
      <c r="BK44" s="370">
        <f>((EXP(-2.5855+0.1129*BaselineData!BK27))*BaselineData!$E$91)*BK25</f>
        <v>89.73840944893773</v>
      </c>
      <c r="BL44" s="370">
        <f>((EXP(-2.5855+0.1129*BaselineData!BL27))*BaselineData!$E$91)*BL25</f>
        <v>89.407553246142456</v>
      </c>
      <c r="BM44" s="370">
        <f>((EXP(-2.5855+0.1129*BaselineData!BM27))*BaselineData!$E$91)*BM25</f>
        <v>89.051428680051572</v>
      </c>
      <c r="BN44" s="370">
        <f>((EXP(-2.5855+0.1129*BaselineData!BN27))*BaselineData!$E$91)*BN25</f>
        <v>88.669458831330502</v>
      </c>
      <c r="BO44" s="370">
        <f>((EXP(-2.5855+0.1129*BaselineData!BO27))*BaselineData!$E$91)*BO25</f>
        <v>88.258185701772376</v>
      </c>
      <c r="BP44" s="370">
        <f>((EXP(-2.5855+0.1129*BaselineData!BP27))*BaselineData!$E$91)*BP25</f>
        <v>87.81264567441913</v>
      </c>
      <c r="BQ44" s="370">
        <f>((EXP(-2.5855+0.1129*BaselineData!BQ27))*BaselineData!$E$91)*BQ25</f>
        <v>87.329359644258972</v>
      </c>
      <c r="BR44" s="370">
        <f>((EXP(-2.5855+0.1129*BaselineData!BR27))*BaselineData!$E$91)*BR25</f>
        <v>86.807201915029296</v>
      </c>
      <c r="BS44" s="370">
        <f>((EXP(-2.5855+0.1129*BaselineData!BS27))*BaselineData!$E$91)*BS25</f>
        <v>86.247667552078923</v>
      </c>
      <c r="BT44" s="370">
        <f>((EXP(-2.5855+0.1129*BaselineData!BT27))*BaselineData!$E$91)*BT25</f>
        <v>85.650074102048592</v>
      </c>
    </row>
    <row r="45" spans="1:72">
      <c r="A45" s="17"/>
      <c r="B45" s="17"/>
      <c r="E45" s="60" t="s">
        <v>268</v>
      </c>
      <c r="F45" s="370" t="e">
        <f>((EXP(-2.5855+0.1129*BaselineData!F27))*BaselineData!$E$92)*F25</f>
        <v>#VALUE!</v>
      </c>
      <c r="G45" s="370">
        <f>((EXP(-2.5855+0.1129*BaselineData!G27))*BaselineData!$E$92)*G25</f>
        <v>6.5715337239908047</v>
      </c>
      <c r="H45" s="370">
        <f>((EXP(-2.5855+0.1129*BaselineData!H27))*BaselineData!$E$92)*H25</f>
        <v>24.136725549599266</v>
      </c>
      <c r="I45" s="370">
        <f>((EXP(-2.5855+0.1129*BaselineData!I27))*BaselineData!$E$92)*I25</f>
        <v>4.4287293596485329</v>
      </c>
      <c r="J45" s="370">
        <f>((EXP(-2.5855+0.1129*BaselineData!J27))*BaselineData!$E$92)*J25</f>
        <v>2.4714630449633335</v>
      </c>
      <c r="K45" s="370">
        <f>((EXP(-2.5855+0.1129*BaselineData!K27))*BaselineData!$E$92)*K25</f>
        <v>2.604262750410967</v>
      </c>
      <c r="L45" s="370">
        <f>((EXP(-2.5855+0.1129*BaselineData!L27))*BaselineData!$E$92)*L25</f>
        <v>5.0238829641040965</v>
      </c>
      <c r="M45" s="370">
        <f>((EXP(-2.5855+0.1129*BaselineData!M27))*BaselineData!$E$92)*M25</f>
        <v>5.0943119709274596</v>
      </c>
      <c r="N45" s="370" t="e">
        <f>((EXP(-2.5855+0.1129*BaselineData!N27))*BaselineData!$E$92)*N25</f>
        <v>#VALUE!</v>
      </c>
      <c r="O45" s="370">
        <f>((EXP(-2.5855+0.1129*BaselineData!O27))*BaselineData!$E$92)*O25</f>
        <v>12.272383584964068</v>
      </c>
      <c r="P45" s="370">
        <f>((EXP(-2.5855+0.1129*BaselineData!P27))*BaselineData!$E$92)*P25</f>
        <v>12.241700005895888</v>
      </c>
      <c r="Q45" s="370">
        <f>((EXP(-2.5855+0.1129*BaselineData!Q27))*BaselineData!$E$92)*Q25</f>
        <v>12.202352259651871</v>
      </c>
      <c r="R45" s="370">
        <f>((EXP(-2.5855+0.1129*BaselineData!R27))*BaselineData!$E$92)*R25</f>
        <v>12.15736345320221</v>
      </c>
      <c r="S45" s="370">
        <f>((EXP(-2.5855+0.1129*BaselineData!S27))*BaselineData!$E$92)*S25</f>
        <v>12.108938732612202</v>
      </c>
      <c r="T45" s="370">
        <f>((EXP(-2.5855+0.1129*BaselineData!T27))*BaselineData!$E$92)*T25</f>
        <v>12.056999650169329</v>
      </c>
      <c r="U45" s="370">
        <f>((EXP(-2.5855+0.1129*BaselineData!U27))*BaselineData!$E$92)*U25</f>
        <v>12.001075997938194</v>
      </c>
      <c r="V45" s="370">
        <f>((EXP(-2.5855+0.1129*BaselineData!V27))*BaselineData!$E$92)*V25</f>
        <v>11.940492838587316</v>
      </c>
      <c r="W45" s="370">
        <f>((EXP(-2.5855+0.1129*BaselineData!W27))*BaselineData!$E$92)*W25</f>
        <v>11.874777094143033</v>
      </c>
      <c r="X45" s="370">
        <f>((EXP(-2.5855+0.1129*BaselineData!X27))*BaselineData!$E$92)*X25</f>
        <v>11.803775695897993</v>
      </c>
      <c r="Y45" s="370">
        <f>((EXP(-2.5855+0.1129*BaselineData!Y27))*BaselineData!$E$92)*Y25</f>
        <v>11.72769193822915</v>
      </c>
      <c r="Z45" s="370">
        <f>((EXP(-2.5855+0.1129*BaselineData!Z27))*BaselineData!$E$92)*Z25</f>
        <v>11.646433023232669</v>
      </c>
      <c r="AA45" s="370"/>
      <c r="AB45" s="370"/>
      <c r="AC45" s="370" t="e">
        <f>((EXP(-2.5855+0.1129*BaselineData!AC27))*BaselineData!$E$92)*AC25</f>
        <v>#VALUE!</v>
      </c>
      <c r="AD45" s="370">
        <f>((EXP(-2.5855+0.1129*BaselineData!AD27))*BaselineData!$E$92)*AD25</f>
        <v>8.3668440529320041</v>
      </c>
      <c r="AE45" s="370">
        <f>((EXP(-2.5855+0.1129*BaselineData!AE27))*BaselineData!$E$92)*AE25</f>
        <v>33.731246978915159</v>
      </c>
      <c r="AF45" s="370">
        <f>((EXP(-2.5855+0.1129*BaselineData!AF27))*BaselineData!$E$92)*AF25</f>
        <v>0</v>
      </c>
      <c r="AG45" s="370">
        <f>((EXP(-2.5855+0.1129*BaselineData!AG27))*BaselineData!$E$92)*AG25</f>
        <v>2.5041694137726895</v>
      </c>
      <c r="AH45" s="370">
        <f>((EXP(-2.5855+0.1129*BaselineData!AH27))*BaselineData!$E$92)*AH25</f>
        <v>2.3787607620357027</v>
      </c>
      <c r="AI45" s="370">
        <f>((EXP(-2.5855+0.1129*BaselineData!AI27))*BaselineData!$E$92)*AI25</f>
        <v>0</v>
      </c>
      <c r="AJ45" s="370">
        <f>((EXP(-2.5855+0.1129*BaselineData!AJ27))*BaselineData!$E$92)*AJ25</f>
        <v>0</v>
      </c>
      <c r="AK45" s="370" t="e">
        <f>((EXP(-2.5855+0.1129*BaselineData!AK27))*BaselineData!$E$92)*AK25</f>
        <v>#VALUE!</v>
      </c>
      <c r="AL45" s="370">
        <f>((EXP(-2.5855+0.1129*BaselineData!AL27))*BaselineData!$E$92)*AL25</f>
        <v>0</v>
      </c>
      <c r="AM45" s="370">
        <f>((EXP(-2.5855+0.1129*BaselineData!AM27))*BaselineData!$E$92)*AM25</f>
        <v>0</v>
      </c>
      <c r="AN45" s="370">
        <f>((EXP(-2.5855+0.1129*BaselineData!AN27))*BaselineData!$E$92)*AN25</f>
        <v>0</v>
      </c>
      <c r="AO45" s="370">
        <f>((EXP(-2.5855+0.1129*BaselineData!AO27))*BaselineData!$E$92)*AO25</f>
        <v>0</v>
      </c>
      <c r="AP45" s="370">
        <f>((EXP(-2.5855+0.1129*BaselineData!AP27))*BaselineData!$E$92)*AP25</f>
        <v>0</v>
      </c>
      <c r="AQ45" s="370">
        <f>((EXP(-2.5855+0.1129*BaselineData!AQ27))*BaselineData!$E$92)*AQ25</f>
        <v>0</v>
      </c>
      <c r="AR45" s="370">
        <f>((EXP(-2.5855+0.1129*BaselineData!AR27))*BaselineData!$E$92)*AR25</f>
        <v>0</v>
      </c>
      <c r="AS45" s="370">
        <f>((EXP(-2.5855+0.1129*BaselineData!AS27))*BaselineData!$E$92)*AS25</f>
        <v>0</v>
      </c>
      <c r="AT45" s="370">
        <f>((EXP(-2.5855+0.1129*BaselineData!AT27))*BaselineData!$E$92)*AT25</f>
        <v>0</v>
      </c>
      <c r="AU45" s="370">
        <f>((EXP(-2.5855+0.1129*BaselineData!AU27))*BaselineData!$E$92)*AU25</f>
        <v>0</v>
      </c>
      <c r="AV45" s="370">
        <f>((EXP(-2.5855+0.1129*BaselineData!AV27))*BaselineData!$E$92)*AV25</f>
        <v>0</v>
      </c>
      <c r="AW45" s="370">
        <f>((EXP(-2.5855+0.1129*BaselineData!AW27))*BaselineData!$E$92)*AW25</f>
        <v>0</v>
      </c>
      <c r="AX45" s="370"/>
      <c r="AY45" s="370"/>
      <c r="AZ45" s="370" t="e">
        <f>((EXP(-2.5855+0.1129*BaselineData!AZ27))*BaselineData!$E$92)*AZ25</f>
        <v>#VALUE!</v>
      </c>
      <c r="BA45" s="370">
        <f>((EXP(-2.5855+0.1129*BaselineData!BA27))*BaselineData!$E$92)*BA25</f>
        <v>2.2397304702843308</v>
      </c>
      <c r="BB45" s="370">
        <f>((EXP(-2.5855+0.1129*BaselineData!BB27))*BaselineData!$E$92)*BB25</f>
        <v>13.090344301084478</v>
      </c>
      <c r="BC45" s="370">
        <f>((EXP(-2.5855+0.1129*BaselineData!BC27))*BaselineData!$E$92)*BC25</f>
        <v>5.4930003946687771</v>
      </c>
      <c r="BD45" s="370">
        <f>((EXP(-2.5855+0.1129*BaselineData!BD27))*BaselineData!$E$92)*BD25</f>
        <v>1.6352684980848191</v>
      </c>
      <c r="BE45" s="370">
        <f>((EXP(-2.5855+0.1129*BaselineData!BE27))*BaselineData!$E$92)*BE25</f>
        <v>1.8555123528678339</v>
      </c>
      <c r="BF45" s="370">
        <f>((EXP(-2.5855+0.1129*BaselineData!BF27))*BaselineData!$E$92)*BF25</f>
        <v>6.5353118294316666</v>
      </c>
      <c r="BG45" s="370">
        <f>((EXP(-2.5855+0.1129*BaselineData!BG27))*BaselineData!$E$92)*BG25</f>
        <v>6.4781979745238862</v>
      </c>
      <c r="BH45" s="370" t="e">
        <f>((EXP(-2.5855+0.1129*BaselineData!BH27))*BaselineData!$E$92)*BH25</f>
        <v>#VALUE!</v>
      </c>
      <c r="BI45" s="370">
        <f>((EXP(-2.5855+0.1129*BaselineData!BI27))*BaselineData!$E$92)*BI25</f>
        <v>18.802798557938122</v>
      </c>
      <c r="BJ45" s="370">
        <f>((EXP(-2.5855+0.1129*BaselineData!BJ27))*BaselineData!$E$92)*BJ25</f>
        <v>18.755787547219526</v>
      </c>
      <c r="BK45" s="370">
        <f>((EXP(-2.5855+0.1129*BaselineData!BK27))*BaselineData!$E$92)*BK25</f>
        <v>18.695501968528713</v>
      </c>
      <c r="BL45" s="370">
        <f>((EXP(-2.5855+0.1129*BaselineData!BL27))*BaselineData!$E$92)*BL25</f>
        <v>18.626573592946361</v>
      </c>
      <c r="BM45" s="370">
        <f>((EXP(-2.5855+0.1129*BaselineData!BM27))*BaselineData!$E$92)*BM25</f>
        <v>18.552380975010763</v>
      </c>
      <c r="BN45" s="370">
        <f>((EXP(-2.5855+0.1129*BaselineData!BN27))*BaselineData!$E$92)*BN25</f>
        <v>18.472803923193872</v>
      </c>
      <c r="BO45" s="370">
        <f>((EXP(-2.5855+0.1129*BaselineData!BO27))*BaselineData!$E$92)*BO25</f>
        <v>18.387122021202597</v>
      </c>
      <c r="BP45" s="370">
        <f>((EXP(-2.5855+0.1129*BaselineData!BP27))*BaselineData!$E$92)*BP25</f>
        <v>18.29430118217067</v>
      </c>
      <c r="BQ45" s="370">
        <f>((EXP(-2.5855+0.1129*BaselineData!BQ27))*BaselineData!$E$92)*BQ25</f>
        <v>18.193616592553969</v>
      </c>
      <c r="BR45" s="370">
        <f>((EXP(-2.5855+0.1129*BaselineData!BR27))*BaselineData!$E$92)*BR25</f>
        <v>18.084833732297788</v>
      </c>
      <c r="BS45" s="370">
        <f>((EXP(-2.5855+0.1129*BaselineData!BS27))*BaselineData!$E$92)*BS25</f>
        <v>17.968264073349793</v>
      </c>
      <c r="BT45" s="370">
        <f>((EXP(-2.5855+0.1129*BaselineData!BT27))*BaselineData!$E$92)*BT25</f>
        <v>17.843765437926809</v>
      </c>
    </row>
    <row r="46" spans="1:72">
      <c r="A46" s="17"/>
      <c r="B46" s="17"/>
      <c r="F46" s="86"/>
      <c r="L46" s="86"/>
      <c r="N46" s="86"/>
      <c r="O46" s="86"/>
      <c r="P46" s="86"/>
      <c r="Q46" s="86"/>
      <c r="R46" s="86"/>
      <c r="S46" s="86"/>
      <c r="T46" s="86"/>
      <c r="U46" s="86"/>
      <c r="V46" s="86"/>
      <c r="W46" s="86"/>
      <c r="X46" s="86"/>
      <c r="Y46" s="86"/>
      <c r="Z46" s="86"/>
      <c r="AA46" s="86"/>
      <c r="AB46" s="86"/>
      <c r="AC46" s="86"/>
      <c r="AD46" s="86"/>
      <c r="AE46" s="86"/>
      <c r="AF46" s="86"/>
      <c r="AG46" s="86"/>
      <c r="AH46" s="86"/>
      <c r="AI46" s="86"/>
      <c r="AJ46" s="86"/>
      <c r="AK46" s="86"/>
      <c r="AL46" s="86"/>
      <c r="AM46" s="86"/>
      <c r="AN46" s="86"/>
      <c r="AO46" s="86"/>
      <c r="AP46" s="86"/>
      <c r="AQ46" s="86"/>
      <c r="AR46" s="86"/>
      <c r="AS46" s="86"/>
      <c r="AT46" s="86"/>
      <c r="AU46" s="86"/>
      <c r="AV46" s="86"/>
      <c r="AW46" s="86"/>
      <c r="AX46" s="86"/>
      <c r="AY46" s="86"/>
      <c r="AZ46" s="86"/>
      <c r="BA46" s="86"/>
      <c r="BB46" s="86"/>
      <c r="BC46" s="86"/>
      <c r="BD46" s="86"/>
      <c r="BE46" s="86"/>
      <c r="BF46" s="86"/>
      <c r="BG46" s="86"/>
      <c r="BH46" s="86"/>
      <c r="BI46" s="86"/>
      <c r="BJ46" s="86"/>
      <c r="BK46" s="86"/>
      <c r="BL46" s="86"/>
      <c r="BM46" s="86"/>
      <c r="BN46" s="86"/>
      <c r="BO46" s="86"/>
      <c r="BP46" s="86"/>
      <c r="BQ46" s="86"/>
      <c r="BR46" s="86"/>
      <c r="BS46" s="86"/>
      <c r="BT46" s="86"/>
    </row>
    <row r="47" spans="1:72" s="64" customFormat="1">
      <c r="C47" s="17"/>
      <c r="D47" s="17"/>
      <c r="E47" s="17"/>
      <c r="F47" s="86"/>
      <c r="G47" s="86"/>
      <c r="H47" s="86"/>
      <c r="I47" s="86"/>
      <c r="J47" s="86"/>
      <c r="K47" s="86"/>
      <c r="L47" s="86"/>
      <c r="M47" s="86"/>
      <c r="N47" s="86"/>
      <c r="O47" s="86"/>
      <c r="P47" s="86"/>
      <c r="Q47" s="86"/>
      <c r="R47" s="86"/>
      <c r="S47" s="86"/>
      <c r="T47" s="86"/>
      <c r="U47" s="86"/>
      <c r="V47" s="86"/>
      <c r="W47" s="86"/>
      <c r="X47" s="86"/>
      <c r="Y47" s="86"/>
      <c r="Z47" s="86"/>
      <c r="AA47" s="86"/>
      <c r="AB47" s="86"/>
      <c r="AC47" s="86"/>
      <c r="AD47" s="86"/>
      <c r="AE47" s="86"/>
      <c r="AF47" s="86"/>
      <c r="AG47" s="86"/>
      <c r="AH47" s="86"/>
      <c r="AI47" s="86"/>
      <c r="AJ47" s="86"/>
      <c r="AK47" s="86"/>
      <c r="AL47" s="86"/>
      <c r="AM47" s="86"/>
      <c r="AN47" s="86"/>
      <c r="AO47" s="86"/>
      <c r="AP47" s="86"/>
      <c r="AQ47" s="86"/>
      <c r="AR47" s="86"/>
      <c r="AS47" s="86"/>
      <c r="AT47" s="86"/>
      <c r="AU47" s="86"/>
      <c r="AV47" s="86"/>
      <c r="AW47" s="86"/>
      <c r="AX47" s="86"/>
      <c r="AY47" s="86"/>
      <c r="AZ47" s="86"/>
      <c r="BA47" s="86"/>
      <c r="BB47" s="86"/>
      <c r="BC47" s="86"/>
      <c r="BD47" s="86"/>
      <c r="BE47" s="86"/>
      <c r="BF47" s="86"/>
      <c r="BG47" s="86"/>
      <c r="BH47" s="86"/>
      <c r="BI47" s="86"/>
      <c r="BJ47" s="86"/>
      <c r="BK47" s="86"/>
      <c r="BL47" s="86"/>
      <c r="BM47" s="86"/>
      <c r="BN47" s="86"/>
      <c r="BO47" s="86"/>
      <c r="BP47" s="86"/>
      <c r="BQ47" s="86"/>
      <c r="BR47" s="86"/>
      <c r="BS47" s="86"/>
      <c r="BT47" s="86"/>
    </row>
    <row r="48" spans="1:72" s="64" customFormat="1">
      <c r="C48" s="17"/>
      <c r="D48" s="17"/>
      <c r="E48" s="284" t="s">
        <v>70</v>
      </c>
      <c r="F48" s="301" t="e">
        <f>F45</f>
        <v>#VALUE!</v>
      </c>
      <c r="G48" s="301">
        <f t="shared" ref="G48:AI48" si="25">G45</f>
        <v>6.5715337239908047</v>
      </c>
      <c r="H48" s="301">
        <f t="shared" si="25"/>
        <v>24.136725549599266</v>
      </c>
      <c r="I48" s="301">
        <f t="shared" si="25"/>
        <v>4.4287293596485329</v>
      </c>
      <c r="J48" s="301">
        <f t="shared" si="25"/>
        <v>2.4714630449633335</v>
      </c>
      <c r="K48" s="301">
        <f t="shared" si="25"/>
        <v>2.604262750410967</v>
      </c>
      <c r="L48" s="301">
        <f t="shared" si="25"/>
        <v>5.0238829641040965</v>
      </c>
      <c r="M48" s="301">
        <f t="shared" si="25"/>
        <v>5.0943119709274596</v>
      </c>
      <c r="N48" s="301" t="e">
        <f t="shared" si="25"/>
        <v>#VALUE!</v>
      </c>
      <c r="O48" s="301">
        <f t="shared" si="25"/>
        <v>12.272383584964068</v>
      </c>
      <c r="P48" s="301">
        <f t="shared" si="25"/>
        <v>12.241700005895888</v>
      </c>
      <c r="Q48" s="301">
        <f t="shared" si="25"/>
        <v>12.202352259651871</v>
      </c>
      <c r="R48" s="301">
        <f t="shared" si="25"/>
        <v>12.15736345320221</v>
      </c>
      <c r="S48" s="301">
        <f t="shared" si="25"/>
        <v>12.108938732612202</v>
      </c>
      <c r="T48" s="301">
        <f t="shared" si="25"/>
        <v>12.056999650169329</v>
      </c>
      <c r="U48" s="301">
        <f t="shared" si="25"/>
        <v>12.001075997938194</v>
      </c>
      <c r="V48" s="301">
        <f t="shared" si="25"/>
        <v>11.940492838587316</v>
      </c>
      <c r="W48" s="301">
        <f t="shared" si="25"/>
        <v>11.874777094143033</v>
      </c>
      <c r="X48" s="301">
        <f t="shared" si="25"/>
        <v>11.803775695897993</v>
      </c>
      <c r="Y48" s="301">
        <f t="shared" si="25"/>
        <v>11.72769193822915</v>
      </c>
      <c r="Z48" s="301">
        <f t="shared" si="25"/>
        <v>11.646433023232669</v>
      </c>
      <c r="AA48" s="301"/>
      <c r="AB48" s="301"/>
      <c r="AC48" s="301" t="e">
        <f t="shared" si="25"/>
        <v>#VALUE!</v>
      </c>
      <c r="AD48" s="301">
        <f t="shared" si="25"/>
        <v>8.3668440529320041</v>
      </c>
      <c r="AE48" s="301">
        <f t="shared" si="25"/>
        <v>33.731246978915159</v>
      </c>
      <c r="AF48" s="301">
        <f t="shared" si="25"/>
        <v>0</v>
      </c>
      <c r="AG48" s="301">
        <f t="shared" si="25"/>
        <v>2.5041694137726895</v>
      </c>
      <c r="AH48" s="301">
        <f t="shared" si="25"/>
        <v>2.3787607620357027</v>
      </c>
      <c r="AI48" s="301">
        <f t="shared" si="25"/>
        <v>0</v>
      </c>
      <c r="AJ48" s="301">
        <f>AJ45</f>
        <v>0</v>
      </c>
      <c r="AK48" s="301" t="e">
        <f t="shared" ref="AK48:BC48" si="26">AK45</f>
        <v>#VALUE!</v>
      </c>
      <c r="AL48" s="301">
        <f t="shared" si="26"/>
        <v>0</v>
      </c>
      <c r="AM48" s="301">
        <f t="shared" si="26"/>
        <v>0</v>
      </c>
      <c r="AN48" s="301">
        <f t="shared" si="26"/>
        <v>0</v>
      </c>
      <c r="AO48" s="301">
        <f t="shared" si="26"/>
        <v>0</v>
      </c>
      <c r="AP48" s="301">
        <f t="shared" si="26"/>
        <v>0</v>
      </c>
      <c r="AQ48" s="301">
        <f t="shared" si="26"/>
        <v>0</v>
      </c>
      <c r="AR48" s="301">
        <f t="shared" si="26"/>
        <v>0</v>
      </c>
      <c r="AS48" s="301">
        <f t="shared" si="26"/>
        <v>0</v>
      </c>
      <c r="AT48" s="301">
        <f t="shared" si="26"/>
        <v>0</v>
      </c>
      <c r="AU48" s="301">
        <f t="shared" si="26"/>
        <v>0</v>
      </c>
      <c r="AV48" s="301">
        <f t="shared" si="26"/>
        <v>0</v>
      </c>
      <c r="AW48" s="301">
        <f t="shared" si="26"/>
        <v>0</v>
      </c>
      <c r="AX48" s="301"/>
      <c r="AY48" s="301"/>
      <c r="AZ48" s="301" t="e">
        <f t="shared" si="26"/>
        <v>#VALUE!</v>
      </c>
      <c r="BA48" s="301">
        <f t="shared" si="26"/>
        <v>2.2397304702843308</v>
      </c>
      <c r="BB48" s="301">
        <f t="shared" si="26"/>
        <v>13.090344301084478</v>
      </c>
      <c r="BC48" s="301">
        <f t="shared" si="26"/>
        <v>5.4930003946687771</v>
      </c>
      <c r="BD48" s="301">
        <f>BD45</f>
        <v>1.6352684980848191</v>
      </c>
      <c r="BE48" s="301">
        <f t="shared" ref="BE48:BT48" si="27">BE45</f>
        <v>1.8555123528678339</v>
      </c>
      <c r="BF48" s="301">
        <f t="shared" si="27"/>
        <v>6.5353118294316666</v>
      </c>
      <c r="BG48" s="301">
        <f t="shared" si="27"/>
        <v>6.4781979745238862</v>
      </c>
      <c r="BH48" s="301" t="e">
        <f t="shared" si="27"/>
        <v>#VALUE!</v>
      </c>
      <c r="BI48" s="301">
        <f t="shared" si="27"/>
        <v>18.802798557938122</v>
      </c>
      <c r="BJ48" s="301">
        <f t="shared" si="27"/>
        <v>18.755787547219526</v>
      </c>
      <c r="BK48" s="301">
        <f t="shared" si="27"/>
        <v>18.695501968528713</v>
      </c>
      <c r="BL48" s="301">
        <f t="shared" si="27"/>
        <v>18.626573592946361</v>
      </c>
      <c r="BM48" s="301">
        <f t="shared" si="27"/>
        <v>18.552380975010763</v>
      </c>
      <c r="BN48" s="301">
        <f t="shared" si="27"/>
        <v>18.472803923193872</v>
      </c>
      <c r="BO48" s="301">
        <f t="shared" si="27"/>
        <v>18.387122021202597</v>
      </c>
      <c r="BP48" s="301">
        <f t="shared" si="27"/>
        <v>18.29430118217067</v>
      </c>
      <c r="BQ48" s="301">
        <f t="shared" si="27"/>
        <v>18.193616592553969</v>
      </c>
      <c r="BR48" s="301">
        <f t="shared" si="27"/>
        <v>18.084833732297788</v>
      </c>
      <c r="BS48" s="301">
        <f t="shared" si="27"/>
        <v>17.968264073349793</v>
      </c>
      <c r="BT48" s="301">
        <f t="shared" si="27"/>
        <v>17.843765437926809</v>
      </c>
    </row>
    <row r="49" spans="1:72">
      <c r="A49" s="17"/>
      <c r="B49" s="17"/>
      <c r="E49" s="34" t="s">
        <v>103</v>
      </c>
      <c r="F49" s="282" t="e">
        <f>SUM(F42:F44)/SUM(F41:F45)</f>
        <v>#VALUE!</v>
      </c>
      <c r="G49" s="282">
        <f t="shared" ref="G49:AI49" si="28">SUM(G42:G44)/SUM(G41:G45)</f>
        <v>2.6905719054317521E-2</v>
      </c>
      <c r="H49" s="282">
        <f t="shared" si="28"/>
        <v>2.6905719054317521E-2</v>
      </c>
      <c r="I49" s="282">
        <f t="shared" si="28"/>
        <v>2.6905719054317517E-2</v>
      </c>
      <c r="J49" s="282">
        <f t="shared" si="28"/>
        <v>2.6905719054317521E-2</v>
      </c>
      <c r="K49" s="282">
        <f t="shared" si="28"/>
        <v>2.6905719054317524E-2</v>
      </c>
      <c r="L49" s="282">
        <f t="shared" si="28"/>
        <v>2.6905719054317517E-2</v>
      </c>
      <c r="M49" s="282">
        <f t="shared" si="28"/>
        <v>2.6905719054317521E-2</v>
      </c>
      <c r="N49" s="282" t="e">
        <f t="shared" si="28"/>
        <v>#VALUE!</v>
      </c>
      <c r="O49" s="282">
        <f t="shared" si="28"/>
        <v>2.6905719054317524E-2</v>
      </c>
      <c r="P49" s="282">
        <f t="shared" si="28"/>
        <v>2.6905719054317524E-2</v>
      </c>
      <c r="Q49" s="282">
        <f t="shared" si="28"/>
        <v>2.6905719054317521E-2</v>
      </c>
      <c r="R49" s="282">
        <f t="shared" si="28"/>
        <v>2.6905719054317524E-2</v>
      </c>
      <c r="S49" s="282">
        <f t="shared" si="28"/>
        <v>2.6905719054317521E-2</v>
      </c>
      <c r="T49" s="282">
        <f t="shared" si="28"/>
        <v>2.6905719054317524E-2</v>
      </c>
      <c r="U49" s="282">
        <f t="shared" si="28"/>
        <v>2.6905719054317521E-2</v>
      </c>
      <c r="V49" s="282">
        <f t="shared" si="28"/>
        <v>2.6905719054317521E-2</v>
      </c>
      <c r="W49" s="282">
        <f t="shared" si="28"/>
        <v>2.6905719054317521E-2</v>
      </c>
      <c r="X49" s="282">
        <f t="shared" si="28"/>
        <v>2.6905719054317521E-2</v>
      </c>
      <c r="Y49" s="282">
        <f t="shared" si="28"/>
        <v>2.6905719054317521E-2</v>
      </c>
      <c r="Z49" s="282">
        <f t="shared" si="28"/>
        <v>2.6905719054317517E-2</v>
      </c>
      <c r="AA49" s="282"/>
      <c r="AB49" s="282"/>
      <c r="AC49" s="282" t="e">
        <f t="shared" si="28"/>
        <v>#VALUE!</v>
      </c>
      <c r="AD49" s="282">
        <f t="shared" si="28"/>
        <v>2.6905719054317521E-2</v>
      </c>
      <c r="AE49" s="282">
        <f t="shared" si="28"/>
        <v>2.6905719054317521E-2</v>
      </c>
      <c r="AF49" s="282" t="e">
        <f t="shared" si="28"/>
        <v>#DIV/0!</v>
      </c>
      <c r="AG49" s="282">
        <f t="shared" si="28"/>
        <v>2.6905719054317517E-2</v>
      </c>
      <c r="AH49" s="282">
        <f t="shared" si="28"/>
        <v>2.6905719054317517E-2</v>
      </c>
      <c r="AI49" s="282" t="e">
        <f t="shared" si="28"/>
        <v>#DIV/0!</v>
      </c>
      <c r="AJ49" s="282" t="e">
        <f>SUM(AJ42:AJ44)/SUM(AJ41:AJ45)</f>
        <v>#DIV/0!</v>
      </c>
      <c r="AK49" s="282" t="e">
        <f t="shared" ref="AK49:BC49" si="29">SUM(AK42:AK44)/SUM(AK41:AK45)</f>
        <v>#VALUE!</v>
      </c>
      <c r="AL49" s="282" t="e">
        <f t="shared" si="29"/>
        <v>#DIV/0!</v>
      </c>
      <c r="AM49" s="282" t="e">
        <f t="shared" si="29"/>
        <v>#DIV/0!</v>
      </c>
      <c r="AN49" s="282" t="e">
        <f t="shared" si="29"/>
        <v>#DIV/0!</v>
      </c>
      <c r="AO49" s="282" t="e">
        <f t="shared" si="29"/>
        <v>#DIV/0!</v>
      </c>
      <c r="AP49" s="282" t="e">
        <f t="shared" si="29"/>
        <v>#DIV/0!</v>
      </c>
      <c r="AQ49" s="282" t="e">
        <f t="shared" si="29"/>
        <v>#DIV/0!</v>
      </c>
      <c r="AR49" s="282" t="e">
        <f t="shared" si="29"/>
        <v>#DIV/0!</v>
      </c>
      <c r="AS49" s="282" t="e">
        <f t="shared" si="29"/>
        <v>#DIV/0!</v>
      </c>
      <c r="AT49" s="282" t="e">
        <f t="shared" si="29"/>
        <v>#DIV/0!</v>
      </c>
      <c r="AU49" s="282" t="e">
        <f t="shared" si="29"/>
        <v>#DIV/0!</v>
      </c>
      <c r="AV49" s="282" t="e">
        <f t="shared" si="29"/>
        <v>#DIV/0!</v>
      </c>
      <c r="AW49" s="282" t="e">
        <f t="shared" si="29"/>
        <v>#DIV/0!</v>
      </c>
      <c r="AX49" s="282"/>
      <c r="AY49" s="282"/>
      <c r="AZ49" s="282" t="e">
        <f t="shared" si="29"/>
        <v>#VALUE!</v>
      </c>
      <c r="BA49" s="282">
        <f t="shared" si="29"/>
        <v>2.6905719054317517E-2</v>
      </c>
      <c r="BB49" s="282">
        <f t="shared" si="29"/>
        <v>2.6905719054317517E-2</v>
      </c>
      <c r="BC49" s="282">
        <f t="shared" si="29"/>
        <v>2.6905719054317521E-2</v>
      </c>
      <c r="BD49" s="282">
        <f>SUM(BD42:BD44)/SUM(BD41:BD45)</f>
        <v>2.6905719054317521E-2</v>
      </c>
      <c r="BE49" s="282">
        <f t="shared" ref="BE49:BT49" si="30">SUM(BE42:BE44)/SUM(BE41:BE45)</f>
        <v>2.6905719054317521E-2</v>
      </c>
      <c r="BF49" s="282">
        <f t="shared" si="30"/>
        <v>2.6905719054317517E-2</v>
      </c>
      <c r="BG49" s="282">
        <f t="shared" si="30"/>
        <v>2.6905719054317521E-2</v>
      </c>
      <c r="BH49" s="282" t="e">
        <f t="shared" si="30"/>
        <v>#VALUE!</v>
      </c>
      <c r="BI49" s="282">
        <f t="shared" si="30"/>
        <v>2.6905719054317521E-2</v>
      </c>
      <c r="BJ49" s="282">
        <f t="shared" si="30"/>
        <v>2.6905719054317521E-2</v>
      </c>
      <c r="BK49" s="282">
        <f t="shared" si="30"/>
        <v>2.6905719054317521E-2</v>
      </c>
      <c r="BL49" s="282">
        <f t="shared" si="30"/>
        <v>2.6905719054317521E-2</v>
      </c>
      <c r="BM49" s="282">
        <f t="shared" si="30"/>
        <v>2.6905719054317521E-2</v>
      </c>
      <c r="BN49" s="282">
        <f t="shared" si="30"/>
        <v>2.6905719054317521E-2</v>
      </c>
      <c r="BO49" s="282">
        <f t="shared" si="30"/>
        <v>2.6905719054317521E-2</v>
      </c>
      <c r="BP49" s="282">
        <f t="shared" si="30"/>
        <v>2.6905719054317521E-2</v>
      </c>
      <c r="BQ49" s="282">
        <f t="shared" si="30"/>
        <v>2.6905719054317517E-2</v>
      </c>
      <c r="BR49" s="282">
        <f t="shared" si="30"/>
        <v>2.6905719054317517E-2</v>
      </c>
      <c r="BS49" s="282">
        <f t="shared" si="30"/>
        <v>2.6905719054317521E-2</v>
      </c>
      <c r="BT49" s="282">
        <f t="shared" si="30"/>
        <v>2.6905719054317521E-2</v>
      </c>
    </row>
    <row r="50" spans="1:72">
      <c r="A50" s="17"/>
      <c r="B50" s="17"/>
      <c r="E50" s="280" t="s">
        <v>273</v>
      </c>
      <c r="F50" s="283" t="e">
        <f>(100000/(SUM(F41:F45))*F48)</f>
        <v>#VALUE!</v>
      </c>
      <c r="G50" s="283">
        <f t="shared" ref="G50:AI50" si="31">(100000/(SUM(G41:G45))*G48)</f>
        <v>305.74680743542672</v>
      </c>
      <c r="H50" s="283">
        <f t="shared" si="31"/>
        <v>305.74680743542666</v>
      </c>
      <c r="I50" s="283">
        <f t="shared" si="31"/>
        <v>305.74680743542672</v>
      </c>
      <c r="J50" s="283">
        <f t="shared" si="31"/>
        <v>305.74680743542672</v>
      </c>
      <c r="K50" s="283">
        <f t="shared" si="31"/>
        <v>305.74680743542677</v>
      </c>
      <c r="L50" s="283">
        <f t="shared" si="31"/>
        <v>305.74680743542666</v>
      </c>
      <c r="M50" s="283">
        <f t="shared" si="31"/>
        <v>305.74680743542672</v>
      </c>
      <c r="N50" s="283" t="e">
        <f t="shared" si="31"/>
        <v>#VALUE!</v>
      </c>
      <c r="O50" s="283">
        <f t="shared" si="31"/>
        <v>305.74680743542666</v>
      </c>
      <c r="P50" s="283">
        <f t="shared" si="31"/>
        <v>305.74680743542672</v>
      </c>
      <c r="Q50" s="283">
        <f t="shared" si="31"/>
        <v>305.74680743542672</v>
      </c>
      <c r="R50" s="283">
        <f t="shared" si="31"/>
        <v>305.74680743542672</v>
      </c>
      <c r="S50" s="283">
        <f t="shared" si="31"/>
        <v>305.74680743542672</v>
      </c>
      <c r="T50" s="283">
        <f t="shared" si="31"/>
        <v>305.74680743542672</v>
      </c>
      <c r="U50" s="283">
        <f t="shared" si="31"/>
        <v>305.74680743542672</v>
      </c>
      <c r="V50" s="283">
        <f t="shared" si="31"/>
        <v>305.74680743542666</v>
      </c>
      <c r="W50" s="283">
        <f t="shared" si="31"/>
        <v>305.74680743542672</v>
      </c>
      <c r="X50" s="283">
        <f t="shared" si="31"/>
        <v>305.74680743542672</v>
      </c>
      <c r="Y50" s="283">
        <f t="shared" si="31"/>
        <v>305.74680743542666</v>
      </c>
      <c r="Z50" s="283">
        <f t="shared" si="31"/>
        <v>305.74680743542666</v>
      </c>
      <c r="AA50" s="283"/>
      <c r="AB50" s="283"/>
      <c r="AC50" s="283" t="e">
        <f t="shared" si="31"/>
        <v>#VALUE!</v>
      </c>
      <c r="AD50" s="283">
        <f t="shared" si="31"/>
        <v>305.74680743542672</v>
      </c>
      <c r="AE50" s="283">
        <f t="shared" si="31"/>
        <v>305.74680743542672</v>
      </c>
      <c r="AF50" s="283" t="e">
        <f t="shared" si="31"/>
        <v>#DIV/0!</v>
      </c>
      <c r="AG50" s="283">
        <f t="shared" si="31"/>
        <v>305.74680743542666</v>
      </c>
      <c r="AH50" s="283">
        <f t="shared" si="31"/>
        <v>305.74680743542672</v>
      </c>
      <c r="AI50" s="283" t="e">
        <f t="shared" si="31"/>
        <v>#DIV/0!</v>
      </c>
      <c r="AJ50" s="283" t="e">
        <f>(100000/(SUM(AJ41:AJ45))*AJ48)</f>
        <v>#DIV/0!</v>
      </c>
      <c r="AK50" s="283" t="e">
        <f t="shared" ref="AK50:BC50" si="32">(100000/(SUM(AK41:AK45))*AK48)</f>
        <v>#VALUE!</v>
      </c>
      <c r="AL50" s="283" t="e">
        <f t="shared" si="32"/>
        <v>#DIV/0!</v>
      </c>
      <c r="AM50" s="283" t="e">
        <f t="shared" si="32"/>
        <v>#DIV/0!</v>
      </c>
      <c r="AN50" s="283" t="e">
        <f t="shared" si="32"/>
        <v>#DIV/0!</v>
      </c>
      <c r="AO50" s="283" t="e">
        <f t="shared" si="32"/>
        <v>#DIV/0!</v>
      </c>
      <c r="AP50" s="283" t="e">
        <f t="shared" si="32"/>
        <v>#DIV/0!</v>
      </c>
      <c r="AQ50" s="283" t="e">
        <f t="shared" si="32"/>
        <v>#DIV/0!</v>
      </c>
      <c r="AR50" s="283" t="e">
        <f t="shared" si="32"/>
        <v>#DIV/0!</v>
      </c>
      <c r="AS50" s="283" t="e">
        <f t="shared" si="32"/>
        <v>#DIV/0!</v>
      </c>
      <c r="AT50" s="283" t="e">
        <f t="shared" si="32"/>
        <v>#DIV/0!</v>
      </c>
      <c r="AU50" s="283" t="e">
        <f t="shared" si="32"/>
        <v>#DIV/0!</v>
      </c>
      <c r="AV50" s="283" t="e">
        <f t="shared" si="32"/>
        <v>#DIV/0!</v>
      </c>
      <c r="AW50" s="283" t="e">
        <f t="shared" si="32"/>
        <v>#DIV/0!</v>
      </c>
      <c r="AX50" s="283"/>
      <c r="AY50" s="283"/>
      <c r="AZ50" s="283" t="e">
        <f t="shared" si="32"/>
        <v>#VALUE!</v>
      </c>
      <c r="BA50" s="283">
        <f t="shared" si="32"/>
        <v>305.74680743542672</v>
      </c>
      <c r="BB50" s="283">
        <f t="shared" si="32"/>
        <v>305.7468074354266</v>
      </c>
      <c r="BC50" s="283">
        <f t="shared" si="32"/>
        <v>305.74680743542672</v>
      </c>
      <c r="BD50" s="283">
        <f>(100000/(SUM(BD41:BD45))*BD48)</f>
        <v>305.74680743542672</v>
      </c>
      <c r="BE50" s="283">
        <f t="shared" ref="BE50:BT50" si="33">(100000/(SUM(BE41:BE45))*BE48)</f>
        <v>305.74680743542672</v>
      </c>
      <c r="BF50" s="283">
        <f t="shared" si="33"/>
        <v>305.74680743542672</v>
      </c>
      <c r="BG50" s="283">
        <f t="shared" si="33"/>
        <v>305.74680743542666</v>
      </c>
      <c r="BH50" s="283" t="e">
        <f t="shared" si="33"/>
        <v>#VALUE!</v>
      </c>
      <c r="BI50" s="283">
        <f t="shared" si="33"/>
        <v>305.74680743542672</v>
      </c>
      <c r="BJ50" s="283">
        <f t="shared" si="33"/>
        <v>305.74680743542666</v>
      </c>
      <c r="BK50" s="283">
        <f t="shared" si="33"/>
        <v>305.74680743542666</v>
      </c>
      <c r="BL50" s="283">
        <f t="shared" si="33"/>
        <v>305.74680743542666</v>
      </c>
      <c r="BM50" s="283">
        <f t="shared" si="33"/>
        <v>305.74680743542672</v>
      </c>
      <c r="BN50" s="283">
        <f t="shared" si="33"/>
        <v>305.74680743542666</v>
      </c>
      <c r="BO50" s="283">
        <f t="shared" si="33"/>
        <v>305.74680743542672</v>
      </c>
      <c r="BP50" s="283">
        <f t="shared" si="33"/>
        <v>305.74680743542666</v>
      </c>
      <c r="BQ50" s="283">
        <f t="shared" si="33"/>
        <v>305.74680743542666</v>
      </c>
      <c r="BR50" s="283">
        <f t="shared" si="33"/>
        <v>305.74680743542672</v>
      </c>
      <c r="BS50" s="283">
        <f t="shared" si="33"/>
        <v>305.74680743542672</v>
      </c>
      <c r="BT50" s="283">
        <f t="shared" si="33"/>
        <v>305.74680743542677</v>
      </c>
    </row>
    <row r="51" spans="1:72" s="64" customFormat="1">
      <c r="C51" s="17"/>
      <c r="D51" s="17"/>
      <c r="E51" s="17"/>
      <c r="F51" s="86"/>
      <c r="G51" s="86"/>
      <c r="H51" s="86"/>
      <c r="I51" s="86"/>
      <c r="J51" s="86"/>
      <c r="K51" s="86"/>
      <c r="L51" s="86"/>
      <c r="M51" s="86"/>
      <c r="N51" s="86"/>
      <c r="O51" s="86"/>
      <c r="P51" s="86"/>
      <c r="Q51" s="86"/>
      <c r="R51" s="86"/>
      <c r="S51" s="86"/>
      <c r="T51" s="86"/>
      <c r="U51" s="86"/>
      <c r="V51" s="86"/>
      <c r="W51" s="86"/>
      <c r="X51" s="86"/>
      <c r="Y51" s="86"/>
      <c r="Z51" s="86"/>
      <c r="AA51" s="86"/>
      <c r="AB51" s="86"/>
      <c r="AC51" s="86"/>
      <c r="AD51" s="86"/>
      <c r="AE51" s="86"/>
      <c r="AF51" s="86"/>
      <c r="AG51" s="86"/>
      <c r="AH51" s="86"/>
      <c r="AI51" s="86"/>
      <c r="AJ51" s="86"/>
      <c r="AK51" s="86"/>
      <c r="AL51" s="86"/>
      <c r="AM51" s="86"/>
      <c r="AN51" s="86"/>
      <c r="AO51" s="86"/>
      <c r="AP51" s="86"/>
      <c r="AQ51" s="86"/>
      <c r="AR51" s="86"/>
      <c r="AS51" s="86"/>
      <c r="AT51" s="86"/>
      <c r="AU51" s="86"/>
      <c r="AV51" s="86"/>
      <c r="AW51" s="86"/>
      <c r="AX51" s="86"/>
      <c r="AY51" s="86"/>
      <c r="AZ51" s="86"/>
      <c r="BA51" s="86"/>
      <c r="BB51" s="86"/>
      <c r="BC51" s="86"/>
      <c r="BD51" s="86"/>
      <c r="BE51" s="86"/>
      <c r="BF51" s="86"/>
      <c r="BG51" s="86"/>
      <c r="BH51" s="86"/>
      <c r="BI51" s="86"/>
      <c r="BJ51" s="86"/>
      <c r="BK51" s="86"/>
      <c r="BL51" s="86"/>
      <c r="BM51" s="86"/>
      <c r="BN51" s="86"/>
      <c r="BO51" s="86"/>
      <c r="BP51" s="86"/>
      <c r="BQ51" s="86"/>
      <c r="BR51" s="86"/>
      <c r="BS51" s="86"/>
      <c r="BT51" s="86"/>
    </row>
    <row r="52" spans="1:72">
      <c r="A52" s="17"/>
      <c r="B52" s="17"/>
      <c r="F52" s="86"/>
      <c r="L52" s="86"/>
      <c r="N52" s="86"/>
      <c r="O52" s="86"/>
      <c r="P52" s="86"/>
      <c r="Q52" s="86"/>
      <c r="R52" s="86"/>
      <c r="S52" s="86"/>
      <c r="T52" s="86"/>
      <c r="U52" s="86"/>
      <c r="V52" s="86"/>
      <c r="W52" s="86"/>
      <c r="X52" s="86"/>
      <c r="Y52" s="86"/>
      <c r="Z52" s="86"/>
      <c r="AA52" s="86"/>
      <c r="AB52" s="86"/>
      <c r="AC52" s="86"/>
      <c r="AD52" s="86"/>
      <c r="AE52" s="86"/>
      <c r="AF52" s="86"/>
      <c r="AG52" s="86"/>
      <c r="AH52" s="86"/>
      <c r="AI52" s="86"/>
      <c r="AJ52" s="86"/>
      <c r="AK52" s="86"/>
      <c r="AL52" s="86"/>
      <c r="AM52" s="86"/>
      <c r="AN52" s="86"/>
      <c r="AO52" s="86"/>
      <c r="AP52" s="86"/>
      <c r="AQ52" s="86"/>
      <c r="AR52" s="86"/>
      <c r="AS52" s="86"/>
      <c r="AT52" s="86"/>
      <c r="AU52" s="86"/>
      <c r="AV52" s="86"/>
      <c r="AW52" s="86"/>
      <c r="AX52" s="86"/>
      <c r="AY52" s="86"/>
      <c r="AZ52" s="86"/>
      <c r="BA52" s="86"/>
      <c r="BB52" s="86"/>
      <c r="BC52" s="86"/>
      <c r="BD52" s="86"/>
      <c r="BE52" s="86"/>
      <c r="BF52" s="86"/>
      <c r="BG52" s="86"/>
      <c r="BH52" s="86"/>
      <c r="BI52" s="86"/>
      <c r="BJ52" s="86"/>
      <c r="BK52" s="86"/>
      <c r="BL52" s="86"/>
      <c r="BM52" s="86"/>
      <c r="BN52" s="86"/>
      <c r="BO52" s="86"/>
      <c r="BP52" s="86"/>
      <c r="BQ52" s="86"/>
      <c r="BR52" s="86"/>
      <c r="BS52" s="86"/>
      <c r="BT52" s="86"/>
    </row>
    <row r="53" spans="1:72" ht="19">
      <c r="A53" s="17"/>
      <c r="B53" s="17"/>
      <c r="E53" s="164" t="s">
        <v>193</v>
      </c>
      <c r="F53" s="372"/>
      <c r="G53" s="372"/>
      <c r="H53" s="372"/>
      <c r="I53" s="372"/>
      <c r="J53" s="372"/>
      <c r="K53" s="372"/>
      <c r="L53" s="372"/>
      <c r="M53" s="372"/>
      <c r="N53" s="372"/>
      <c r="O53" s="372"/>
      <c r="P53" s="372"/>
      <c r="Q53" s="372"/>
      <c r="R53" s="372"/>
      <c r="S53" s="372"/>
      <c r="T53" s="372"/>
      <c r="U53" s="372"/>
      <c r="V53" s="372"/>
      <c r="W53" s="372"/>
      <c r="X53" s="372"/>
      <c r="Y53" s="372"/>
      <c r="Z53" s="372"/>
      <c r="AA53" s="372"/>
      <c r="AB53" s="372"/>
      <c r="AC53" s="372"/>
      <c r="AD53" s="372"/>
      <c r="AE53" s="372"/>
      <c r="AF53" s="372"/>
      <c r="AG53" s="372"/>
      <c r="AH53" s="372"/>
      <c r="AI53" s="372"/>
      <c r="AJ53" s="372"/>
      <c r="AK53" s="372"/>
      <c r="AL53" s="372"/>
      <c r="AM53" s="372"/>
      <c r="AN53" s="372"/>
      <c r="AO53" s="372"/>
      <c r="AP53" s="372"/>
      <c r="AQ53" s="372"/>
      <c r="AR53" s="372"/>
      <c r="AS53" s="372"/>
      <c r="AT53" s="372"/>
      <c r="AU53" s="372"/>
      <c r="AV53" s="372"/>
      <c r="AW53" s="372"/>
      <c r="AX53" s="372"/>
      <c r="AY53" s="372"/>
      <c r="AZ53" s="372"/>
      <c r="BA53" s="372"/>
      <c r="BB53" s="372"/>
      <c r="BC53" s="372"/>
      <c r="BD53" s="372"/>
      <c r="BE53" s="372"/>
      <c r="BF53" s="372"/>
      <c r="BG53" s="372"/>
      <c r="BH53" s="372"/>
      <c r="BI53" s="372"/>
      <c r="BJ53" s="372"/>
      <c r="BK53" s="372"/>
      <c r="BL53" s="372"/>
      <c r="BM53" s="372"/>
      <c r="BN53" s="372"/>
      <c r="BO53" s="372"/>
      <c r="BP53" s="372"/>
      <c r="BQ53" s="372"/>
      <c r="BR53" s="372"/>
      <c r="BS53" s="372"/>
      <c r="BT53" s="372"/>
    </row>
    <row r="54" spans="1:72">
      <c r="A54" s="17"/>
      <c r="B54" s="17"/>
      <c r="E54" s="17" t="s">
        <v>269</v>
      </c>
      <c r="F54" s="268" t="e">
        <f>F26</f>
        <v>#VALUE!</v>
      </c>
      <c r="G54" s="268">
        <f t="shared" ref="G54:AI54" si="34">G26</f>
        <v>50231.056242490093</v>
      </c>
      <c r="H54" s="268">
        <f t="shared" si="34"/>
        <v>106816.64181085258</v>
      </c>
      <c r="I54" s="268">
        <f t="shared" si="34"/>
        <v>14585.552702053605</v>
      </c>
      <c r="J54" s="268">
        <f t="shared" si="34"/>
        <v>39994.300442658685</v>
      </c>
      <c r="K54" s="268">
        <f t="shared" si="34"/>
        <v>36306.595728013628</v>
      </c>
      <c r="L54" s="268">
        <f t="shared" si="34"/>
        <v>14259.730984150367</v>
      </c>
      <c r="M54" s="268">
        <f t="shared" si="34"/>
        <v>15986.538329212832</v>
      </c>
      <c r="N54" s="268" t="e">
        <f t="shared" si="34"/>
        <v>#VALUE!</v>
      </c>
      <c r="O54" s="268">
        <f t="shared" si="34"/>
        <v>12942.279641022304</v>
      </c>
      <c r="P54" s="268">
        <f t="shared" si="34"/>
        <v>12909.921178793802</v>
      </c>
      <c r="Q54" s="268">
        <f t="shared" si="34"/>
        <v>12868.425610177612</v>
      </c>
      <c r="R54" s="268">
        <f t="shared" si="34"/>
        <v>12820.981060408101</v>
      </c>
      <c r="S54" s="268">
        <f t="shared" si="34"/>
        <v>12769.913044885663</v>
      </c>
      <c r="T54" s="268">
        <f t="shared" si="34"/>
        <v>12715.138833778266</v>
      </c>
      <c r="U54" s="268">
        <f t="shared" si="34"/>
        <v>12656.162552543919</v>
      </c>
      <c r="V54" s="268">
        <f t="shared" si="34"/>
        <v>12592.272421957035</v>
      </c>
      <c r="W54" s="268">
        <f t="shared" si="34"/>
        <v>12522.969540774451</v>
      </c>
      <c r="X54" s="268">
        <f t="shared" si="34"/>
        <v>12448.092484933666</v>
      </c>
      <c r="Y54" s="268">
        <f t="shared" si="34"/>
        <v>12367.855645767686</v>
      </c>
      <c r="Z54" s="268">
        <f t="shared" si="34"/>
        <v>12282.161159938625</v>
      </c>
      <c r="AA54" s="268"/>
      <c r="AB54" s="268"/>
      <c r="AC54" s="268" t="e">
        <f t="shared" si="34"/>
        <v>#VALUE!</v>
      </c>
      <c r="AD54" s="268">
        <f t="shared" si="34"/>
        <v>31581.662595117821</v>
      </c>
      <c r="AE54" s="268">
        <f t="shared" si="34"/>
        <v>85754.988180039581</v>
      </c>
      <c r="AF54" s="268">
        <f t="shared" si="34"/>
        <v>0</v>
      </c>
      <c r="AG54" s="268">
        <f t="shared" si="34"/>
        <v>22243.326303684153</v>
      </c>
      <c r="AH54" s="268">
        <f t="shared" si="34"/>
        <v>18685.889850697153</v>
      </c>
      <c r="AI54" s="268">
        <f t="shared" si="34"/>
        <v>0</v>
      </c>
      <c r="AJ54" s="268">
        <f>AJ26</f>
        <v>0</v>
      </c>
      <c r="AK54" s="268" t="e">
        <f t="shared" ref="AK54:BC54" si="35">AK26</f>
        <v>#VALUE!</v>
      </c>
      <c r="AL54" s="268">
        <f t="shared" si="35"/>
        <v>0</v>
      </c>
      <c r="AM54" s="268">
        <f t="shared" si="35"/>
        <v>0</v>
      </c>
      <c r="AN54" s="268">
        <f t="shared" si="35"/>
        <v>0</v>
      </c>
      <c r="AO54" s="268">
        <f t="shared" si="35"/>
        <v>0</v>
      </c>
      <c r="AP54" s="268">
        <f t="shared" si="35"/>
        <v>0</v>
      </c>
      <c r="AQ54" s="268">
        <f t="shared" si="35"/>
        <v>0</v>
      </c>
      <c r="AR54" s="268">
        <f t="shared" si="35"/>
        <v>0</v>
      </c>
      <c r="AS54" s="268">
        <f t="shared" si="35"/>
        <v>0</v>
      </c>
      <c r="AT54" s="268">
        <f t="shared" si="35"/>
        <v>0</v>
      </c>
      <c r="AU54" s="268">
        <f t="shared" si="35"/>
        <v>0</v>
      </c>
      <c r="AV54" s="268">
        <f t="shared" si="35"/>
        <v>0</v>
      </c>
      <c r="AW54" s="268">
        <f t="shared" si="35"/>
        <v>0</v>
      </c>
      <c r="AX54" s="268"/>
      <c r="AY54" s="268"/>
      <c r="AZ54" s="268" t="e">
        <f t="shared" si="35"/>
        <v>#VALUE!</v>
      </c>
      <c r="BA54" s="268">
        <f t="shared" si="35"/>
        <v>69710.055584208312</v>
      </c>
      <c r="BB54" s="268">
        <f t="shared" si="35"/>
        <v>128353.1523441389</v>
      </c>
      <c r="BC54" s="268">
        <f t="shared" si="35"/>
        <v>32053.073028082501</v>
      </c>
      <c r="BD54" s="268">
        <f>BD26</f>
        <v>58008.069861429831</v>
      </c>
      <c r="BE54" s="268">
        <f t="shared" ref="BE54:BT54" si="36">BE26</f>
        <v>54245.948394838837</v>
      </c>
      <c r="BF54" s="268">
        <f t="shared" si="36"/>
        <v>31435.260274277167</v>
      </c>
      <c r="BG54" s="268">
        <f t="shared" si="36"/>
        <v>33186.638297369238</v>
      </c>
      <c r="BH54" s="268" t="e">
        <f t="shared" si="36"/>
        <v>#VALUE!</v>
      </c>
      <c r="BI54" s="268">
        <f t="shared" si="36"/>
        <v>28406.549182598377</v>
      </c>
      <c r="BJ54" s="268">
        <f t="shared" si="36"/>
        <v>28335.526744955041</v>
      </c>
      <c r="BK54" s="268">
        <f t="shared" si="36"/>
        <v>28244.449597539715</v>
      </c>
      <c r="BL54" s="268">
        <f t="shared" si="36"/>
        <v>28140.315243016736</v>
      </c>
      <c r="BM54" s="268">
        <f t="shared" si="36"/>
        <v>28028.227872411808</v>
      </c>
      <c r="BN54" s="268">
        <f t="shared" si="36"/>
        <v>27908.005904959609</v>
      </c>
      <c r="BO54" s="268">
        <f t="shared" si="36"/>
        <v>27778.560963267872</v>
      </c>
      <c r="BP54" s="268">
        <f t="shared" si="36"/>
        <v>27638.330788434811</v>
      </c>
      <c r="BQ54" s="268">
        <f t="shared" si="36"/>
        <v>27486.220359869432</v>
      </c>
      <c r="BR54" s="268">
        <f t="shared" si="36"/>
        <v>27321.87537363937</v>
      </c>
      <c r="BS54" s="268">
        <f t="shared" si="36"/>
        <v>27145.7663896548</v>
      </c>
      <c r="BT54" s="268">
        <f t="shared" si="36"/>
        <v>26957.678611156727</v>
      </c>
    </row>
    <row r="55" spans="1:72">
      <c r="A55" s="17"/>
      <c r="B55" s="17"/>
      <c r="E55" s="162" t="s">
        <v>275</v>
      </c>
      <c r="F55" s="370" t="e">
        <f>BaselineData!$E$99*F26</f>
        <v>#VALUE!</v>
      </c>
      <c r="G55" s="370">
        <f>BaselineData!$E$99*G26</f>
        <v>10548.521810922919</v>
      </c>
      <c r="H55" s="370">
        <f>BaselineData!$E$99*H26</f>
        <v>22431.494780279041</v>
      </c>
      <c r="I55" s="370">
        <f>BaselineData!$E$99*I26</f>
        <v>3062.9660674312568</v>
      </c>
      <c r="J55" s="370">
        <f>BaselineData!$E$99*J26</f>
        <v>8398.8030929583238</v>
      </c>
      <c r="K55" s="370">
        <f>BaselineData!$E$99*K26</f>
        <v>7624.3851028828612</v>
      </c>
      <c r="L55" s="370">
        <f>BaselineData!$E$99*L26</f>
        <v>2994.5435066715768</v>
      </c>
      <c r="M55" s="370">
        <f>BaselineData!$E$99*M26</f>
        <v>3357.1730491346943</v>
      </c>
      <c r="N55" s="370" t="e">
        <f>BaselineData!$E$99*N26</f>
        <v>#VALUE!</v>
      </c>
      <c r="O55" s="370">
        <f>BaselineData!$E$99*O26</f>
        <v>2717.8787246146835</v>
      </c>
      <c r="P55" s="370">
        <f>BaselineData!$E$99*P26</f>
        <v>2711.0834475466982</v>
      </c>
      <c r="Q55" s="370">
        <f>BaselineData!$E$99*Q26</f>
        <v>2702.3693781372986</v>
      </c>
      <c r="R55" s="370">
        <f>BaselineData!$E$99*R26</f>
        <v>2692.4060226857014</v>
      </c>
      <c r="S55" s="370">
        <f>BaselineData!$E$99*S26</f>
        <v>2681.6817394259892</v>
      </c>
      <c r="T55" s="370">
        <f>BaselineData!$E$99*T26</f>
        <v>2670.1791550934358</v>
      </c>
      <c r="U55" s="370">
        <f>BaselineData!$E$99*U26</f>
        <v>2657.7941360342229</v>
      </c>
      <c r="V55" s="370">
        <f>BaselineData!$E$99*V26</f>
        <v>2644.3772086109775</v>
      </c>
      <c r="W55" s="370">
        <f>BaselineData!$E$99*W26</f>
        <v>2629.8236035626346</v>
      </c>
      <c r="X55" s="370">
        <f>BaselineData!$E$99*X26</f>
        <v>2614.0994218360697</v>
      </c>
      <c r="Y55" s="370">
        <f>BaselineData!$E$99*Y26</f>
        <v>2597.2496856112139</v>
      </c>
      <c r="Z55" s="370">
        <f>BaselineData!$E$99*Z26</f>
        <v>2579.2538435871111</v>
      </c>
      <c r="AA55" s="370"/>
      <c r="AB55" s="370"/>
      <c r="AC55" s="370" t="e">
        <f>BaselineData!$E$99*AC26</f>
        <v>#VALUE!</v>
      </c>
      <c r="AD55" s="370">
        <f>BaselineData!$E$99*AD26</f>
        <v>6632.1491449747418</v>
      </c>
      <c r="AE55" s="370">
        <f>BaselineData!$E$99*AE26</f>
        <v>18008.547517808311</v>
      </c>
      <c r="AF55" s="370">
        <f>BaselineData!$E$99*AF26</f>
        <v>0</v>
      </c>
      <c r="AG55" s="370">
        <f>BaselineData!$E$99*AG26</f>
        <v>4671.0985237736722</v>
      </c>
      <c r="AH55" s="370">
        <f>BaselineData!$E$99*AH26</f>
        <v>3924.0368686464021</v>
      </c>
      <c r="AI55" s="370">
        <f>BaselineData!$E$99*AI26</f>
        <v>0</v>
      </c>
      <c r="AJ55" s="370">
        <f>BaselineData!$E$99*AJ26</f>
        <v>0</v>
      </c>
      <c r="AK55" s="370" t="e">
        <f>BaselineData!$E$99*AK26</f>
        <v>#VALUE!</v>
      </c>
      <c r="AL55" s="370">
        <f>BaselineData!$E$99*AL26</f>
        <v>0</v>
      </c>
      <c r="AM55" s="370">
        <f>BaselineData!$E$99*AM26</f>
        <v>0</v>
      </c>
      <c r="AN55" s="370">
        <f>BaselineData!$E$99*AN26</f>
        <v>0</v>
      </c>
      <c r="AO55" s="370">
        <f>BaselineData!$E$99*AO26</f>
        <v>0</v>
      </c>
      <c r="AP55" s="370">
        <f>BaselineData!$E$99*AP26</f>
        <v>0</v>
      </c>
      <c r="AQ55" s="370">
        <f>BaselineData!$E$99*AQ26</f>
        <v>0</v>
      </c>
      <c r="AR55" s="370">
        <f>BaselineData!$E$99*AR26</f>
        <v>0</v>
      </c>
      <c r="AS55" s="370">
        <f>BaselineData!$E$99*AS26</f>
        <v>0</v>
      </c>
      <c r="AT55" s="370">
        <f>BaselineData!$E$99*AT26</f>
        <v>0</v>
      </c>
      <c r="AU55" s="370">
        <f>BaselineData!$E$99*AU26</f>
        <v>0</v>
      </c>
      <c r="AV55" s="370">
        <f>BaselineData!$E$99*AV26</f>
        <v>0</v>
      </c>
      <c r="AW55" s="370">
        <f>BaselineData!$E$99*AW26</f>
        <v>0</v>
      </c>
      <c r="AX55" s="370"/>
      <c r="AY55" s="370"/>
      <c r="AZ55" s="370" t="e">
        <f>BaselineData!$E$99*AZ26</f>
        <v>#VALUE!</v>
      </c>
      <c r="BA55" s="370">
        <f>BaselineData!$E$99*BA26</f>
        <v>14639.111672683744</v>
      </c>
      <c r="BB55" s="370">
        <f>BaselineData!$E$99*BB26</f>
        <v>26954.161992269168</v>
      </c>
      <c r="BC55" s="370">
        <f>BaselineData!$E$99*BC26</f>
        <v>6731.1453358973249</v>
      </c>
      <c r="BD55" s="370">
        <f>BaselineData!$E$99*BD26</f>
        <v>12181.694670900264</v>
      </c>
      <c r="BE55" s="370">
        <f>BaselineData!$E$99*BE26</f>
        <v>11391.649162916156</v>
      </c>
      <c r="BF55" s="370">
        <f>BaselineData!$E$99*BF26</f>
        <v>6601.4046575982047</v>
      </c>
      <c r="BG55" s="370">
        <f>BaselineData!$E$99*BG26</f>
        <v>6969.1940424475397</v>
      </c>
      <c r="BH55" s="370" t="e">
        <f>BaselineData!$E$99*BH26</f>
        <v>#VALUE!</v>
      </c>
      <c r="BI55" s="370">
        <f>BaselineData!$E$99*BI26</f>
        <v>5965.375328345659</v>
      </c>
      <c r="BJ55" s="370">
        <f>BaselineData!$E$99*BJ26</f>
        <v>5950.4606164405586</v>
      </c>
      <c r="BK55" s="370">
        <f>BaselineData!$E$99*BK26</f>
        <v>5931.3344154833403</v>
      </c>
      <c r="BL55" s="370">
        <f>BaselineData!$E$99*BL26</f>
        <v>5909.4662010335142</v>
      </c>
      <c r="BM55" s="370">
        <f>BaselineData!$E$99*BM26</f>
        <v>5885.9278532064791</v>
      </c>
      <c r="BN55" s="370">
        <f>BaselineData!$E$99*BN26</f>
        <v>5860.6812400415174</v>
      </c>
      <c r="BO55" s="370">
        <f>BaselineData!$E$99*BO26</f>
        <v>5833.4978022862524</v>
      </c>
      <c r="BP55" s="370">
        <f>BaselineData!$E$99*BP26</f>
        <v>5804.0494655713101</v>
      </c>
      <c r="BQ55" s="370">
        <f>BaselineData!$E$99*BQ26</f>
        <v>5772.1062755725807</v>
      </c>
      <c r="BR55" s="370">
        <f>BaselineData!$E$99*BR26</f>
        <v>5737.5938284642671</v>
      </c>
      <c r="BS55" s="370">
        <f>BaselineData!$E$99*BS26</f>
        <v>5700.6109418275082</v>
      </c>
      <c r="BT55" s="370">
        <f>BaselineData!$E$99*BT26</f>
        <v>5661.1125083429124</v>
      </c>
    </row>
    <row r="56" spans="1:72">
      <c r="A56" s="17"/>
      <c r="B56" s="17"/>
      <c r="E56" s="162" t="s">
        <v>276</v>
      </c>
      <c r="F56" s="370" t="e">
        <f>BaselineData!$E$100*F26</f>
        <v>#VALUE!</v>
      </c>
      <c r="G56" s="370">
        <f>BaselineData!$E$100*G26</f>
        <v>4520.7950618241084</v>
      </c>
      <c r="H56" s="370">
        <f>BaselineData!$E$100*H26</f>
        <v>9613.4977629767327</v>
      </c>
      <c r="I56" s="370">
        <f>BaselineData!$E$100*I26</f>
        <v>1312.6997431848245</v>
      </c>
      <c r="J56" s="370">
        <f>BaselineData!$E$100*J26</f>
        <v>3599.4870398392814</v>
      </c>
      <c r="K56" s="370">
        <f>BaselineData!$E$100*K26</f>
        <v>3267.5936155212262</v>
      </c>
      <c r="L56" s="370">
        <f>BaselineData!$E$100*L26</f>
        <v>1283.3757885735329</v>
      </c>
      <c r="M56" s="370">
        <f>BaselineData!$E$100*M26</f>
        <v>1438.7884496291549</v>
      </c>
      <c r="N56" s="370" t="e">
        <f>BaselineData!$E$100*N26</f>
        <v>#VALUE!</v>
      </c>
      <c r="O56" s="370">
        <f>BaselineData!$E$100*O26</f>
        <v>1164.8051676920072</v>
      </c>
      <c r="P56" s="370">
        <f>BaselineData!$E$100*P26</f>
        <v>1161.8929060914422</v>
      </c>
      <c r="Q56" s="370">
        <f>BaselineData!$E$100*Q26</f>
        <v>1158.1583049159851</v>
      </c>
      <c r="R56" s="370">
        <f>BaselineData!$E$100*R26</f>
        <v>1153.8882954367291</v>
      </c>
      <c r="S56" s="370">
        <f>BaselineData!$E$100*S26</f>
        <v>1149.2921740397096</v>
      </c>
      <c r="T56" s="370">
        <f>BaselineData!$E$100*T26</f>
        <v>1144.362495040044</v>
      </c>
      <c r="U56" s="370">
        <f>BaselineData!$E$100*U26</f>
        <v>1139.0546297289527</v>
      </c>
      <c r="V56" s="370">
        <f>BaselineData!$E$100*V26</f>
        <v>1133.3045179761332</v>
      </c>
      <c r="W56" s="370">
        <f>BaselineData!$E$100*W26</f>
        <v>1127.0672586697005</v>
      </c>
      <c r="X56" s="370">
        <f>BaselineData!$E$100*X26</f>
        <v>1120.32832364403</v>
      </c>
      <c r="Y56" s="370">
        <f>BaselineData!$E$100*Y26</f>
        <v>1113.1070081190917</v>
      </c>
      <c r="Z56" s="370">
        <f>BaselineData!$E$100*Z26</f>
        <v>1105.3945043944761</v>
      </c>
      <c r="AA56" s="370"/>
      <c r="AB56" s="370"/>
      <c r="AC56" s="370" t="e">
        <f>BaselineData!$E$100*AC26</f>
        <v>#VALUE!</v>
      </c>
      <c r="AD56" s="370">
        <f>BaselineData!$E$100*AD26</f>
        <v>2842.3496335606037</v>
      </c>
      <c r="AE56" s="370">
        <f>BaselineData!$E$100*AE26</f>
        <v>7717.948936203562</v>
      </c>
      <c r="AF56" s="370">
        <f>BaselineData!$E$100*AF26</f>
        <v>0</v>
      </c>
      <c r="AG56" s="370">
        <f>BaselineData!$E$100*AG26</f>
        <v>2001.8993673315736</v>
      </c>
      <c r="AH56" s="370">
        <f>BaselineData!$E$100*AH26</f>
        <v>1681.7300865627437</v>
      </c>
      <c r="AI56" s="370">
        <f>BaselineData!$E$100*AI26</f>
        <v>0</v>
      </c>
      <c r="AJ56" s="370">
        <f>BaselineData!$E$100*AJ26</f>
        <v>0</v>
      </c>
      <c r="AK56" s="370" t="e">
        <f>BaselineData!$E$100*AK26</f>
        <v>#VALUE!</v>
      </c>
      <c r="AL56" s="370">
        <f>BaselineData!$E$100*AL26</f>
        <v>0</v>
      </c>
      <c r="AM56" s="370">
        <f>BaselineData!$E$100*AM26</f>
        <v>0</v>
      </c>
      <c r="AN56" s="370">
        <f>BaselineData!$E$100*AN26</f>
        <v>0</v>
      </c>
      <c r="AO56" s="370">
        <f>BaselineData!$E$100*AO26</f>
        <v>0</v>
      </c>
      <c r="AP56" s="370">
        <f>BaselineData!$E$100*AP26</f>
        <v>0</v>
      </c>
      <c r="AQ56" s="370">
        <f>BaselineData!$E$100*AQ26</f>
        <v>0</v>
      </c>
      <c r="AR56" s="370">
        <f>BaselineData!$E$100*AR26</f>
        <v>0</v>
      </c>
      <c r="AS56" s="370">
        <f>BaselineData!$E$100*AS26</f>
        <v>0</v>
      </c>
      <c r="AT56" s="370">
        <f>BaselineData!$E$100*AT26</f>
        <v>0</v>
      </c>
      <c r="AU56" s="370">
        <f>BaselineData!$E$100*AU26</f>
        <v>0</v>
      </c>
      <c r="AV56" s="370">
        <f>BaselineData!$E$100*AV26</f>
        <v>0</v>
      </c>
      <c r="AW56" s="370">
        <f>BaselineData!$E$100*AW26</f>
        <v>0</v>
      </c>
      <c r="AX56" s="370"/>
      <c r="AY56" s="370"/>
      <c r="AZ56" s="370" t="e">
        <f>BaselineData!$E$100*AZ26</f>
        <v>#VALUE!</v>
      </c>
      <c r="BA56" s="370">
        <f>BaselineData!$E$100*BA26</f>
        <v>6273.9050025787483</v>
      </c>
      <c r="BB56" s="370">
        <f>BaselineData!$E$100*BB26</f>
        <v>11551.783710972501</v>
      </c>
      <c r="BC56" s="370">
        <f>BaselineData!$E$100*BC26</f>
        <v>2884.7765725274248</v>
      </c>
      <c r="BD56" s="370">
        <f>BaselineData!$E$100*BD26</f>
        <v>5220.7262875286842</v>
      </c>
      <c r="BE56" s="370">
        <f>BaselineData!$E$100*BE26</f>
        <v>4882.1353555354954</v>
      </c>
      <c r="BF56" s="370">
        <f>BaselineData!$E$100*BF26</f>
        <v>2829.1734246849451</v>
      </c>
      <c r="BG56" s="370">
        <f>BaselineData!$E$100*BG26</f>
        <v>2986.7974467632312</v>
      </c>
      <c r="BH56" s="370" t="e">
        <f>BaselineData!$E$100*BH26</f>
        <v>#VALUE!</v>
      </c>
      <c r="BI56" s="370">
        <f>BaselineData!$E$100*BI26</f>
        <v>2556.589426433854</v>
      </c>
      <c r="BJ56" s="370">
        <f>BaselineData!$E$100*BJ26</f>
        <v>2550.1974070459537</v>
      </c>
      <c r="BK56" s="370">
        <f>BaselineData!$E$100*BK26</f>
        <v>2542.0004637785742</v>
      </c>
      <c r="BL56" s="370">
        <f>BaselineData!$E$100*BL26</f>
        <v>2532.6283718715063</v>
      </c>
      <c r="BM56" s="370">
        <f>BaselineData!$E$100*BM26</f>
        <v>2522.5405085170628</v>
      </c>
      <c r="BN56" s="370">
        <f>BaselineData!$E$100*BN26</f>
        <v>2511.7205314463649</v>
      </c>
      <c r="BO56" s="370">
        <f>BaselineData!$E$100*BO26</f>
        <v>2500.0704866941082</v>
      </c>
      <c r="BP56" s="370">
        <f>BaselineData!$E$100*BP26</f>
        <v>2487.4497709591328</v>
      </c>
      <c r="BQ56" s="370">
        <f>BaselineData!$E$100*BQ26</f>
        <v>2473.7598323882489</v>
      </c>
      <c r="BR56" s="370">
        <f>BaselineData!$E$100*BR26</f>
        <v>2458.9687836275434</v>
      </c>
      <c r="BS56" s="370">
        <f>BaselineData!$E$100*BS26</f>
        <v>2443.1189750689318</v>
      </c>
      <c r="BT56" s="370">
        <f>BaselineData!$E$100*BT26</f>
        <v>2426.1910750041052</v>
      </c>
    </row>
    <row r="57" spans="1:72">
      <c r="A57" s="17"/>
      <c r="B57" s="17"/>
      <c r="E57" s="60" t="s">
        <v>277</v>
      </c>
      <c r="F57" s="370" t="e">
        <f>BaselineData!$E$101*F26</f>
        <v>#VALUE!</v>
      </c>
      <c r="G57" s="370">
        <f>BaselineData!$E$101*G26</f>
        <v>3013.8633745494053</v>
      </c>
      <c r="H57" s="370">
        <f>BaselineData!$E$101*H26</f>
        <v>6408.9985086511551</v>
      </c>
      <c r="I57" s="370">
        <f>BaselineData!$E$101*I26</f>
        <v>875.13316212321627</v>
      </c>
      <c r="J57" s="370">
        <f>BaselineData!$E$101*J26</f>
        <v>2399.6580265595212</v>
      </c>
      <c r="K57" s="370">
        <f>BaselineData!$E$101*K26</f>
        <v>2178.3957436808178</v>
      </c>
      <c r="L57" s="370">
        <f>BaselineData!$E$101*L26</f>
        <v>855.58385904902195</v>
      </c>
      <c r="M57" s="370">
        <f>BaselineData!$E$101*M26</f>
        <v>959.19229975276983</v>
      </c>
      <c r="N57" s="370" t="e">
        <f>BaselineData!$E$101*N26</f>
        <v>#VALUE!</v>
      </c>
      <c r="O57" s="370">
        <f>BaselineData!$E$101*O26</f>
        <v>776.53677846133814</v>
      </c>
      <c r="P57" s="370">
        <f>BaselineData!$E$101*P26</f>
        <v>774.59527072762808</v>
      </c>
      <c r="Q57" s="370">
        <f>BaselineData!$E$101*Q26</f>
        <v>772.10553661065671</v>
      </c>
      <c r="R57" s="370">
        <f>BaselineData!$E$101*R26</f>
        <v>769.25886362448603</v>
      </c>
      <c r="S57" s="370">
        <f>BaselineData!$E$101*S26</f>
        <v>766.19478269313981</v>
      </c>
      <c r="T57" s="370">
        <f>BaselineData!$E$101*T26</f>
        <v>762.90833002669592</v>
      </c>
      <c r="U57" s="370">
        <f>BaselineData!$E$101*U26</f>
        <v>759.3697531526351</v>
      </c>
      <c r="V57" s="370">
        <f>BaselineData!$E$101*V26</f>
        <v>755.53634531742205</v>
      </c>
      <c r="W57" s="370">
        <f>BaselineData!$E$101*W26</f>
        <v>751.37817244646703</v>
      </c>
      <c r="X57" s="370">
        <f>BaselineData!$E$101*X26</f>
        <v>746.88554909601999</v>
      </c>
      <c r="Y57" s="370">
        <f>BaselineData!$E$101*Y26</f>
        <v>742.07133874606109</v>
      </c>
      <c r="Z57" s="370">
        <f>BaselineData!$E$101*Z26</f>
        <v>736.92966959631747</v>
      </c>
      <c r="AA57" s="370"/>
      <c r="AB57" s="370"/>
      <c r="AC57" s="370" t="e">
        <f>BaselineData!$E$101*AC26</f>
        <v>#VALUE!</v>
      </c>
      <c r="AD57" s="370">
        <f>BaselineData!$E$101*AD26</f>
        <v>1894.8997557070693</v>
      </c>
      <c r="AE57" s="370">
        <f>BaselineData!$E$101*AE26</f>
        <v>5145.2992908023743</v>
      </c>
      <c r="AF57" s="370">
        <f>BaselineData!$E$101*AF26</f>
        <v>0</v>
      </c>
      <c r="AG57" s="370">
        <f>BaselineData!$E$101*AG26</f>
        <v>1334.5995782210491</v>
      </c>
      <c r="AH57" s="370">
        <f>BaselineData!$E$101*AH26</f>
        <v>1121.1533910418291</v>
      </c>
      <c r="AI57" s="370">
        <f>BaselineData!$E$101*AI26</f>
        <v>0</v>
      </c>
      <c r="AJ57" s="370">
        <f>BaselineData!$E$101*AJ26</f>
        <v>0</v>
      </c>
      <c r="AK57" s="370" t="e">
        <f>BaselineData!$E$101*AK26</f>
        <v>#VALUE!</v>
      </c>
      <c r="AL57" s="370">
        <f>BaselineData!$E$101*AL26</f>
        <v>0</v>
      </c>
      <c r="AM57" s="370">
        <f>BaselineData!$E$101*AM26</f>
        <v>0</v>
      </c>
      <c r="AN57" s="370">
        <f>BaselineData!$E$101*AN26</f>
        <v>0</v>
      </c>
      <c r="AO57" s="370">
        <f>BaselineData!$E$101*AO26</f>
        <v>0</v>
      </c>
      <c r="AP57" s="370">
        <f>BaselineData!$E$101*AP26</f>
        <v>0</v>
      </c>
      <c r="AQ57" s="370">
        <f>BaselineData!$E$101*AQ26</f>
        <v>0</v>
      </c>
      <c r="AR57" s="370">
        <f>BaselineData!$E$101*AR26</f>
        <v>0</v>
      </c>
      <c r="AS57" s="370">
        <f>BaselineData!$E$101*AS26</f>
        <v>0</v>
      </c>
      <c r="AT57" s="370">
        <f>BaselineData!$E$101*AT26</f>
        <v>0</v>
      </c>
      <c r="AU57" s="370">
        <f>BaselineData!$E$101*AU26</f>
        <v>0</v>
      </c>
      <c r="AV57" s="370">
        <f>BaselineData!$E$101*AV26</f>
        <v>0</v>
      </c>
      <c r="AW57" s="370">
        <f>BaselineData!$E$101*AW26</f>
        <v>0</v>
      </c>
      <c r="AX57" s="370"/>
      <c r="AY57" s="370"/>
      <c r="AZ57" s="370" t="e">
        <f>BaselineData!$E$101*AZ26</f>
        <v>#VALUE!</v>
      </c>
      <c r="BA57" s="370">
        <f>BaselineData!$E$101*BA26</f>
        <v>4182.6033350524986</v>
      </c>
      <c r="BB57" s="370">
        <f>BaselineData!$E$101*BB26</f>
        <v>7701.1891406483337</v>
      </c>
      <c r="BC57" s="370">
        <f>BaselineData!$E$101*BC26</f>
        <v>1923.18438168495</v>
      </c>
      <c r="BD57" s="370">
        <f>BaselineData!$E$101*BD26</f>
        <v>3480.4841916857899</v>
      </c>
      <c r="BE57" s="370">
        <f>BaselineData!$E$101*BE26</f>
        <v>3254.7569036903301</v>
      </c>
      <c r="BF57" s="370">
        <f>BaselineData!$E$101*BF26</f>
        <v>1886.1156164566301</v>
      </c>
      <c r="BG57" s="370">
        <f>BaselineData!$E$101*BG26</f>
        <v>1991.1982978421543</v>
      </c>
      <c r="BH57" s="370" t="e">
        <f>BaselineData!$E$101*BH26</f>
        <v>#VALUE!</v>
      </c>
      <c r="BI57" s="370">
        <f>BaselineData!$E$101*BI26</f>
        <v>1704.3929509559025</v>
      </c>
      <c r="BJ57" s="370">
        <f>BaselineData!$E$101*BJ26</f>
        <v>1700.1316046973025</v>
      </c>
      <c r="BK57" s="370">
        <f>BaselineData!$E$101*BK26</f>
        <v>1694.6669758523828</v>
      </c>
      <c r="BL57" s="370">
        <f>BaselineData!$E$101*BL26</f>
        <v>1688.4189145810042</v>
      </c>
      <c r="BM57" s="370">
        <f>BaselineData!$E$101*BM26</f>
        <v>1681.6936723447084</v>
      </c>
      <c r="BN57" s="370">
        <f>BaselineData!$E$101*BN26</f>
        <v>1674.4803542975765</v>
      </c>
      <c r="BO57" s="370">
        <f>BaselineData!$E$101*BO26</f>
        <v>1666.7136577960723</v>
      </c>
      <c r="BP57" s="370">
        <f>BaselineData!$E$101*BP26</f>
        <v>1658.2998473060886</v>
      </c>
      <c r="BQ57" s="370">
        <f>BaselineData!$E$101*BQ26</f>
        <v>1649.1732215921659</v>
      </c>
      <c r="BR57" s="370">
        <f>BaselineData!$E$101*BR26</f>
        <v>1639.3125224183621</v>
      </c>
      <c r="BS57" s="370">
        <f>BaselineData!$E$101*BS26</f>
        <v>1628.745983379288</v>
      </c>
      <c r="BT57" s="370">
        <f>BaselineData!$E$101*BT26</f>
        <v>1617.4607166694036</v>
      </c>
    </row>
    <row r="58" spans="1:72">
      <c r="A58" s="17"/>
      <c r="B58" s="17"/>
      <c r="E58" s="60" t="s">
        <v>278</v>
      </c>
      <c r="F58" s="370" t="e">
        <f>BaselineData!$E$102*F26</f>
        <v>#VALUE!</v>
      </c>
      <c r="G58" s="370">
        <f>BaselineData!$E$102*G26</f>
        <v>7534.6584363735137</v>
      </c>
      <c r="H58" s="370">
        <f>BaselineData!$E$102*H26</f>
        <v>16022.496271627886</v>
      </c>
      <c r="I58" s="370">
        <f>BaselineData!$E$102*I26</f>
        <v>2187.8329053080406</v>
      </c>
      <c r="J58" s="370">
        <f>BaselineData!$E$102*J26</f>
        <v>5999.1450663988026</v>
      </c>
      <c r="K58" s="370">
        <f>BaselineData!$E$102*K26</f>
        <v>5445.9893592020444</v>
      </c>
      <c r="L58" s="370">
        <f>BaselineData!$E$102*L26</f>
        <v>2138.9596476225547</v>
      </c>
      <c r="M58" s="370">
        <f>BaselineData!$E$102*M26</f>
        <v>2397.9807493819249</v>
      </c>
      <c r="N58" s="370" t="e">
        <f>BaselineData!$E$102*N26</f>
        <v>#VALUE!</v>
      </c>
      <c r="O58" s="370">
        <f>BaselineData!$E$102*O26</f>
        <v>1941.3419461533454</v>
      </c>
      <c r="P58" s="370">
        <f>BaselineData!$E$102*P26</f>
        <v>1936.4881768190703</v>
      </c>
      <c r="Q58" s="370">
        <f>BaselineData!$E$102*Q26</f>
        <v>1930.2638415266417</v>
      </c>
      <c r="R58" s="370">
        <f>BaselineData!$E$102*R26</f>
        <v>1923.147159061215</v>
      </c>
      <c r="S58" s="370">
        <f>BaselineData!$E$102*S26</f>
        <v>1915.4869567328494</v>
      </c>
      <c r="T58" s="370">
        <f>BaselineData!$E$102*T26</f>
        <v>1907.2708250667399</v>
      </c>
      <c r="U58" s="370">
        <f>BaselineData!$E$102*U26</f>
        <v>1898.4243828815879</v>
      </c>
      <c r="V58" s="370">
        <f>BaselineData!$E$102*V26</f>
        <v>1888.8408632935552</v>
      </c>
      <c r="W58" s="370">
        <f>BaselineData!$E$102*W26</f>
        <v>1878.4454311161676</v>
      </c>
      <c r="X58" s="370">
        <f>BaselineData!$E$102*X26</f>
        <v>1867.2138727400497</v>
      </c>
      <c r="Y58" s="370">
        <f>BaselineData!$E$102*Y26</f>
        <v>1855.1783468651529</v>
      </c>
      <c r="Z58" s="370">
        <f>BaselineData!$E$102*Z26</f>
        <v>1842.3241739907937</v>
      </c>
      <c r="AA58" s="370"/>
      <c r="AB58" s="370"/>
      <c r="AC58" s="370" t="e">
        <f>BaselineData!$E$102*AC26</f>
        <v>#VALUE!</v>
      </c>
      <c r="AD58" s="370">
        <f>BaselineData!$E$102*AD26</f>
        <v>4737.249389267673</v>
      </c>
      <c r="AE58" s="370">
        <f>BaselineData!$E$102*AE26</f>
        <v>12863.248227005937</v>
      </c>
      <c r="AF58" s="370">
        <f>BaselineData!$E$102*AF26</f>
        <v>0</v>
      </c>
      <c r="AG58" s="370">
        <f>BaselineData!$E$102*AG26</f>
        <v>3336.4989455526229</v>
      </c>
      <c r="AH58" s="370">
        <f>BaselineData!$E$102*AH26</f>
        <v>2802.8834776045728</v>
      </c>
      <c r="AI58" s="370">
        <f>BaselineData!$E$102*AI26</f>
        <v>0</v>
      </c>
      <c r="AJ58" s="370">
        <f>BaselineData!$E$102*AJ26</f>
        <v>0</v>
      </c>
      <c r="AK58" s="370" t="e">
        <f>BaselineData!$E$102*AK26</f>
        <v>#VALUE!</v>
      </c>
      <c r="AL58" s="370">
        <f>BaselineData!$E$102*AL26</f>
        <v>0</v>
      </c>
      <c r="AM58" s="370">
        <f>BaselineData!$E$102*AM26</f>
        <v>0</v>
      </c>
      <c r="AN58" s="370">
        <f>BaselineData!$E$102*AN26</f>
        <v>0</v>
      </c>
      <c r="AO58" s="370">
        <f>BaselineData!$E$102*AO26</f>
        <v>0</v>
      </c>
      <c r="AP58" s="370">
        <f>BaselineData!$E$102*AP26</f>
        <v>0</v>
      </c>
      <c r="AQ58" s="370">
        <f>BaselineData!$E$102*AQ26</f>
        <v>0</v>
      </c>
      <c r="AR58" s="370">
        <f>BaselineData!$E$102*AR26</f>
        <v>0</v>
      </c>
      <c r="AS58" s="370">
        <f>BaselineData!$E$102*AS26</f>
        <v>0</v>
      </c>
      <c r="AT58" s="370">
        <f>BaselineData!$E$102*AT26</f>
        <v>0</v>
      </c>
      <c r="AU58" s="370">
        <f>BaselineData!$E$102*AU26</f>
        <v>0</v>
      </c>
      <c r="AV58" s="370">
        <f>BaselineData!$E$102*AV26</f>
        <v>0</v>
      </c>
      <c r="AW58" s="370">
        <f>BaselineData!$E$102*AW26</f>
        <v>0</v>
      </c>
      <c r="AX58" s="370"/>
      <c r="AY58" s="370"/>
      <c r="AZ58" s="370" t="e">
        <f>BaselineData!$E$102*AZ26</f>
        <v>#VALUE!</v>
      </c>
      <c r="BA58" s="370">
        <f>BaselineData!$E$102*BA26</f>
        <v>10456.508337631247</v>
      </c>
      <c r="BB58" s="370">
        <f>BaselineData!$E$102*BB26</f>
        <v>19252.972851620834</v>
      </c>
      <c r="BC58" s="370">
        <f>BaselineData!$E$102*BC26</f>
        <v>4807.9609542123753</v>
      </c>
      <c r="BD58" s="370">
        <f>BaselineData!$E$102*BD26</f>
        <v>8701.2104792144746</v>
      </c>
      <c r="BE58" s="370">
        <f>BaselineData!$E$102*BE26</f>
        <v>8136.892259225825</v>
      </c>
      <c r="BF58" s="370">
        <f>BaselineData!$E$102*BF26</f>
        <v>4715.2890411415747</v>
      </c>
      <c r="BG58" s="370">
        <f>BaselineData!$E$102*BG26</f>
        <v>4977.9957446053859</v>
      </c>
      <c r="BH58" s="370" t="e">
        <f>BaselineData!$E$102*BH26</f>
        <v>#VALUE!</v>
      </c>
      <c r="BI58" s="370">
        <f>BaselineData!$E$102*BI26</f>
        <v>4260.982377389756</v>
      </c>
      <c r="BJ58" s="370">
        <f>BaselineData!$E$102*BJ26</f>
        <v>4250.3290117432562</v>
      </c>
      <c r="BK58" s="370">
        <f>BaselineData!$E$102*BK26</f>
        <v>4236.6674396309572</v>
      </c>
      <c r="BL58" s="370">
        <f>BaselineData!$E$102*BL26</f>
        <v>4221.04728645251</v>
      </c>
      <c r="BM58" s="370">
        <f>BaselineData!$E$102*BM26</f>
        <v>4204.2341808617712</v>
      </c>
      <c r="BN58" s="370">
        <f>BaselineData!$E$102*BN26</f>
        <v>4186.2008857439414</v>
      </c>
      <c r="BO58" s="370">
        <f>BaselineData!$E$102*BO26</f>
        <v>4166.7841444901806</v>
      </c>
      <c r="BP58" s="370">
        <f>BaselineData!$E$102*BP26</f>
        <v>4145.7496182652212</v>
      </c>
      <c r="BQ58" s="370">
        <f>BaselineData!$E$102*BQ26</f>
        <v>4122.933053980415</v>
      </c>
      <c r="BR58" s="370">
        <f>BaselineData!$E$102*BR26</f>
        <v>4098.2813060459057</v>
      </c>
      <c r="BS58" s="370">
        <f>BaselineData!$E$102*BS26</f>
        <v>4071.86495844822</v>
      </c>
      <c r="BT58" s="370">
        <f>BaselineData!$E$102*BT26</f>
        <v>4043.6517916735088</v>
      </c>
    </row>
    <row r="59" spans="1:72">
      <c r="A59" s="17"/>
      <c r="B59" s="17"/>
      <c r="E59" s="60"/>
      <c r="F59" s="370"/>
      <c r="G59" s="370"/>
      <c r="H59" s="370"/>
      <c r="I59" s="370"/>
      <c r="J59" s="370"/>
      <c r="K59" s="370"/>
      <c r="L59" s="370"/>
      <c r="M59" s="370"/>
      <c r="N59" s="370"/>
      <c r="O59" s="370"/>
      <c r="P59" s="370"/>
      <c r="Q59" s="370"/>
      <c r="R59" s="370"/>
      <c r="S59" s="370"/>
      <c r="T59" s="370"/>
      <c r="U59" s="370"/>
      <c r="V59" s="370"/>
      <c r="W59" s="370"/>
      <c r="X59" s="370"/>
      <c r="Y59" s="370"/>
      <c r="Z59" s="370"/>
      <c r="AA59" s="370"/>
      <c r="AB59" s="370"/>
      <c r="AC59" s="370"/>
      <c r="AD59" s="370"/>
      <c r="AE59" s="370"/>
      <c r="AF59" s="370"/>
      <c r="AG59" s="370"/>
      <c r="AH59" s="370"/>
      <c r="AI59" s="370"/>
      <c r="AJ59" s="370"/>
      <c r="AK59" s="370"/>
      <c r="AL59" s="370"/>
      <c r="AM59" s="370"/>
      <c r="AN59" s="370"/>
      <c r="AO59" s="370"/>
      <c r="AP59" s="370"/>
      <c r="AQ59" s="370"/>
      <c r="AR59" s="370"/>
      <c r="AS59" s="370"/>
      <c r="AT59" s="370"/>
      <c r="AU59" s="370"/>
      <c r="AV59" s="370"/>
      <c r="AW59" s="370"/>
      <c r="AX59" s="370"/>
      <c r="AY59" s="370"/>
      <c r="AZ59" s="370"/>
      <c r="BA59" s="370"/>
      <c r="BB59" s="370"/>
      <c r="BC59" s="370"/>
      <c r="BD59" s="370"/>
      <c r="BE59" s="370"/>
      <c r="BF59" s="370"/>
      <c r="BG59" s="370"/>
      <c r="BH59" s="370"/>
      <c r="BI59" s="370"/>
      <c r="BJ59" s="370"/>
      <c r="BK59" s="370"/>
      <c r="BL59" s="370"/>
      <c r="BM59" s="370"/>
      <c r="BN59" s="370"/>
      <c r="BO59" s="370"/>
      <c r="BP59" s="370"/>
      <c r="BQ59" s="370"/>
      <c r="BR59" s="370"/>
      <c r="BS59" s="370"/>
      <c r="BT59" s="370"/>
    </row>
    <row r="60" spans="1:72">
      <c r="A60" s="17"/>
      <c r="B60" s="17"/>
      <c r="E60" s="86" t="s">
        <v>102</v>
      </c>
      <c r="F60" s="268" t="e">
        <f>F54-SUM(F55:F58)</f>
        <v>#VALUE!</v>
      </c>
      <c r="G60" s="268">
        <f t="shared" ref="G60:AI60" si="37">G54-SUM(G55:G58)</f>
        <v>24613.217558820146</v>
      </c>
      <c r="H60" s="268">
        <f t="shared" si="37"/>
        <v>52340.154487317777</v>
      </c>
      <c r="I60" s="268">
        <f t="shared" si="37"/>
        <v>7146.9208240062662</v>
      </c>
      <c r="J60" s="268">
        <f t="shared" si="37"/>
        <v>19597.207216902756</v>
      </c>
      <c r="K60" s="268">
        <f t="shared" si="37"/>
        <v>17790.23190672668</v>
      </c>
      <c r="L60" s="268">
        <f t="shared" si="37"/>
        <v>6987.2681822336799</v>
      </c>
      <c r="M60" s="268">
        <f t="shared" si="37"/>
        <v>7833.4037813142877</v>
      </c>
      <c r="N60" s="268" t="e">
        <f t="shared" si="37"/>
        <v>#VALUE!</v>
      </c>
      <c r="O60" s="268">
        <f t="shared" si="37"/>
        <v>6341.7170241009298</v>
      </c>
      <c r="P60" s="268">
        <f t="shared" si="37"/>
        <v>6325.8613776089624</v>
      </c>
      <c r="Q60" s="268">
        <f t="shared" si="37"/>
        <v>6305.5285489870294</v>
      </c>
      <c r="R60" s="268">
        <f t="shared" si="37"/>
        <v>6282.2807195999703</v>
      </c>
      <c r="S60" s="268">
        <f t="shared" si="37"/>
        <v>6257.257391993975</v>
      </c>
      <c r="T60" s="268">
        <f t="shared" si="37"/>
        <v>6230.4180285513503</v>
      </c>
      <c r="U60" s="268">
        <f t="shared" si="37"/>
        <v>6201.5196507465207</v>
      </c>
      <c r="V60" s="268">
        <f t="shared" si="37"/>
        <v>6170.2134867589475</v>
      </c>
      <c r="W60" s="268">
        <f t="shared" si="37"/>
        <v>6136.2550749794809</v>
      </c>
      <c r="X60" s="268">
        <f t="shared" si="37"/>
        <v>6099.5653176174974</v>
      </c>
      <c r="Y60" s="268">
        <f t="shared" si="37"/>
        <v>6060.2492664261663</v>
      </c>
      <c r="Z60" s="268">
        <f t="shared" si="37"/>
        <v>6018.2589683699271</v>
      </c>
      <c r="AA60" s="268"/>
      <c r="AB60" s="268"/>
      <c r="AC60" s="268" t="e">
        <f t="shared" si="37"/>
        <v>#VALUE!</v>
      </c>
      <c r="AD60" s="268">
        <f t="shared" si="37"/>
        <v>15475.014671607732</v>
      </c>
      <c r="AE60" s="268">
        <f t="shared" si="37"/>
        <v>42019.9442082194</v>
      </c>
      <c r="AF60" s="268">
        <f t="shared" si="37"/>
        <v>0</v>
      </c>
      <c r="AG60" s="268">
        <f t="shared" si="37"/>
        <v>10899.229888805236</v>
      </c>
      <c r="AH60" s="268">
        <f t="shared" si="37"/>
        <v>9156.0860268416054</v>
      </c>
      <c r="AI60" s="268">
        <f t="shared" si="37"/>
        <v>0</v>
      </c>
      <c r="AJ60" s="268">
        <f>AJ54-SUM(AJ55:AJ58)</f>
        <v>0</v>
      </c>
      <c r="AK60" s="268" t="e">
        <f t="shared" ref="AK60:BC60" si="38">AK54-SUM(AK55:AK58)</f>
        <v>#VALUE!</v>
      </c>
      <c r="AL60" s="268">
        <f t="shared" si="38"/>
        <v>0</v>
      </c>
      <c r="AM60" s="268">
        <f t="shared" si="38"/>
        <v>0</v>
      </c>
      <c r="AN60" s="268">
        <f t="shared" si="38"/>
        <v>0</v>
      </c>
      <c r="AO60" s="268">
        <f t="shared" si="38"/>
        <v>0</v>
      </c>
      <c r="AP60" s="268">
        <f t="shared" si="38"/>
        <v>0</v>
      </c>
      <c r="AQ60" s="268">
        <f t="shared" si="38"/>
        <v>0</v>
      </c>
      <c r="AR60" s="268">
        <f t="shared" si="38"/>
        <v>0</v>
      </c>
      <c r="AS60" s="268">
        <f t="shared" si="38"/>
        <v>0</v>
      </c>
      <c r="AT60" s="268">
        <f t="shared" si="38"/>
        <v>0</v>
      </c>
      <c r="AU60" s="268">
        <f t="shared" si="38"/>
        <v>0</v>
      </c>
      <c r="AV60" s="268">
        <f t="shared" si="38"/>
        <v>0</v>
      </c>
      <c r="AW60" s="268">
        <f t="shared" si="38"/>
        <v>0</v>
      </c>
      <c r="AX60" s="268"/>
      <c r="AY60" s="268"/>
      <c r="AZ60" s="268" t="e">
        <f t="shared" si="38"/>
        <v>#VALUE!</v>
      </c>
      <c r="BA60" s="268">
        <f t="shared" si="38"/>
        <v>34157.927236262069</v>
      </c>
      <c r="BB60" s="268">
        <f t="shared" si="38"/>
        <v>62893.044648628063</v>
      </c>
      <c r="BC60" s="268">
        <f t="shared" si="38"/>
        <v>15706.005783760425</v>
      </c>
      <c r="BD60" s="268">
        <f>BD54-SUM(BD55:BD58)</f>
        <v>28423.954232100616</v>
      </c>
      <c r="BE60" s="268">
        <f t="shared" ref="BE60:BT60" si="39">BE54-SUM(BE55:BE58)</f>
        <v>26580.514713471031</v>
      </c>
      <c r="BF60" s="268">
        <f t="shared" si="39"/>
        <v>15403.277534395813</v>
      </c>
      <c r="BG60" s="268">
        <f t="shared" si="39"/>
        <v>16261.452765710928</v>
      </c>
      <c r="BH60" s="268" t="e">
        <f t="shared" si="39"/>
        <v>#VALUE!</v>
      </c>
      <c r="BI60" s="268">
        <f t="shared" si="39"/>
        <v>13919.209099473206</v>
      </c>
      <c r="BJ60" s="268">
        <f t="shared" si="39"/>
        <v>13884.408105027971</v>
      </c>
      <c r="BK60" s="268">
        <f t="shared" si="39"/>
        <v>13839.780302794461</v>
      </c>
      <c r="BL60" s="268">
        <f t="shared" si="39"/>
        <v>13788.754469078202</v>
      </c>
      <c r="BM60" s="268">
        <f t="shared" si="39"/>
        <v>13733.831657481785</v>
      </c>
      <c r="BN60" s="268">
        <f t="shared" si="39"/>
        <v>13674.922893430208</v>
      </c>
      <c r="BO60" s="268">
        <f t="shared" si="39"/>
        <v>13611.494872001258</v>
      </c>
      <c r="BP60" s="268">
        <f t="shared" si="39"/>
        <v>13542.782086333058</v>
      </c>
      <c r="BQ60" s="268">
        <f t="shared" si="39"/>
        <v>13468.247976336021</v>
      </c>
      <c r="BR60" s="268">
        <f t="shared" si="39"/>
        <v>13387.718933083292</v>
      </c>
      <c r="BS60" s="268">
        <f t="shared" si="39"/>
        <v>13301.425530930854</v>
      </c>
      <c r="BT60" s="268">
        <f t="shared" si="39"/>
        <v>13209.262519466798</v>
      </c>
    </row>
    <row r="61" spans="1:72">
      <c r="A61" s="17"/>
      <c r="E61" s="284" t="s">
        <v>104</v>
      </c>
      <c r="F61" s="301" t="e">
        <f>SUM(F55:F58)+F60</f>
        <v>#VALUE!</v>
      </c>
      <c r="G61" s="301">
        <f t="shared" ref="G61:AI61" si="40">SUM(G55:G58)+G60</f>
        <v>50231.056242490093</v>
      </c>
      <c r="H61" s="301">
        <f t="shared" si="40"/>
        <v>106816.64181085258</v>
      </c>
      <c r="I61" s="301">
        <f t="shared" si="40"/>
        <v>14585.552702053605</v>
      </c>
      <c r="J61" s="301">
        <f t="shared" si="40"/>
        <v>39994.300442658685</v>
      </c>
      <c r="K61" s="301">
        <f t="shared" si="40"/>
        <v>36306.595728013628</v>
      </c>
      <c r="L61" s="301">
        <f t="shared" si="40"/>
        <v>14259.730984150367</v>
      </c>
      <c r="M61" s="301">
        <f t="shared" si="40"/>
        <v>15986.538329212832</v>
      </c>
      <c r="N61" s="301" t="e">
        <f t="shared" si="40"/>
        <v>#VALUE!</v>
      </c>
      <c r="O61" s="301">
        <f t="shared" si="40"/>
        <v>12942.279641022304</v>
      </c>
      <c r="P61" s="301">
        <f t="shared" si="40"/>
        <v>12909.921178793802</v>
      </c>
      <c r="Q61" s="301">
        <f t="shared" si="40"/>
        <v>12868.425610177612</v>
      </c>
      <c r="R61" s="301">
        <f t="shared" si="40"/>
        <v>12820.981060408101</v>
      </c>
      <c r="S61" s="301">
        <f t="shared" si="40"/>
        <v>12769.913044885663</v>
      </c>
      <c r="T61" s="301">
        <f t="shared" si="40"/>
        <v>12715.138833778266</v>
      </c>
      <c r="U61" s="301">
        <f t="shared" si="40"/>
        <v>12656.162552543919</v>
      </c>
      <c r="V61" s="301">
        <f t="shared" si="40"/>
        <v>12592.272421957035</v>
      </c>
      <c r="W61" s="301">
        <f t="shared" si="40"/>
        <v>12522.969540774451</v>
      </c>
      <c r="X61" s="301">
        <f t="shared" si="40"/>
        <v>12448.092484933666</v>
      </c>
      <c r="Y61" s="301">
        <f t="shared" si="40"/>
        <v>12367.855645767686</v>
      </c>
      <c r="Z61" s="301">
        <f t="shared" si="40"/>
        <v>12282.161159938625</v>
      </c>
      <c r="AA61" s="301"/>
      <c r="AB61" s="301"/>
      <c r="AC61" s="301" t="e">
        <f t="shared" si="40"/>
        <v>#VALUE!</v>
      </c>
      <c r="AD61" s="301">
        <f t="shared" si="40"/>
        <v>31581.662595117821</v>
      </c>
      <c r="AE61" s="301">
        <f t="shared" si="40"/>
        <v>85754.988180039581</v>
      </c>
      <c r="AF61" s="301">
        <f t="shared" si="40"/>
        <v>0</v>
      </c>
      <c r="AG61" s="301">
        <f t="shared" si="40"/>
        <v>22243.326303684153</v>
      </c>
      <c r="AH61" s="301">
        <f t="shared" si="40"/>
        <v>18685.889850697153</v>
      </c>
      <c r="AI61" s="301">
        <f t="shared" si="40"/>
        <v>0</v>
      </c>
      <c r="AJ61" s="301">
        <f>SUM(AJ55:AJ58)+AJ60</f>
        <v>0</v>
      </c>
      <c r="AK61" s="301" t="e">
        <f t="shared" ref="AK61" si="41">SUM(AK55:AK58)+AK60</f>
        <v>#VALUE!</v>
      </c>
      <c r="AL61" s="301">
        <f t="shared" ref="AL61" si="42">SUM(AL55:AL58)+AL60</f>
        <v>0</v>
      </c>
      <c r="AM61" s="301">
        <f t="shared" ref="AM61:AW61" si="43">SUM(AM55:AM58)+AM60</f>
        <v>0</v>
      </c>
      <c r="AN61" s="301">
        <f t="shared" si="43"/>
        <v>0</v>
      </c>
      <c r="AO61" s="301">
        <f t="shared" si="43"/>
        <v>0</v>
      </c>
      <c r="AP61" s="301">
        <f t="shared" si="43"/>
        <v>0</v>
      </c>
      <c r="AQ61" s="301">
        <f t="shared" si="43"/>
        <v>0</v>
      </c>
      <c r="AR61" s="301">
        <f t="shared" si="43"/>
        <v>0</v>
      </c>
      <c r="AS61" s="301">
        <f t="shared" si="43"/>
        <v>0</v>
      </c>
      <c r="AT61" s="301">
        <f t="shared" si="43"/>
        <v>0</v>
      </c>
      <c r="AU61" s="301">
        <f t="shared" si="43"/>
        <v>0</v>
      </c>
      <c r="AV61" s="301">
        <f t="shared" si="43"/>
        <v>0</v>
      </c>
      <c r="AW61" s="301">
        <f t="shared" si="43"/>
        <v>0</v>
      </c>
      <c r="AX61" s="301"/>
      <c r="AY61" s="301"/>
      <c r="AZ61" s="301" t="e">
        <f t="shared" ref="AZ61:BC61" si="44">SUM(AZ55:AZ58)+AZ60</f>
        <v>#VALUE!</v>
      </c>
      <c r="BA61" s="301">
        <f t="shared" si="44"/>
        <v>69710.055584208312</v>
      </c>
      <c r="BB61" s="301">
        <f t="shared" si="44"/>
        <v>128353.1523441389</v>
      </c>
      <c r="BC61" s="301">
        <f t="shared" si="44"/>
        <v>32053.073028082501</v>
      </c>
      <c r="BD61" s="301">
        <f>SUM(BD55:BD58)+BD60</f>
        <v>58008.069861429831</v>
      </c>
      <c r="BE61" s="301">
        <f t="shared" ref="BE61" si="45">SUM(BE55:BE58)+BE60</f>
        <v>54245.948394838837</v>
      </c>
      <c r="BF61" s="301">
        <f t="shared" ref="BF61" si="46">SUM(BF55:BF58)+BF60</f>
        <v>31435.260274277167</v>
      </c>
      <c r="BG61" s="301">
        <f t="shared" ref="BG61:BT61" si="47">SUM(BG55:BG58)+BG60</f>
        <v>33186.638297369238</v>
      </c>
      <c r="BH61" s="301" t="e">
        <f t="shared" si="47"/>
        <v>#VALUE!</v>
      </c>
      <c r="BI61" s="301">
        <f t="shared" si="47"/>
        <v>28406.549182598377</v>
      </c>
      <c r="BJ61" s="301">
        <f t="shared" si="47"/>
        <v>28335.526744955041</v>
      </c>
      <c r="BK61" s="301">
        <f t="shared" si="47"/>
        <v>28244.449597539715</v>
      </c>
      <c r="BL61" s="301">
        <f t="shared" si="47"/>
        <v>28140.315243016736</v>
      </c>
      <c r="BM61" s="301">
        <f t="shared" si="47"/>
        <v>28028.227872411808</v>
      </c>
      <c r="BN61" s="301">
        <f t="shared" si="47"/>
        <v>27908.005904959609</v>
      </c>
      <c r="BO61" s="301">
        <f t="shared" si="47"/>
        <v>27778.560963267872</v>
      </c>
      <c r="BP61" s="301">
        <f t="shared" si="47"/>
        <v>27638.330788434811</v>
      </c>
      <c r="BQ61" s="301">
        <f t="shared" si="47"/>
        <v>27486.220359869432</v>
      </c>
      <c r="BR61" s="301">
        <f t="shared" si="47"/>
        <v>27321.87537363937</v>
      </c>
      <c r="BS61" s="301">
        <f t="shared" si="47"/>
        <v>27145.7663896548</v>
      </c>
      <c r="BT61" s="301">
        <f t="shared" si="47"/>
        <v>26957.678611156727</v>
      </c>
    </row>
    <row r="62" spans="1:72">
      <c r="A62" s="17"/>
      <c r="E62" s="34" t="s">
        <v>105</v>
      </c>
      <c r="F62" s="282" t="e">
        <f>SUM(F55:F57)/(SUM(F55:F58)+F60)</f>
        <v>#VALUE!</v>
      </c>
      <c r="G62" s="282">
        <f t="shared" ref="G62:AI62" si="48">SUM(G55:G57)/(SUM(G55:G58)+G60)</f>
        <v>0.36</v>
      </c>
      <c r="H62" s="282">
        <f t="shared" si="48"/>
        <v>0.35999999999999993</v>
      </c>
      <c r="I62" s="282">
        <f t="shared" si="48"/>
        <v>0.36</v>
      </c>
      <c r="J62" s="282">
        <f t="shared" si="48"/>
        <v>0.36</v>
      </c>
      <c r="K62" s="282">
        <f t="shared" si="48"/>
        <v>0.36</v>
      </c>
      <c r="L62" s="282">
        <f t="shared" si="48"/>
        <v>0.36</v>
      </c>
      <c r="M62" s="282">
        <f t="shared" si="48"/>
        <v>0.35999999999999993</v>
      </c>
      <c r="N62" s="282" t="e">
        <f t="shared" si="48"/>
        <v>#VALUE!</v>
      </c>
      <c r="O62" s="282">
        <f t="shared" si="48"/>
        <v>0.36</v>
      </c>
      <c r="P62" s="282">
        <f t="shared" si="48"/>
        <v>0.36</v>
      </c>
      <c r="Q62" s="282">
        <f t="shared" si="48"/>
        <v>0.36000000000000004</v>
      </c>
      <c r="R62" s="282">
        <f t="shared" si="48"/>
        <v>0.36</v>
      </c>
      <c r="S62" s="282">
        <f t="shared" si="48"/>
        <v>0.36</v>
      </c>
      <c r="T62" s="282">
        <f t="shared" si="48"/>
        <v>0.36</v>
      </c>
      <c r="U62" s="282">
        <f t="shared" si="48"/>
        <v>0.36</v>
      </c>
      <c r="V62" s="282">
        <f t="shared" si="48"/>
        <v>0.36</v>
      </c>
      <c r="W62" s="282">
        <f t="shared" si="48"/>
        <v>0.36</v>
      </c>
      <c r="X62" s="282">
        <f t="shared" si="48"/>
        <v>0.35999999999999993</v>
      </c>
      <c r="Y62" s="282">
        <f t="shared" si="48"/>
        <v>0.36</v>
      </c>
      <c r="Z62" s="282">
        <f t="shared" si="48"/>
        <v>0.36</v>
      </c>
      <c r="AA62" s="282"/>
      <c r="AB62" s="282"/>
      <c r="AC62" s="282" t="e">
        <f t="shared" si="48"/>
        <v>#VALUE!</v>
      </c>
      <c r="AD62" s="282">
        <f t="shared" si="48"/>
        <v>0.36</v>
      </c>
      <c r="AE62" s="282">
        <f t="shared" si="48"/>
        <v>0.36</v>
      </c>
      <c r="AF62" s="282" t="e">
        <f t="shared" si="48"/>
        <v>#DIV/0!</v>
      </c>
      <c r="AG62" s="282">
        <f t="shared" si="48"/>
        <v>0.36</v>
      </c>
      <c r="AH62" s="282">
        <f t="shared" si="48"/>
        <v>0.36</v>
      </c>
      <c r="AI62" s="282" t="e">
        <f t="shared" si="48"/>
        <v>#DIV/0!</v>
      </c>
      <c r="AJ62" s="282" t="e">
        <f>SUM(AJ55:AJ57)/(SUM(AJ55:AJ58)+AJ60)</f>
        <v>#DIV/0!</v>
      </c>
      <c r="AK62" s="282" t="e">
        <f t="shared" ref="AK62:BC62" si="49">SUM(AK55:AK57)/(SUM(AK55:AK58)+AK60)</f>
        <v>#VALUE!</v>
      </c>
      <c r="AL62" s="282" t="e">
        <f t="shared" si="49"/>
        <v>#DIV/0!</v>
      </c>
      <c r="AM62" s="282" t="e">
        <f t="shared" si="49"/>
        <v>#DIV/0!</v>
      </c>
      <c r="AN62" s="282" t="e">
        <f t="shared" si="49"/>
        <v>#DIV/0!</v>
      </c>
      <c r="AO62" s="282" t="e">
        <f t="shared" si="49"/>
        <v>#DIV/0!</v>
      </c>
      <c r="AP62" s="282" t="e">
        <f t="shared" si="49"/>
        <v>#DIV/0!</v>
      </c>
      <c r="AQ62" s="282" t="e">
        <f t="shared" si="49"/>
        <v>#DIV/0!</v>
      </c>
      <c r="AR62" s="282" t="e">
        <f t="shared" si="49"/>
        <v>#DIV/0!</v>
      </c>
      <c r="AS62" s="282" t="e">
        <f t="shared" si="49"/>
        <v>#DIV/0!</v>
      </c>
      <c r="AT62" s="282" t="e">
        <f t="shared" si="49"/>
        <v>#DIV/0!</v>
      </c>
      <c r="AU62" s="282" t="e">
        <f t="shared" si="49"/>
        <v>#DIV/0!</v>
      </c>
      <c r="AV62" s="282" t="e">
        <f t="shared" si="49"/>
        <v>#DIV/0!</v>
      </c>
      <c r="AW62" s="282" t="e">
        <f t="shared" si="49"/>
        <v>#DIV/0!</v>
      </c>
      <c r="AX62" s="282"/>
      <c r="AY62" s="282"/>
      <c r="AZ62" s="282" t="e">
        <f t="shared" si="49"/>
        <v>#VALUE!</v>
      </c>
      <c r="BA62" s="282">
        <f t="shared" si="49"/>
        <v>0.36</v>
      </c>
      <c r="BB62" s="282">
        <f t="shared" si="49"/>
        <v>0.36</v>
      </c>
      <c r="BC62" s="282">
        <f t="shared" si="49"/>
        <v>0.36</v>
      </c>
      <c r="BD62" s="282">
        <f>SUM(BD55:BD57)/(SUM(BD55:BD58)+BD60)</f>
        <v>0.36000000000000004</v>
      </c>
      <c r="BE62" s="282">
        <f t="shared" ref="BE62:BT62" si="50">SUM(BE55:BE57)/(SUM(BE55:BE58)+BE60)</f>
        <v>0.36</v>
      </c>
      <c r="BF62" s="282">
        <f t="shared" si="50"/>
        <v>0.35999999999999993</v>
      </c>
      <c r="BG62" s="282">
        <f t="shared" si="50"/>
        <v>0.36</v>
      </c>
      <c r="BH62" s="282" t="e">
        <f t="shared" si="50"/>
        <v>#VALUE!</v>
      </c>
      <c r="BI62" s="282">
        <f t="shared" si="50"/>
        <v>0.36</v>
      </c>
      <c r="BJ62" s="282">
        <f t="shared" si="50"/>
        <v>0.36</v>
      </c>
      <c r="BK62" s="282">
        <f t="shared" si="50"/>
        <v>0.36</v>
      </c>
      <c r="BL62" s="282">
        <f t="shared" si="50"/>
        <v>0.35999999999999993</v>
      </c>
      <c r="BM62" s="282">
        <f t="shared" si="50"/>
        <v>0.36</v>
      </c>
      <c r="BN62" s="282">
        <f t="shared" si="50"/>
        <v>0.36</v>
      </c>
      <c r="BO62" s="282">
        <f t="shared" si="50"/>
        <v>0.36</v>
      </c>
      <c r="BP62" s="282">
        <f t="shared" si="50"/>
        <v>0.36</v>
      </c>
      <c r="BQ62" s="282">
        <f t="shared" si="50"/>
        <v>0.36</v>
      </c>
      <c r="BR62" s="282">
        <f t="shared" si="50"/>
        <v>0.35999999999999993</v>
      </c>
      <c r="BS62" s="282">
        <f t="shared" si="50"/>
        <v>0.36</v>
      </c>
      <c r="BT62" s="282">
        <f t="shared" si="50"/>
        <v>0.36</v>
      </c>
    </row>
    <row r="63" spans="1:72">
      <c r="A63" s="17"/>
      <c r="E63" s="280" t="s">
        <v>274</v>
      </c>
      <c r="F63" s="283" t="e">
        <f>(F58/(SUM(F55:F58)+F60)*100000)</f>
        <v>#VALUE!</v>
      </c>
      <c r="G63" s="283">
        <f t="shared" ref="G63:AI63" si="51">(G58/(SUM(G55:G58)+G60)*100000)</f>
        <v>15000</v>
      </c>
      <c r="H63" s="283">
        <f t="shared" si="51"/>
        <v>15000</v>
      </c>
      <c r="I63" s="283">
        <f t="shared" si="51"/>
        <v>15000</v>
      </c>
      <c r="J63" s="283">
        <f t="shared" si="51"/>
        <v>15000</v>
      </c>
      <c r="K63" s="283">
        <f t="shared" si="51"/>
        <v>15000</v>
      </c>
      <c r="L63" s="283">
        <f t="shared" si="51"/>
        <v>15000</v>
      </c>
      <c r="M63" s="283">
        <f t="shared" si="51"/>
        <v>15000</v>
      </c>
      <c r="N63" s="283" t="e">
        <f t="shared" si="51"/>
        <v>#VALUE!</v>
      </c>
      <c r="O63" s="283">
        <f t="shared" si="51"/>
        <v>15000</v>
      </c>
      <c r="P63" s="283">
        <f t="shared" si="51"/>
        <v>15000</v>
      </c>
      <c r="Q63" s="283">
        <f t="shared" si="51"/>
        <v>15000</v>
      </c>
      <c r="R63" s="283">
        <f t="shared" si="51"/>
        <v>15000</v>
      </c>
      <c r="S63" s="283">
        <f t="shared" si="51"/>
        <v>15000</v>
      </c>
      <c r="T63" s="283">
        <f t="shared" si="51"/>
        <v>15000</v>
      </c>
      <c r="U63" s="283">
        <f t="shared" si="51"/>
        <v>15000</v>
      </c>
      <c r="V63" s="283">
        <f t="shared" si="51"/>
        <v>15000</v>
      </c>
      <c r="W63" s="283">
        <f t="shared" si="51"/>
        <v>15000</v>
      </c>
      <c r="X63" s="283">
        <f t="shared" si="51"/>
        <v>15000</v>
      </c>
      <c r="Y63" s="283">
        <f t="shared" si="51"/>
        <v>15000</v>
      </c>
      <c r="Z63" s="283">
        <f t="shared" si="51"/>
        <v>15000</v>
      </c>
      <c r="AA63" s="283"/>
      <c r="AB63" s="283"/>
      <c r="AC63" s="283" t="e">
        <f t="shared" si="51"/>
        <v>#VALUE!</v>
      </c>
      <c r="AD63" s="283">
        <f t="shared" si="51"/>
        <v>15000</v>
      </c>
      <c r="AE63" s="283">
        <f t="shared" si="51"/>
        <v>15000</v>
      </c>
      <c r="AF63" s="283" t="e">
        <f t="shared" si="51"/>
        <v>#DIV/0!</v>
      </c>
      <c r="AG63" s="283">
        <f t="shared" si="51"/>
        <v>15000</v>
      </c>
      <c r="AH63" s="283">
        <f t="shared" si="51"/>
        <v>15000</v>
      </c>
      <c r="AI63" s="283" t="e">
        <f t="shared" si="51"/>
        <v>#DIV/0!</v>
      </c>
      <c r="AJ63" s="283" t="e">
        <f>(AJ58/(SUM(AJ55:AJ58)+AJ60)*100000)</f>
        <v>#DIV/0!</v>
      </c>
      <c r="AK63" s="283" t="e">
        <f t="shared" ref="AK63:BC63" si="52">(AK58/(SUM(AK55:AK58)+AK60)*100000)</f>
        <v>#VALUE!</v>
      </c>
      <c r="AL63" s="283" t="e">
        <f t="shared" si="52"/>
        <v>#DIV/0!</v>
      </c>
      <c r="AM63" s="283" t="e">
        <f t="shared" si="52"/>
        <v>#DIV/0!</v>
      </c>
      <c r="AN63" s="283" t="e">
        <f t="shared" si="52"/>
        <v>#DIV/0!</v>
      </c>
      <c r="AO63" s="283" t="e">
        <f t="shared" si="52"/>
        <v>#DIV/0!</v>
      </c>
      <c r="AP63" s="283" t="e">
        <f t="shared" si="52"/>
        <v>#DIV/0!</v>
      </c>
      <c r="AQ63" s="283" t="e">
        <f t="shared" si="52"/>
        <v>#DIV/0!</v>
      </c>
      <c r="AR63" s="283" t="e">
        <f t="shared" si="52"/>
        <v>#DIV/0!</v>
      </c>
      <c r="AS63" s="283" t="e">
        <f t="shared" si="52"/>
        <v>#DIV/0!</v>
      </c>
      <c r="AT63" s="283" t="e">
        <f t="shared" si="52"/>
        <v>#DIV/0!</v>
      </c>
      <c r="AU63" s="283" t="e">
        <f t="shared" si="52"/>
        <v>#DIV/0!</v>
      </c>
      <c r="AV63" s="283" t="e">
        <f t="shared" si="52"/>
        <v>#DIV/0!</v>
      </c>
      <c r="AW63" s="283" t="e">
        <f t="shared" si="52"/>
        <v>#DIV/0!</v>
      </c>
      <c r="AX63" s="283"/>
      <c r="AY63" s="283"/>
      <c r="AZ63" s="283" t="e">
        <f t="shared" si="52"/>
        <v>#VALUE!</v>
      </c>
      <c r="BA63" s="283">
        <f t="shared" si="52"/>
        <v>15000</v>
      </c>
      <c r="BB63" s="283">
        <f t="shared" si="52"/>
        <v>15000</v>
      </c>
      <c r="BC63" s="283">
        <f t="shared" si="52"/>
        <v>15000</v>
      </c>
      <c r="BD63" s="283">
        <f>(BD58/(SUM(BD55:BD58)+BD60)*100000)</f>
        <v>15000</v>
      </c>
      <c r="BE63" s="283">
        <f t="shared" ref="BE63:BT63" si="53">(BE58/(SUM(BE55:BE58)+BE60)*100000)</f>
        <v>15000</v>
      </c>
      <c r="BF63" s="283">
        <f t="shared" si="53"/>
        <v>15000</v>
      </c>
      <c r="BG63" s="283">
        <f t="shared" si="53"/>
        <v>15000</v>
      </c>
      <c r="BH63" s="283" t="e">
        <f t="shared" si="53"/>
        <v>#VALUE!</v>
      </c>
      <c r="BI63" s="283">
        <f t="shared" si="53"/>
        <v>15000</v>
      </c>
      <c r="BJ63" s="283">
        <f t="shared" si="53"/>
        <v>15000</v>
      </c>
      <c r="BK63" s="283">
        <f t="shared" si="53"/>
        <v>15000</v>
      </c>
      <c r="BL63" s="283">
        <f t="shared" si="53"/>
        <v>15000</v>
      </c>
      <c r="BM63" s="283">
        <f t="shared" si="53"/>
        <v>15000</v>
      </c>
      <c r="BN63" s="283">
        <f t="shared" si="53"/>
        <v>15000</v>
      </c>
      <c r="BO63" s="283">
        <f t="shared" si="53"/>
        <v>15000</v>
      </c>
      <c r="BP63" s="283">
        <f t="shared" si="53"/>
        <v>15000</v>
      </c>
      <c r="BQ63" s="283">
        <f t="shared" si="53"/>
        <v>15000</v>
      </c>
      <c r="BR63" s="283">
        <f t="shared" si="53"/>
        <v>15000</v>
      </c>
      <c r="BS63" s="283">
        <f t="shared" si="53"/>
        <v>15000</v>
      </c>
      <c r="BT63" s="283">
        <f t="shared" si="53"/>
        <v>15000</v>
      </c>
    </row>
    <row r="64" spans="1:72">
      <c r="A64" s="17"/>
      <c r="F64" s="86"/>
      <c r="L64" s="86"/>
      <c r="N64" s="86"/>
      <c r="O64" s="86"/>
      <c r="P64" s="86"/>
      <c r="Q64" s="86"/>
      <c r="R64" s="86"/>
      <c r="S64" s="86"/>
      <c r="T64" s="86"/>
      <c r="U64" s="86"/>
      <c r="V64" s="86"/>
      <c r="W64" s="86"/>
      <c r="X64" s="86"/>
      <c r="Y64" s="86"/>
      <c r="Z64" s="86"/>
      <c r="AA64" s="86"/>
      <c r="AB64" s="86"/>
      <c r="AC64" s="86"/>
      <c r="AD64" s="86"/>
      <c r="AE64" s="86"/>
      <c r="AF64" s="86"/>
      <c r="AG64" s="86"/>
      <c r="AH64" s="86"/>
      <c r="AI64" s="86"/>
      <c r="AJ64" s="86"/>
      <c r="AK64" s="86"/>
      <c r="AL64" s="86"/>
      <c r="AM64" s="86"/>
      <c r="AN64" s="86"/>
      <c r="AO64" s="86"/>
      <c r="AP64" s="86"/>
      <c r="AQ64" s="86"/>
      <c r="AR64" s="86"/>
      <c r="AS64" s="86"/>
      <c r="AT64" s="86"/>
      <c r="AU64" s="86"/>
      <c r="AV64" s="86"/>
      <c r="AW64" s="86"/>
      <c r="AX64" s="86"/>
      <c r="AY64" s="86"/>
      <c r="AZ64" s="86"/>
      <c r="BA64" s="86"/>
      <c r="BB64" s="86"/>
      <c r="BC64" s="86"/>
      <c r="BD64" s="86"/>
      <c r="BE64" s="86"/>
      <c r="BF64" s="86"/>
      <c r="BG64" s="86"/>
      <c r="BH64" s="86"/>
      <c r="BI64" s="86"/>
      <c r="BJ64" s="86"/>
      <c r="BK64" s="86"/>
      <c r="BL64" s="86"/>
      <c r="BM64" s="86"/>
      <c r="BN64" s="86"/>
      <c r="BO64" s="86"/>
      <c r="BP64" s="86"/>
      <c r="BQ64" s="86"/>
      <c r="BR64" s="86"/>
      <c r="BS64" s="86"/>
      <c r="BT64" s="86"/>
    </row>
    <row r="65" spans="1:72">
      <c r="A65" s="17"/>
      <c r="F65" s="86"/>
      <c r="L65" s="86"/>
      <c r="N65" s="86"/>
      <c r="O65" s="86"/>
      <c r="P65" s="86"/>
      <c r="Q65" s="86"/>
      <c r="R65" s="86"/>
      <c r="S65" s="86"/>
      <c r="T65" s="86"/>
      <c r="U65" s="86"/>
      <c r="V65" s="86"/>
      <c r="W65" s="86"/>
      <c r="X65" s="86"/>
      <c r="Y65" s="86"/>
      <c r="Z65" s="86"/>
      <c r="AA65" s="86"/>
      <c r="AB65" s="86"/>
      <c r="AC65" s="86"/>
      <c r="AD65" s="86"/>
      <c r="AE65" s="86"/>
      <c r="AF65" s="86"/>
      <c r="AG65" s="86"/>
      <c r="AH65" s="86"/>
      <c r="AI65" s="86"/>
      <c r="AJ65" s="86"/>
      <c r="AK65" s="86"/>
      <c r="AL65" s="86"/>
      <c r="AM65" s="86"/>
      <c r="AN65" s="86"/>
      <c r="AO65" s="86"/>
      <c r="AP65" s="86"/>
      <c r="AQ65" s="86"/>
      <c r="AR65" s="86"/>
      <c r="AS65" s="86"/>
      <c r="AT65" s="86"/>
      <c r="AU65" s="86"/>
      <c r="AV65" s="86"/>
      <c r="AW65" s="86"/>
      <c r="AX65" s="86"/>
      <c r="AY65" s="86"/>
      <c r="AZ65" s="86"/>
      <c r="BA65" s="86"/>
      <c r="BB65" s="86"/>
      <c r="BC65" s="86"/>
      <c r="BD65" s="86"/>
      <c r="BE65" s="86"/>
      <c r="BF65" s="86"/>
      <c r="BG65" s="86"/>
      <c r="BH65" s="86"/>
      <c r="BI65" s="86"/>
      <c r="BJ65" s="86"/>
      <c r="BK65" s="86"/>
      <c r="BL65" s="86"/>
      <c r="BM65" s="86"/>
      <c r="BN65" s="86"/>
      <c r="BO65" s="86"/>
      <c r="BP65" s="86"/>
      <c r="BQ65" s="86"/>
      <c r="BR65" s="86"/>
      <c r="BS65" s="86"/>
      <c r="BT65" s="86"/>
    </row>
    <row r="66" spans="1:72" ht="19">
      <c r="A66" s="17"/>
      <c r="E66" s="169" t="s">
        <v>194</v>
      </c>
      <c r="F66" s="373"/>
      <c r="G66" s="373"/>
      <c r="H66" s="373"/>
      <c r="I66" s="373"/>
      <c r="J66" s="373"/>
      <c r="K66" s="373"/>
      <c r="L66" s="373"/>
      <c r="M66" s="373"/>
      <c r="N66" s="373"/>
      <c r="O66" s="373"/>
      <c r="P66" s="373"/>
      <c r="Q66" s="373"/>
      <c r="R66" s="373"/>
      <c r="S66" s="373"/>
      <c r="T66" s="373"/>
      <c r="U66" s="373"/>
      <c r="V66" s="373"/>
      <c r="W66" s="373"/>
      <c r="X66" s="373"/>
      <c r="Y66" s="373"/>
      <c r="Z66" s="373"/>
      <c r="AA66" s="373"/>
      <c r="AB66" s="373"/>
      <c r="AC66" s="373"/>
      <c r="AD66" s="373"/>
      <c r="AE66" s="373"/>
      <c r="AF66" s="373"/>
      <c r="AG66" s="373"/>
      <c r="AH66" s="373"/>
      <c r="AI66" s="373"/>
      <c r="AJ66" s="373"/>
      <c r="AK66" s="373"/>
      <c r="AL66" s="373"/>
      <c r="AM66" s="373"/>
      <c r="AN66" s="373"/>
      <c r="AO66" s="373"/>
      <c r="AP66" s="373"/>
      <c r="AQ66" s="373"/>
      <c r="AR66" s="373"/>
      <c r="AS66" s="373"/>
      <c r="AT66" s="373"/>
      <c r="AU66" s="373"/>
      <c r="AV66" s="373"/>
      <c r="AW66" s="373"/>
      <c r="AX66" s="373"/>
      <c r="AY66" s="373"/>
      <c r="AZ66" s="373"/>
      <c r="BA66" s="373"/>
      <c r="BB66" s="373"/>
      <c r="BC66" s="373"/>
      <c r="BD66" s="373"/>
      <c r="BE66" s="373"/>
      <c r="BF66" s="373"/>
      <c r="BG66" s="373"/>
      <c r="BH66" s="373"/>
      <c r="BI66" s="373"/>
      <c r="BJ66" s="373"/>
      <c r="BK66" s="373"/>
      <c r="BL66" s="373"/>
      <c r="BM66" s="373"/>
      <c r="BN66" s="373"/>
      <c r="BO66" s="373"/>
      <c r="BP66" s="373"/>
      <c r="BQ66" s="373"/>
      <c r="BR66" s="373"/>
      <c r="BS66" s="373"/>
      <c r="BT66" s="373"/>
    </row>
    <row r="67" spans="1:72">
      <c r="A67" s="17"/>
      <c r="E67" s="162" t="s">
        <v>23</v>
      </c>
      <c r="F67" s="370" t="e">
        <f>IFERROR(F41, #N/A)</f>
        <v>#N/A</v>
      </c>
      <c r="G67" s="370">
        <f t="shared" ref="G67:AI67" si="54">IFERROR(G41, #N/A)</f>
        <v>2084.937430014802</v>
      </c>
      <c r="H67" s="370">
        <f t="shared" si="54"/>
        <v>7657.8108931613724</v>
      </c>
      <c r="I67" s="370">
        <f t="shared" si="54"/>
        <v>1405.0941526218412</v>
      </c>
      <c r="J67" s="370">
        <f t="shared" si="54"/>
        <v>784.11616310068246</v>
      </c>
      <c r="K67" s="370">
        <f t="shared" si="54"/>
        <v>826.24926143234052</v>
      </c>
      <c r="L67" s="370">
        <f t="shared" si="54"/>
        <v>1593.9173526014149</v>
      </c>
      <c r="M67" s="370">
        <f t="shared" si="54"/>
        <v>1616.2622234720802</v>
      </c>
      <c r="N67" s="370" t="e">
        <f t="shared" si="54"/>
        <v>#N/A</v>
      </c>
      <c r="O67" s="370">
        <f t="shared" si="54"/>
        <v>3893.634723105718</v>
      </c>
      <c r="P67" s="370">
        <f t="shared" si="54"/>
        <v>3883.8998050222094</v>
      </c>
      <c r="Q67" s="370">
        <f t="shared" si="54"/>
        <v>3871.4160238568811</v>
      </c>
      <c r="R67" s="370">
        <f t="shared" si="54"/>
        <v>3857.142514743452</v>
      </c>
      <c r="S67" s="370">
        <f t="shared" si="54"/>
        <v>3841.778899986743</v>
      </c>
      <c r="T67" s="370">
        <f t="shared" si="54"/>
        <v>3825.3002906370816</v>
      </c>
      <c r="U67" s="370">
        <f t="shared" si="54"/>
        <v>3807.5575047583211</v>
      </c>
      <c r="V67" s="370">
        <f t="shared" si="54"/>
        <v>3788.3364063261438</v>
      </c>
      <c r="W67" s="370">
        <f t="shared" si="54"/>
        <v>3767.4869028330736</v>
      </c>
      <c r="X67" s="370">
        <f t="shared" si="54"/>
        <v>3744.9604304748718</v>
      </c>
      <c r="Y67" s="370">
        <f t="shared" si="54"/>
        <v>3720.8214880540431</v>
      </c>
      <c r="Z67" s="370">
        <f t="shared" si="54"/>
        <v>3695.0406337642676</v>
      </c>
      <c r="AA67" s="370"/>
      <c r="AB67" s="370"/>
      <c r="AC67" s="370" t="e">
        <f t="shared" si="54"/>
        <v>#N/A</v>
      </c>
      <c r="AD67" s="370">
        <f t="shared" si="54"/>
        <v>2654.531966163443</v>
      </c>
      <c r="AE67" s="370">
        <f t="shared" si="54"/>
        <v>10701.845617967087</v>
      </c>
      <c r="AF67" s="370">
        <f t="shared" si="54"/>
        <v>0</v>
      </c>
      <c r="AG67" s="370">
        <f t="shared" si="54"/>
        <v>794.49284766087123</v>
      </c>
      <c r="AH67" s="370">
        <f t="shared" si="54"/>
        <v>754.70469423489328</v>
      </c>
      <c r="AI67" s="370">
        <f t="shared" si="54"/>
        <v>0</v>
      </c>
      <c r="AJ67" s="370">
        <f>IFERROR(AJ41, #N/A)</f>
        <v>0</v>
      </c>
      <c r="AK67" s="370" t="e">
        <f t="shared" ref="AK67:BC67" si="55">IFERROR(AK41, #N/A)</f>
        <v>#N/A</v>
      </c>
      <c r="AL67" s="370">
        <f t="shared" si="55"/>
        <v>0</v>
      </c>
      <c r="AM67" s="370">
        <f t="shared" si="55"/>
        <v>0</v>
      </c>
      <c r="AN67" s="370">
        <f t="shared" si="55"/>
        <v>0</v>
      </c>
      <c r="AO67" s="370">
        <f t="shared" si="55"/>
        <v>0</v>
      </c>
      <c r="AP67" s="370">
        <f t="shared" si="55"/>
        <v>0</v>
      </c>
      <c r="AQ67" s="370">
        <f t="shared" si="55"/>
        <v>0</v>
      </c>
      <c r="AR67" s="370">
        <f t="shared" si="55"/>
        <v>0</v>
      </c>
      <c r="AS67" s="370">
        <f t="shared" si="55"/>
        <v>0</v>
      </c>
      <c r="AT67" s="370">
        <f t="shared" si="55"/>
        <v>0</v>
      </c>
      <c r="AU67" s="370">
        <f t="shared" si="55"/>
        <v>0</v>
      </c>
      <c r="AV67" s="370">
        <f t="shared" si="55"/>
        <v>0</v>
      </c>
      <c r="AW67" s="370">
        <f t="shared" si="55"/>
        <v>0</v>
      </c>
      <c r="AX67" s="370"/>
      <c r="AY67" s="370"/>
      <c r="AZ67" s="370" t="e">
        <f t="shared" si="55"/>
        <v>#N/A</v>
      </c>
      <c r="BA67" s="370">
        <f t="shared" si="55"/>
        <v>710.59483018290166</v>
      </c>
      <c r="BB67" s="370">
        <f t="shared" si="55"/>
        <v>4153.1474921104991</v>
      </c>
      <c r="BC67" s="370">
        <f t="shared" si="55"/>
        <v>1742.7533064497497</v>
      </c>
      <c r="BD67" s="370">
        <f>IFERROR(BD41, #N/A)</f>
        <v>518.8183828889529</v>
      </c>
      <c r="BE67" s="370">
        <f t="shared" ref="BE67:BT67" si="56">IFERROR(BE41, #N/A)</f>
        <v>588.69471250306754</v>
      </c>
      <c r="BF67" s="370">
        <f t="shared" si="56"/>
        <v>2073.4453815944016</v>
      </c>
      <c r="BG67" s="370">
        <f t="shared" si="56"/>
        <v>2055.3249824804257</v>
      </c>
      <c r="BH67" s="370" t="e">
        <f t="shared" si="56"/>
        <v>#N/A</v>
      </c>
      <c r="BI67" s="370">
        <f t="shared" si="56"/>
        <v>5965.5264887945032</v>
      </c>
      <c r="BJ67" s="370">
        <f t="shared" si="56"/>
        <v>5950.6113989560081</v>
      </c>
      <c r="BK67" s="370">
        <f t="shared" si="56"/>
        <v>5931.4847133477888</v>
      </c>
      <c r="BL67" s="370">
        <f t="shared" si="56"/>
        <v>5909.6159447653326</v>
      </c>
      <c r="BM67" s="370">
        <f t="shared" si="56"/>
        <v>5886.0770004850956</v>
      </c>
      <c r="BN67" s="370">
        <f t="shared" si="56"/>
        <v>5860.8297475801064</v>
      </c>
      <c r="BO67" s="370">
        <f t="shared" si="56"/>
        <v>5833.6456210063807</v>
      </c>
      <c r="BP67" s="370">
        <f t="shared" si="56"/>
        <v>5804.196538081259</v>
      </c>
      <c r="BQ67" s="370">
        <f t="shared" si="56"/>
        <v>5772.2525386536709</v>
      </c>
      <c r="BR67" s="370">
        <f t="shared" si="56"/>
        <v>5737.7392170124558</v>
      </c>
      <c r="BS67" s="370">
        <f t="shared" si="56"/>
        <v>5700.7553932427527</v>
      </c>
      <c r="BT67" s="370">
        <f t="shared" si="56"/>
        <v>5661.2559588821678</v>
      </c>
    </row>
    <row r="68" spans="1:72">
      <c r="A68" s="17"/>
      <c r="E68" s="162" t="s">
        <v>24</v>
      </c>
      <c r="F68" s="370" t="e">
        <f>IFERROR(F42+F55,#N/A)</f>
        <v>#N/A</v>
      </c>
      <c r="G68" s="370">
        <f t="shared" ref="G68:AI68" si="57">IFERROR(G42+G55,#N/A)</f>
        <v>10548.521810922919</v>
      </c>
      <c r="H68" s="370">
        <f t="shared" si="57"/>
        <v>22431.494780279041</v>
      </c>
      <c r="I68" s="370">
        <f t="shared" si="57"/>
        <v>3062.9660674312568</v>
      </c>
      <c r="J68" s="370">
        <f t="shared" si="57"/>
        <v>8398.8030929583238</v>
      </c>
      <c r="K68" s="370">
        <f t="shared" si="57"/>
        <v>7624.3851028828612</v>
      </c>
      <c r="L68" s="370">
        <f t="shared" si="57"/>
        <v>2994.5435066715768</v>
      </c>
      <c r="M68" s="370">
        <f t="shared" si="57"/>
        <v>3357.1730491346943</v>
      </c>
      <c r="N68" s="370" t="e">
        <f t="shared" si="57"/>
        <v>#N/A</v>
      </c>
      <c r="O68" s="370">
        <f t="shared" si="57"/>
        <v>2717.8787246146835</v>
      </c>
      <c r="P68" s="370">
        <f t="shared" si="57"/>
        <v>2711.0834475466982</v>
      </c>
      <c r="Q68" s="370">
        <f t="shared" si="57"/>
        <v>2702.3693781372986</v>
      </c>
      <c r="R68" s="370">
        <f t="shared" si="57"/>
        <v>2692.4060226857014</v>
      </c>
      <c r="S68" s="370">
        <f t="shared" si="57"/>
        <v>2681.6817394259892</v>
      </c>
      <c r="T68" s="370">
        <f t="shared" si="57"/>
        <v>2670.1791550934358</v>
      </c>
      <c r="U68" s="370">
        <f t="shared" si="57"/>
        <v>2657.7941360342229</v>
      </c>
      <c r="V68" s="370">
        <f t="shared" si="57"/>
        <v>2644.3772086109775</v>
      </c>
      <c r="W68" s="370">
        <f t="shared" si="57"/>
        <v>2629.8236035626346</v>
      </c>
      <c r="X68" s="370">
        <f t="shared" si="57"/>
        <v>2614.0994218360697</v>
      </c>
      <c r="Y68" s="370">
        <f t="shared" si="57"/>
        <v>2597.2496856112139</v>
      </c>
      <c r="Z68" s="370">
        <f t="shared" si="57"/>
        <v>2579.2538435871111</v>
      </c>
      <c r="AA68" s="370"/>
      <c r="AB68" s="370"/>
      <c r="AC68" s="370" t="e">
        <f t="shared" si="57"/>
        <v>#N/A</v>
      </c>
      <c r="AD68" s="370">
        <f t="shared" si="57"/>
        <v>6632.1491449747418</v>
      </c>
      <c r="AE68" s="370">
        <f t="shared" si="57"/>
        <v>18008.547517808311</v>
      </c>
      <c r="AF68" s="370">
        <f t="shared" si="57"/>
        <v>0</v>
      </c>
      <c r="AG68" s="370">
        <f t="shared" si="57"/>
        <v>4671.0985237736722</v>
      </c>
      <c r="AH68" s="370">
        <f t="shared" si="57"/>
        <v>3924.0368686464021</v>
      </c>
      <c r="AI68" s="370">
        <f t="shared" si="57"/>
        <v>0</v>
      </c>
      <c r="AJ68" s="370">
        <f>IFERROR(AJ42+AJ55,#N/A)</f>
        <v>0</v>
      </c>
      <c r="AK68" s="370" t="e">
        <f t="shared" ref="AK68:BC68" si="58">IFERROR(AK42+AK55,#N/A)</f>
        <v>#N/A</v>
      </c>
      <c r="AL68" s="370">
        <f t="shared" si="58"/>
        <v>0</v>
      </c>
      <c r="AM68" s="370">
        <f t="shared" si="58"/>
        <v>0</v>
      </c>
      <c r="AN68" s="370">
        <f t="shared" si="58"/>
        <v>0</v>
      </c>
      <c r="AO68" s="370">
        <f t="shared" si="58"/>
        <v>0</v>
      </c>
      <c r="AP68" s="370">
        <f t="shared" si="58"/>
        <v>0</v>
      </c>
      <c r="AQ68" s="370">
        <f t="shared" si="58"/>
        <v>0</v>
      </c>
      <c r="AR68" s="370">
        <f t="shared" si="58"/>
        <v>0</v>
      </c>
      <c r="AS68" s="370">
        <f t="shared" si="58"/>
        <v>0</v>
      </c>
      <c r="AT68" s="370">
        <f t="shared" si="58"/>
        <v>0</v>
      </c>
      <c r="AU68" s="370">
        <f t="shared" si="58"/>
        <v>0</v>
      </c>
      <c r="AV68" s="370">
        <f t="shared" si="58"/>
        <v>0</v>
      </c>
      <c r="AW68" s="370">
        <f t="shared" si="58"/>
        <v>0</v>
      </c>
      <c r="AX68" s="370"/>
      <c r="AY68" s="370"/>
      <c r="AZ68" s="370" t="e">
        <f t="shared" si="58"/>
        <v>#N/A</v>
      </c>
      <c r="BA68" s="370">
        <f t="shared" si="58"/>
        <v>14639.111672683744</v>
      </c>
      <c r="BB68" s="370">
        <f t="shared" si="58"/>
        <v>26954.161992269168</v>
      </c>
      <c r="BC68" s="370">
        <f t="shared" si="58"/>
        <v>6731.1453358973249</v>
      </c>
      <c r="BD68" s="370">
        <f>IFERROR(BD42+BD55,#N/A)</f>
        <v>12181.694670900264</v>
      </c>
      <c r="BE68" s="370">
        <f t="shared" ref="BE68:BT68" si="59">IFERROR(BE42+BE55,#N/A)</f>
        <v>11391.649162916156</v>
      </c>
      <c r="BF68" s="370">
        <f t="shared" si="59"/>
        <v>6601.4046575982047</v>
      </c>
      <c r="BG68" s="370">
        <f t="shared" si="59"/>
        <v>6969.1940424475397</v>
      </c>
      <c r="BH68" s="370" t="e">
        <f t="shared" si="59"/>
        <v>#N/A</v>
      </c>
      <c r="BI68" s="370">
        <f t="shared" si="59"/>
        <v>5965.375328345659</v>
      </c>
      <c r="BJ68" s="370">
        <f t="shared" si="59"/>
        <v>5950.4606164405586</v>
      </c>
      <c r="BK68" s="370">
        <f t="shared" si="59"/>
        <v>5931.3344154833403</v>
      </c>
      <c r="BL68" s="370">
        <f t="shared" si="59"/>
        <v>5909.4662010335142</v>
      </c>
      <c r="BM68" s="370">
        <f t="shared" si="59"/>
        <v>5885.9278532064791</v>
      </c>
      <c r="BN68" s="370">
        <f t="shared" si="59"/>
        <v>5860.6812400415174</v>
      </c>
      <c r="BO68" s="370">
        <f t="shared" si="59"/>
        <v>5833.4978022862524</v>
      </c>
      <c r="BP68" s="370">
        <f t="shared" si="59"/>
        <v>5804.0494655713101</v>
      </c>
      <c r="BQ68" s="370">
        <f t="shared" si="59"/>
        <v>5772.1062755725807</v>
      </c>
      <c r="BR68" s="370">
        <f t="shared" si="59"/>
        <v>5737.5938284642671</v>
      </c>
      <c r="BS68" s="370">
        <f t="shared" si="59"/>
        <v>5700.6109418275082</v>
      </c>
      <c r="BT68" s="370">
        <f t="shared" si="59"/>
        <v>5661.1125083429124</v>
      </c>
    </row>
    <row r="69" spans="1:72">
      <c r="A69" s="17"/>
      <c r="E69" s="162" t="s">
        <v>25</v>
      </c>
      <c r="F69" s="370" t="e">
        <f>IFERROR(F43+F56, #N/A)</f>
        <v>#N/A</v>
      </c>
      <c r="G69" s="370">
        <f t="shared" ref="G69:AI70" si="60">IFERROR(G43+G56, #N/A)</f>
        <v>4547.0811967200716</v>
      </c>
      <c r="H69" s="370">
        <f t="shared" si="60"/>
        <v>9710.0446651751299</v>
      </c>
      <c r="I69" s="370">
        <f t="shared" si="60"/>
        <v>1330.4146606234185</v>
      </c>
      <c r="J69" s="370">
        <f t="shared" si="60"/>
        <v>3609.3728920191347</v>
      </c>
      <c r="K69" s="370">
        <f t="shared" si="60"/>
        <v>3278.01066652287</v>
      </c>
      <c r="L69" s="370">
        <f t="shared" si="60"/>
        <v>1303.4713204299492</v>
      </c>
      <c r="M69" s="370">
        <f t="shared" si="60"/>
        <v>1459.1656975128647</v>
      </c>
      <c r="N69" s="370" t="e">
        <f t="shared" si="60"/>
        <v>#N/A</v>
      </c>
      <c r="O69" s="370">
        <f t="shared" si="60"/>
        <v>1213.8947020318635</v>
      </c>
      <c r="P69" s="370">
        <f t="shared" si="60"/>
        <v>1210.8597061150258</v>
      </c>
      <c r="Q69" s="370">
        <f t="shared" si="60"/>
        <v>1206.9677139545925</v>
      </c>
      <c r="R69" s="370">
        <f t="shared" si="60"/>
        <v>1202.5177492495379</v>
      </c>
      <c r="S69" s="370">
        <f t="shared" si="60"/>
        <v>1197.7279289701582</v>
      </c>
      <c r="T69" s="370">
        <f t="shared" si="60"/>
        <v>1192.5904936407212</v>
      </c>
      <c r="U69" s="370">
        <f t="shared" si="60"/>
        <v>1187.0589337207055</v>
      </c>
      <c r="V69" s="370">
        <f t="shared" si="60"/>
        <v>1181.0664893304825</v>
      </c>
      <c r="W69" s="370">
        <f t="shared" si="60"/>
        <v>1174.5663670462727</v>
      </c>
      <c r="X69" s="370">
        <f t="shared" si="60"/>
        <v>1167.5434264276219</v>
      </c>
      <c r="Y69" s="370">
        <f t="shared" si="60"/>
        <v>1160.0177758720083</v>
      </c>
      <c r="Z69" s="370">
        <f t="shared" si="60"/>
        <v>1151.9802364874067</v>
      </c>
      <c r="AA69" s="370"/>
      <c r="AB69" s="370"/>
      <c r="AC69" s="370" t="e">
        <f t="shared" si="60"/>
        <v>#N/A</v>
      </c>
      <c r="AD69" s="370">
        <f t="shared" si="60"/>
        <v>2875.8170097723319</v>
      </c>
      <c r="AE69" s="370">
        <f t="shared" si="60"/>
        <v>7852.8739241192225</v>
      </c>
      <c r="AF69" s="370">
        <f t="shared" si="60"/>
        <v>0</v>
      </c>
      <c r="AG69" s="370">
        <f t="shared" si="60"/>
        <v>2011.9160449866642</v>
      </c>
      <c r="AH69" s="370">
        <f t="shared" si="60"/>
        <v>1691.2451296108866</v>
      </c>
      <c r="AI69" s="370">
        <f t="shared" si="60"/>
        <v>0</v>
      </c>
      <c r="AJ69" s="370">
        <f>IFERROR(AJ43+AJ56, #N/A)</f>
        <v>0</v>
      </c>
      <c r="AK69" s="370" t="e">
        <f t="shared" ref="AK69:BC70" si="61">IFERROR(AK43+AK56, #N/A)</f>
        <v>#N/A</v>
      </c>
      <c r="AL69" s="370">
        <f t="shared" si="61"/>
        <v>0</v>
      </c>
      <c r="AM69" s="370">
        <f t="shared" si="61"/>
        <v>0</v>
      </c>
      <c r="AN69" s="370">
        <f t="shared" si="61"/>
        <v>0</v>
      </c>
      <c r="AO69" s="370">
        <f t="shared" si="61"/>
        <v>0</v>
      </c>
      <c r="AP69" s="370">
        <f t="shared" si="61"/>
        <v>0</v>
      </c>
      <c r="AQ69" s="370">
        <f t="shared" si="61"/>
        <v>0</v>
      </c>
      <c r="AR69" s="370">
        <f t="shared" si="61"/>
        <v>0</v>
      </c>
      <c r="AS69" s="370">
        <f t="shared" si="61"/>
        <v>0</v>
      </c>
      <c r="AT69" s="370">
        <f t="shared" si="61"/>
        <v>0</v>
      </c>
      <c r="AU69" s="370">
        <f t="shared" si="61"/>
        <v>0</v>
      </c>
      <c r="AV69" s="370">
        <f t="shared" si="61"/>
        <v>0</v>
      </c>
      <c r="AW69" s="370">
        <f t="shared" si="61"/>
        <v>0</v>
      </c>
      <c r="AX69" s="370"/>
      <c r="AY69" s="370"/>
      <c r="AZ69" s="370" t="e">
        <f t="shared" si="61"/>
        <v>#N/A</v>
      </c>
      <c r="BA69" s="370">
        <f t="shared" si="61"/>
        <v>6282.8639244598853</v>
      </c>
      <c r="BB69" s="370">
        <f t="shared" si="61"/>
        <v>11604.145088176838</v>
      </c>
      <c r="BC69" s="370">
        <f t="shared" si="61"/>
        <v>2906.7485741061</v>
      </c>
      <c r="BD69" s="370">
        <f>IFERROR(BD43+BD56, #N/A)</f>
        <v>5227.2673615210233</v>
      </c>
      <c r="BE69" s="370">
        <f t="shared" ref="BE69:BT70" si="62">IFERROR(BE43+BE56, #N/A)</f>
        <v>4889.5574049469669</v>
      </c>
      <c r="BF69" s="370">
        <f t="shared" si="62"/>
        <v>2855.3146720026716</v>
      </c>
      <c r="BG69" s="370">
        <f t="shared" si="62"/>
        <v>3012.7102386613265</v>
      </c>
      <c r="BH69" s="370" t="e">
        <f t="shared" si="62"/>
        <v>#N/A</v>
      </c>
      <c r="BI69" s="370">
        <f t="shared" si="62"/>
        <v>2631.8006206656064</v>
      </c>
      <c r="BJ69" s="370">
        <f t="shared" si="62"/>
        <v>2625.2205572348316</v>
      </c>
      <c r="BK69" s="370">
        <f t="shared" si="62"/>
        <v>2616.7824716526889</v>
      </c>
      <c r="BL69" s="370">
        <f t="shared" si="62"/>
        <v>2607.1346662432916</v>
      </c>
      <c r="BM69" s="370">
        <f t="shared" si="62"/>
        <v>2596.7500324171056</v>
      </c>
      <c r="BN69" s="370">
        <f t="shared" si="62"/>
        <v>2585.6117471391403</v>
      </c>
      <c r="BO69" s="370">
        <f t="shared" si="62"/>
        <v>2573.6189747789185</v>
      </c>
      <c r="BP69" s="370">
        <f t="shared" si="62"/>
        <v>2560.6269756878155</v>
      </c>
      <c r="BQ69" s="370">
        <f t="shared" si="62"/>
        <v>2546.5342987584645</v>
      </c>
      <c r="BR69" s="370">
        <f t="shared" si="62"/>
        <v>2531.3081185567344</v>
      </c>
      <c r="BS69" s="370">
        <f t="shared" si="62"/>
        <v>2514.9920313623311</v>
      </c>
      <c r="BT69" s="370">
        <f t="shared" si="62"/>
        <v>2497.5661367558123</v>
      </c>
    </row>
    <row r="70" spans="1:72">
      <c r="A70" s="17"/>
      <c r="B70" s="331"/>
      <c r="E70" s="60" t="s">
        <v>33</v>
      </c>
      <c r="F70" s="370" t="e">
        <f>IFERROR(F44+F57, #N/A)</f>
        <v>#N/A</v>
      </c>
      <c r="G70" s="370">
        <f t="shared" si="60"/>
        <v>3045.4067364245611</v>
      </c>
      <c r="H70" s="370">
        <f t="shared" si="60"/>
        <v>6524.8547912892318</v>
      </c>
      <c r="I70" s="370">
        <f t="shared" si="60"/>
        <v>896.39106304952918</v>
      </c>
      <c r="J70" s="370">
        <f t="shared" si="60"/>
        <v>2411.5210491753451</v>
      </c>
      <c r="K70" s="370">
        <f t="shared" si="60"/>
        <v>2190.8962048827902</v>
      </c>
      <c r="L70" s="370">
        <f t="shared" si="60"/>
        <v>879.69849727672158</v>
      </c>
      <c r="M70" s="370">
        <f t="shared" si="60"/>
        <v>983.64499721322159</v>
      </c>
      <c r="N70" s="370" t="e">
        <f t="shared" si="60"/>
        <v>#N/A</v>
      </c>
      <c r="O70" s="370">
        <f t="shared" si="60"/>
        <v>835.44421966916559</v>
      </c>
      <c r="P70" s="370">
        <f t="shared" si="60"/>
        <v>833.3554307559283</v>
      </c>
      <c r="Q70" s="370">
        <f t="shared" si="60"/>
        <v>830.67682745698562</v>
      </c>
      <c r="R70" s="370">
        <f t="shared" si="60"/>
        <v>827.61420819985653</v>
      </c>
      <c r="S70" s="370">
        <f t="shared" si="60"/>
        <v>824.31768860967827</v>
      </c>
      <c r="T70" s="370">
        <f t="shared" si="60"/>
        <v>820.7819283475086</v>
      </c>
      <c r="U70" s="370">
        <f t="shared" si="60"/>
        <v>816.97491794273833</v>
      </c>
      <c r="V70" s="370">
        <f t="shared" si="60"/>
        <v>812.85071094264106</v>
      </c>
      <c r="W70" s="370">
        <f t="shared" si="60"/>
        <v>808.37710249835357</v>
      </c>
      <c r="X70" s="370">
        <f t="shared" si="60"/>
        <v>803.54367243633033</v>
      </c>
      <c r="Y70" s="370">
        <f t="shared" si="60"/>
        <v>798.36426004956093</v>
      </c>
      <c r="Z70" s="370">
        <f t="shared" si="60"/>
        <v>792.83254810783421</v>
      </c>
      <c r="AA70" s="370"/>
      <c r="AB70" s="370"/>
      <c r="AC70" s="370" t="e">
        <f t="shared" si="60"/>
        <v>#N/A</v>
      </c>
      <c r="AD70" s="370">
        <f t="shared" si="60"/>
        <v>1935.0606071611428</v>
      </c>
      <c r="AE70" s="370">
        <f t="shared" si="60"/>
        <v>5307.2092763011669</v>
      </c>
      <c r="AF70" s="370">
        <f t="shared" si="60"/>
        <v>0</v>
      </c>
      <c r="AG70" s="370">
        <f t="shared" si="60"/>
        <v>1346.6195914071579</v>
      </c>
      <c r="AH70" s="370">
        <f t="shared" si="60"/>
        <v>1132.5714426996005</v>
      </c>
      <c r="AI70" s="370">
        <f t="shared" si="60"/>
        <v>0</v>
      </c>
      <c r="AJ70" s="370">
        <f>IFERROR(AJ44+AJ57, #N/A)</f>
        <v>0</v>
      </c>
      <c r="AK70" s="370" t="e">
        <f t="shared" si="61"/>
        <v>#N/A</v>
      </c>
      <c r="AL70" s="370">
        <f t="shared" si="61"/>
        <v>0</v>
      </c>
      <c r="AM70" s="370">
        <f t="shared" si="61"/>
        <v>0</v>
      </c>
      <c r="AN70" s="370">
        <f t="shared" si="61"/>
        <v>0</v>
      </c>
      <c r="AO70" s="370">
        <f t="shared" si="61"/>
        <v>0</v>
      </c>
      <c r="AP70" s="370">
        <f t="shared" si="61"/>
        <v>0</v>
      </c>
      <c r="AQ70" s="370">
        <f t="shared" si="61"/>
        <v>0</v>
      </c>
      <c r="AR70" s="370">
        <f t="shared" si="61"/>
        <v>0</v>
      </c>
      <c r="AS70" s="370">
        <f t="shared" si="61"/>
        <v>0</v>
      </c>
      <c r="AT70" s="370">
        <f t="shared" si="61"/>
        <v>0</v>
      </c>
      <c r="AU70" s="370">
        <f t="shared" si="61"/>
        <v>0</v>
      </c>
      <c r="AV70" s="370">
        <f t="shared" si="61"/>
        <v>0</v>
      </c>
      <c r="AW70" s="370">
        <f t="shared" si="61"/>
        <v>0</v>
      </c>
      <c r="AX70" s="370"/>
      <c r="AY70" s="370"/>
      <c r="AZ70" s="370" t="e">
        <f t="shared" si="61"/>
        <v>#N/A</v>
      </c>
      <c r="BA70" s="370">
        <f t="shared" si="61"/>
        <v>4193.3540413098635</v>
      </c>
      <c r="BB70" s="370">
        <f t="shared" si="61"/>
        <v>7764.0227932935395</v>
      </c>
      <c r="BC70" s="370">
        <f t="shared" si="61"/>
        <v>1949.5507835793601</v>
      </c>
      <c r="BD70" s="370">
        <f>IFERROR(BD44+BD57, #N/A)</f>
        <v>3488.3334804765973</v>
      </c>
      <c r="BE70" s="370">
        <f t="shared" si="62"/>
        <v>3263.6633629840958</v>
      </c>
      <c r="BF70" s="370">
        <f t="shared" si="62"/>
        <v>1917.4851132379019</v>
      </c>
      <c r="BG70" s="370">
        <f t="shared" si="62"/>
        <v>2022.293648119869</v>
      </c>
      <c r="BH70" s="370" t="e">
        <f t="shared" si="62"/>
        <v>#N/A</v>
      </c>
      <c r="BI70" s="370">
        <f t="shared" si="62"/>
        <v>1794.6463840340055</v>
      </c>
      <c r="BJ70" s="370">
        <f t="shared" si="62"/>
        <v>1790.1593849239562</v>
      </c>
      <c r="BK70" s="370">
        <f t="shared" si="62"/>
        <v>1784.4053853013206</v>
      </c>
      <c r="BL70" s="370">
        <f t="shared" si="62"/>
        <v>1777.8264678271466</v>
      </c>
      <c r="BM70" s="370">
        <f t="shared" si="62"/>
        <v>1770.7451010247601</v>
      </c>
      <c r="BN70" s="370">
        <f t="shared" si="62"/>
        <v>1763.149813128907</v>
      </c>
      <c r="BO70" s="370">
        <f t="shared" si="62"/>
        <v>1754.9718434978447</v>
      </c>
      <c r="BP70" s="370">
        <f t="shared" si="62"/>
        <v>1746.1124929805078</v>
      </c>
      <c r="BQ70" s="370">
        <f t="shared" si="62"/>
        <v>1736.5025812364249</v>
      </c>
      <c r="BR70" s="370">
        <f t="shared" si="62"/>
        <v>1726.1197243333913</v>
      </c>
      <c r="BS70" s="370">
        <f t="shared" si="62"/>
        <v>1714.9936509313668</v>
      </c>
      <c r="BT70" s="370">
        <f t="shared" si="62"/>
        <v>1703.1107907714522</v>
      </c>
    </row>
    <row r="71" spans="1:72">
      <c r="A71" s="17"/>
      <c r="E71" s="60" t="s">
        <v>28</v>
      </c>
      <c r="F71" s="370" t="e">
        <f>IFERROR(F45+F58,#N/A)</f>
        <v>#N/A</v>
      </c>
      <c r="G71" s="370">
        <f t="shared" ref="G71:AI71" si="63">IFERROR(G45+G58,#N/A)</f>
        <v>7541.2299700975045</v>
      </c>
      <c r="H71" s="370">
        <f t="shared" si="63"/>
        <v>16046.632997177485</v>
      </c>
      <c r="I71" s="370">
        <f t="shared" si="63"/>
        <v>2192.2616346676891</v>
      </c>
      <c r="J71" s="370">
        <f t="shared" si="63"/>
        <v>6001.616529443766</v>
      </c>
      <c r="K71" s="370">
        <f t="shared" si="63"/>
        <v>5448.5936219524556</v>
      </c>
      <c r="L71" s="370">
        <f t="shared" si="63"/>
        <v>2143.9835305866586</v>
      </c>
      <c r="M71" s="370">
        <f t="shared" si="63"/>
        <v>2403.0750613528521</v>
      </c>
      <c r="N71" s="370" t="e">
        <f t="shared" si="63"/>
        <v>#N/A</v>
      </c>
      <c r="O71" s="370">
        <f t="shared" si="63"/>
        <v>1953.6143297383094</v>
      </c>
      <c r="P71" s="370">
        <f t="shared" si="63"/>
        <v>1948.7298768249661</v>
      </c>
      <c r="Q71" s="370">
        <f t="shared" si="63"/>
        <v>1942.4661937862936</v>
      </c>
      <c r="R71" s="370">
        <f t="shared" si="63"/>
        <v>1935.3045225144172</v>
      </c>
      <c r="S71" s="370">
        <f t="shared" si="63"/>
        <v>1927.5958954654616</v>
      </c>
      <c r="T71" s="370">
        <f t="shared" si="63"/>
        <v>1919.3278247169092</v>
      </c>
      <c r="U71" s="370">
        <f t="shared" si="63"/>
        <v>1910.4254588795261</v>
      </c>
      <c r="V71" s="370">
        <f t="shared" si="63"/>
        <v>1900.7813561321425</v>
      </c>
      <c r="W71" s="370">
        <f t="shared" si="63"/>
        <v>1890.3202082103105</v>
      </c>
      <c r="X71" s="370">
        <f t="shared" si="63"/>
        <v>1879.0176484359476</v>
      </c>
      <c r="Y71" s="370">
        <f t="shared" si="63"/>
        <v>1866.906038803382</v>
      </c>
      <c r="Z71" s="370">
        <f t="shared" si="63"/>
        <v>1853.9706070140264</v>
      </c>
      <c r="AA71" s="370"/>
      <c r="AB71" s="370"/>
      <c r="AC71" s="370" t="e">
        <f t="shared" si="63"/>
        <v>#N/A</v>
      </c>
      <c r="AD71" s="370">
        <f t="shared" si="63"/>
        <v>4745.6162333206048</v>
      </c>
      <c r="AE71" s="370">
        <f t="shared" si="63"/>
        <v>12896.979473984853</v>
      </c>
      <c r="AF71" s="370">
        <f t="shared" si="63"/>
        <v>0</v>
      </c>
      <c r="AG71" s="370">
        <f t="shared" si="63"/>
        <v>3339.0031149663955</v>
      </c>
      <c r="AH71" s="370">
        <f t="shared" si="63"/>
        <v>2805.2622383666085</v>
      </c>
      <c r="AI71" s="370">
        <f t="shared" si="63"/>
        <v>0</v>
      </c>
      <c r="AJ71" s="370">
        <f>IFERROR(AJ45+AJ58,#N/A)</f>
        <v>0</v>
      </c>
      <c r="AK71" s="370" t="e">
        <f t="shared" ref="AK71:BC71" si="64">IFERROR(AK45+AK58,#N/A)</f>
        <v>#N/A</v>
      </c>
      <c r="AL71" s="370">
        <f t="shared" si="64"/>
        <v>0</v>
      </c>
      <c r="AM71" s="370">
        <f t="shared" si="64"/>
        <v>0</v>
      </c>
      <c r="AN71" s="370">
        <f t="shared" si="64"/>
        <v>0</v>
      </c>
      <c r="AO71" s="370">
        <f t="shared" si="64"/>
        <v>0</v>
      </c>
      <c r="AP71" s="370">
        <f t="shared" si="64"/>
        <v>0</v>
      </c>
      <c r="AQ71" s="370">
        <f t="shared" si="64"/>
        <v>0</v>
      </c>
      <c r="AR71" s="370">
        <f t="shared" si="64"/>
        <v>0</v>
      </c>
      <c r="AS71" s="370">
        <f t="shared" si="64"/>
        <v>0</v>
      </c>
      <c r="AT71" s="370">
        <f t="shared" si="64"/>
        <v>0</v>
      </c>
      <c r="AU71" s="370">
        <f t="shared" si="64"/>
        <v>0</v>
      </c>
      <c r="AV71" s="370">
        <f t="shared" si="64"/>
        <v>0</v>
      </c>
      <c r="AW71" s="370">
        <f t="shared" si="64"/>
        <v>0</v>
      </c>
      <c r="AX71" s="370"/>
      <c r="AY71" s="370"/>
      <c r="AZ71" s="370" t="e">
        <f t="shared" si="64"/>
        <v>#N/A</v>
      </c>
      <c r="BA71" s="370">
        <f t="shared" si="64"/>
        <v>10458.748068101531</v>
      </c>
      <c r="BB71" s="370">
        <f t="shared" si="64"/>
        <v>19266.063195921917</v>
      </c>
      <c r="BC71" s="370">
        <f t="shared" si="64"/>
        <v>4813.4539546070437</v>
      </c>
      <c r="BD71" s="370">
        <f>IFERROR(BD45+BD58,#N/A)</f>
        <v>8702.8457477125594</v>
      </c>
      <c r="BE71" s="370">
        <f t="shared" ref="BE71:BT71" si="65">IFERROR(BE45+BE58,#N/A)</f>
        <v>8138.7477715786927</v>
      </c>
      <c r="BF71" s="370">
        <f t="shared" si="65"/>
        <v>4721.8243529710062</v>
      </c>
      <c r="BG71" s="370">
        <f t="shared" si="65"/>
        <v>4984.4739425799098</v>
      </c>
      <c r="BH71" s="370" t="e">
        <f t="shared" si="65"/>
        <v>#N/A</v>
      </c>
      <c r="BI71" s="370">
        <f t="shared" si="65"/>
        <v>4279.7851759476944</v>
      </c>
      <c r="BJ71" s="370">
        <f t="shared" si="65"/>
        <v>4269.0847992904755</v>
      </c>
      <c r="BK71" s="370">
        <f t="shared" si="65"/>
        <v>4255.3629415994856</v>
      </c>
      <c r="BL71" s="370">
        <f t="shared" si="65"/>
        <v>4239.6738600454564</v>
      </c>
      <c r="BM71" s="370">
        <f t="shared" si="65"/>
        <v>4222.7865618367823</v>
      </c>
      <c r="BN71" s="370">
        <f t="shared" si="65"/>
        <v>4204.6736896671355</v>
      </c>
      <c r="BO71" s="370">
        <f t="shared" si="65"/>
        <v>4185.1712665113828</v>
      </c>
      <c r="BP71" s="370">
        <f t="shared" si="65"/>
        <v>4164.043919447392</v>
      </c>
      <c r="BQ71" s="370">
        <f t="shared" si="65"/>
        <v>4141.1266705729686</v>
      </c>
      <c r="BR71" s="370">
        <f t="shared" si="65"/>
        <v>4116.3661397782034</v>
      </c>
      <c r="BS71" s="370">
        <f t="shared" si="65"/>
        <v>4089.83322252157</v>
      </c>
      <c r="BT71" s="370">
        <f t="shared" si="65"/>
        <v>4061.4955571114356</v>
      </c>
    </row>
    <row r="72" spans="1:72">
      <c r="A72" s="17"/>
      <c r="B72" s="92"/>
      <c r="E72" s="86" t="s">
        <v>106</v>
      </c>
      <c r="F72" s="268" t="e">
        <f>IFERROR(F60,#N/A)</f>
        <v>#N/A</v>
      </c>
      <c r="G72" s="268">
        <f t="shared" ref="G72:AI72" si="66">IFERROR(G60,#N/A)</f>
        <v>24613.217558820146</v>
      </c>
      <c r="H72" s="268">
        <f t="shared" si="66"/>
        <v>52340.154487317777</v>
      </c>
      <c r="I72" s="268">
        <f t="shared" si="66"/>
        <v>7146.9208240062662</v>
      </c>
      <c r="J72" s="268">
        <f t="shared" si="66"/>
        <v>19597.207216902756</v>
      </c>
      <c r="K72" s="268">
        <f t="shared" si="66"/>
        <v>17790.23190672668</v>
      </c>
      <c r="L72" s="268">
        <f t="shared" si="66"/>
        <v>6987.2681822336799</v>
      </c>
      <c r="M72" s="268">
        <f t="shared" si="66"/>
        <v>7833.4037813142877</v>
      </c>
      <c r="N72" s="268" t="e">
        <f t="shared" si="66"/>
        <v>#N/A</v>
      </c>
      <c r="O72" s="268">
        <f t="shared" si="66"/>
        <v>6341.7170241009298</v>
      </c>
      <c r="P72" s="268">
        <f t="shared" si="66"/>
        <v>6325.8613776089624</v>
      </c>
      <c r="Q72" s="268">
        <f t="shared" si="66"/>
        <v>6305.5285489870294</v>
      </c>
      <c r="R72" s="268">
        <f t="shared" si="66"/>
        <v>6282.2807195999703</v>
      </c>
      <c r="S72" s="268">
        <f t="shared" si="66"/>
        <v>6257.257391993975</v>
      </c>
      <c r="T72" s="268">
        <f t="shared" si="66"/>
        <v>6230.4180285513503</v>
      </c>
      <c r="U72" s="268">
        <f t="shared" si="66"/>
        <v>6201.5196507465207</v>
      </c>
      <c r="V72" s="268">
        <f t="shared" si="66"/>
        <v>6170.2134867589475</v>
      </c>
      <c r="W72" s="268">
        <f t="shared" si="66"/>
        <v>6136.2550749794809</v>
      </c>
      <c r="X72" s="268">
        <f t="shared" si="66"/>
        <v>6099.5653176174974</v>
      </c>
      <c r="Y72" s="268">
        <f t="shared" si="66"/>
        <v>6060.2492664261663</v>
      </c>
      <c r="Z72" s="268">
        <f t="shared" si="66"/>
        <v>6018.2589683699271</v>
      </c>
      <c r="AA72" s="268"/>
      <c r="AB72" s="268"/>
      <c r="AC72" s="268" t="e">
        <f t="shared" si="66"/>
        <v>#N/A</v>
      </c>
      <c r="AD72" s="268">
        <f t="shared" si="66"/>
        <v>15475.014671607732</v>
      </c>
      <c r="AE72" s="268">
        <f t="shared" si="66"/>
        <v>42019.9442082194</v>
      </c>
      <c r="AF72" s="268">
        <f t="shared" si="66"/>
        <v>0</v>
      </c>
      <c r="AG72" s="268">
        <f t="shared" si="66"/>
        <v>10899.229888805236</v>
      </c>
      <c r="AH72" s="268">
        <f t="shared" si="66"/>
        <v>9156.0860268416054</v>
      </c>
      <c r="AI72" s="268">
        <f t="shared" si="66"/>
        <v>0</v>
      </c>
      <c r="AJ72" s="268">
        <f>IFERROR(AJ60,#N/A)</f>
        <v>0</v>
      </c>
      <c r="AK72" s="268" t="e">
        <f t="shared" ref="AK72:BC72" si="67">IFERROR(AK60,#N/A)</f>
        <v>#N/A</v>
      </c>
      <c r="AL72" s="268">
        <f t="shared" si="67"/>
        <v>0</v>
      </c>
      <c r="AM72" s="268">
        <f t="shared" si="67"/>
        <v>0</v>
      </c>
      <c r="AN72" s="268">
        <f t="shared" si="67"/>
        <v>0</v>
      </c>
      <c r="AO72" s="268">
        <f t="shared" si="67"/>
        <v>0</v>
      </c>
      <c r="AP72" s="268">
        <f t="shared" si="67"/>
        <v>0</v>
      </c>
      <c r="AQ72" s="268">
        <f t="shared" si="67"/>
        <v>0</v>
      </c>
      <c r="AR72" s="268">
        <f t="shared" si="67"/>
        <v>0</v>
      </c>
      <c r="AS72" s="268">
        <f t="shared" si="67"/>
        <v>0</v>
      </c>
      <c r="AT72" s="268">
        <f t="shared" si="67"/>
        <v>0</v>
      </c>
      <c r="AU72" s="268">
        <f t="shared" si="67"/>
        <v>0</v>
      </c>
      <c r="AV72" s="268">
        <f t="shared" si="67"/>
        <v>0</v>
      </c>
      <c r="AW72" s="268">
        <f t="shared" si="67"/>
        <v>0</v>
      </c>
      <c r="AX72" s="268"/>
      <c r="AY72" s="268"/>
      <c r="AZ72" s="268" t="e">
        <f t="shared" si="67"/>
        <v>#N/A</v>
      </c>
      <c r="BA72" s="268">
        <f t="shared" si="67"/>
        <v>34157.927236262069</v>
      </c>
      <c r="BB72" s="268">
        <f t="shared" si="67"/>
        <v>62893.044648628063</v>
      </c>
      <c r="BC72" s="268">
        <f t="shared" si="67"/>
        <v>15706.005783760425</v>
      </c>
      <c r="BD72" s="268">
        <f>IFERROR(BD60,#N/A)</f>
        <v>28423.954232100616</v>
      </c>
      <c r="BE72" s="268">
        <f t="shared" ref="BE72:BT72" si="68">IFERROR(BE60,#N/A)</f>
        <v>26580.514713471031</v>
      </c>
      <c r="BF72" s="268">
        <f t="shared" si="68"/>
        <v>15403.277534395813</v>
      </c>
      <c r="BG72" s="268">
        <f t="shared" si="68"/>
        <v>16261.452765710928</v>
      </c>
      <c r="BH72" s="268" t="e">
        <f t="shared" si="68"/>
        <v>#N/A</v>
      </c>
      <c r="BI72" s="268">
        <f t="shared" si="68"/>
        <v>13919.209099473206</v>
      </c>
      <c r="BJ72" s="268">
        <f t="shared" si="68"/>
        <v>13884.408105027971</v>
      </c>
      <c r="BK72" s="268">
        <f t="shared" si="68"/>
        <v>13839.780302794461</v>
      </c>
      <c r="BL72" s="268">
        <f t="shared" si="68"/>
        <v>13788.754469078202</v>
      </c>
      <c r="BM72" s="268">
        <f t="shared" si="68"/>
        <v>13733.831657481785</v>
      </c>
      <c r="BN72" s="268">
        <f t="shared" si="68"/>
        <v>13674.922893430208</v>
      </c>
      <c r="BO72" s="268">
        <f t="shared" si="68"/>
        <v>13611.494872001258</v>
      </c>
      <c r="BP72" s="268">
        <f t="shared" si="68"/>
        <v>13542.782086333058</v>
      </c>
      <c r="BQ72" s="268">
        <f t="shared" si="68"/>
        <v>13468.247976336021</v>
      </c>
      <c r="BR72" s="268">
        <f t="shared" si="68"/>
        <v>13387.718933083292</v>
      </c>
      <c r="BS72" s="268">
        <f t="shared" si="68"/>
        <v>13301.425530930854</v>
      </c>
      <c r="BT72" s="268">
        <f t="shared" si="68"/>
        <v>13209.262519466798</v>
      </c>
    </row>
    <row r="73" spans="1:72">
      <c r="A73" s="17"/>
      <c r="E73" s="86"/>
      <c r="F73" s="268"/>
      <c r="G73" s="268"/>
      <c r="H73" s="268"/>
      <c r="I73" s="268"/>
      <c r="J73" s="268"/>
      <c r="K73" s="268"/>
      <c r="L73" s="268"/>
      <c r="M73" s="268"/>
      <c r="N73" s="268"/>
      <c r="O73" s="268"/>
      <c r="P73" s="268"/>
      <c r="Q73" s="268"/>
      <c r="R73" s="268"/>
      <c r="S73" s="268"/>
      <c r="T73" s="268"/>
      <c r="U73" s="268"/>
      <c r="V73" s="268"/>
      <c r="W73" s="268"/>
      <c r="X73" s="268"/>
      <c r="Y73" s="268"/>
      <c r="Z73" s="268"/>
      <c r="AA73" s="268"/>
      <c r="AB73" s="268"/>
      <c r="AC73" s="268"/>
      <c r="AD73" s="268"/>
      <c r="AE73" s="268"/>
      <c r="AF73" s="268"/>
      <c r="AG73" s="268"/>
      <c r="AH73" s="268"/>
      <c r="AI73" s="268"/>
      <c r="AJ73" s="268"/>
      <c r="AK73" s="268"/>
      <c r="AL73" s="268"/>
      <c r="AM73" s="268"/>
      <c r="AN73" s="268"/>
      <c r="AO73" s="268"/>
      <c r="AP73" s="268"/>
      <c r="AQ73" s="268"/>
      <c r="AR73" s="268"/>
      <c r="AS73" s="268"/>
      <c r="AT73" s="268"/>
      <c r="AU73" s="268"/>
      <c r="AV73" s="268"/>
      <c r="AW73" s="268"/>
      <c r="AX73" s="268"/>
      <c r="AY73" s="268"/>
      <c r="AZ73" s="268"/>
      <c r="BA73" s="268"/>
      <c r="BB73" s="268"/>
      <c r="BC73" s="268"/>
      <c r="BD73" s="268"/>
      <c r="BE73" s="268"/>
      <c r="BF73" s="268"/>
      <c r="BG73" s="268"/>
      <c r="BH73" s="268"/>
      <c r="BI73" s="268"/>
      <c r="BJ73" s="268"/>
      <c r="BK73" s="268"/>
      <c r="BL73" s="268"/>
      <c r="BM73" s="268"/>
      <c r="BN73" s="268"/>
      <c r="BO73" s="268"/>
      <c r="BP73" s="268"/>
      <c r="BQ73" s="268"/>
      <c r="BR73" s="268"/>
      <c r="BS73" s="268"/>
      <c r="BT73" s="268"/>
    </row>
    <row r="74" spans="1:72" ht="19">
      <c r="A74" s="17"/>
      <c r="B74" s="92"/>
      <c r="E74" s="169" t="s">
        <v>195</v>
      </c>
      <c r="F74" s="373"/>
      <c r="G74" s="373"/>
      <c r="H74" s="373"/>
      <c r="I74" s="373"/>
      <c r="J74" s="373"/>
      <c r="K74" s="373"/>
      <c r="L74" s="373"/>
      <c r="M74" s="373"/>
      <c r="N74" s="373"/>
      <c r="O74" s="373"/>
      <c r="P74" s="373"/>
      <c r="Q74" s="373"/>
      <c r="R74" s="373"/>
      <c r="S74" s="373"/>
      <c r="T74" s="373"/>
      <c r="U74" s="373"/>
      <c r="V74" s="373"/>
      <c r="W74" s="373"/>
      <c r="X74" s="373"/>
      <c r="Y74" s="373"/>
      <c r="Z74" s="373"/>
      <c r="AA74" s="373"/>
      <c r="AB74" s="373"/>
      <c r="AC74" s="373"/>
      <c r="AD74" s="373"/>
      <c r="AE74" s="373"/>
      <c r="AF74" s="373"/>
      <c r="AG74" s="373"/>
      <c r="AH74" s="373"/>
      <c r="AI74" s="373"/>
      <c r="AJ74" s="373"/>
      <c r="AK74" s="373"/>
      <c r="AL74" s="373"/>
      <c r="AM74" s="373"/>
      <c r="AN74" s="373"/>
      <c r="AO74" s="373"/>
      <c r="AP74" s="373"/>
      <c r="AQ74" s="373"/>
      <c r="AR74" s="373"/>
      <c r="AS74" s="373"/>
      <c r="AT74" s="373"/>
      <c r="AU74" s="373"/>
      <c r="AV74" s="373"/>
      <c r="AW74" s="373"/>
      <c r="AX74" s="373"/>
      <c r="AY74" s="373"/>
      <c r="AZ74" s="373"/>
      <c r="BA74" s="373"/>
      <c r="BB74" s="373"/>
      <c r="BC74" s="373"/>
      <c r="BD74" s="373"/>
      <c r="BE74" s="373"/>
      <c r="BF74" s="373"/>
      <c r="BG74" s="373"/>
      <c r="BH74" s="373"/>
      <c r="BI74" s="373"/>
      <c r="BJ74" s="373"/>
      <c r="BK74" s="373"/>
      <c r="BL74" s="373"/>
      <c r="BM74" s="373"/>
      <c r="BN74" s="373"/>
      <c r="BO74" s="373"/>
      <c r="BP74" s="373"/>
      <c r="BQ74" s="373"/>
      <c r="BR74" s="373"/>
      <c r="BS74" s="373"/>
      <c r="BT74" s="373"/>
    </row>
    <row r="75" spans="1:72">
      <c r="A75" s="17"/>
      <c r="B75" s="17"/>
      <c r="E75" s="162" t="s">
        <v>23</v>
      </c>
      <c r="F75" s="370" t="e">
        <f>BaselineData!$E$78*(F28+F27)</f>
        <v>#VALUE!</v>
      </c>
      <c r="G75" s="370">
        <f>BaselineData!$E$78*(G28+G27)</f>
        <v>26269823.001655277</v>
      </c>
      <c r="H75" s="370">
        <f>BaselineData!$E$78*(H28+H27)</f>
        <v>26005509.28355848</v>
      </c>
      <c r="I75" s="370">
        <f>BaselineData!$E$78*(I28+I27)</f>
        <v>25946793.084157493</v>
      </c>
      <c r="J75" s="370">
        <f>BaselineData!$E$78*(J28+J27)</f>
        <v>25812249.120819204</v>
      </c>
      <c r="K75" s="370">
        <f>BaselineData!$E$78*(K28+K27)</f>
        <v>25749123.513248861</v>
      </c>
      <c r="L75" s="370">
        <f>BaselineData!$E$78*(L28+L27)</f>
        <v>25734536.185388442</v>
      </c>
      <c r="M75" s="370">
        <f>BaselineData!$E$78*(M28+M27)</f>
        <v>25707802.01787702</v>
      </c>
      <c r="N75" s="370" t="e">
        <f>BaselineData!$E$78*(N28+N27)</f>
        <v>#VALUE!</v>
      </c>
      <c r="O75" s="370">
        <f>BaselineData!$E$78*(O28+O27)</f>
        <v>25631894.350718465</v>
      </c>
      <c r="P75" s="370">
        <f>BaselineData!$E$78*(P28+P27)</f>
        <v>25567809.142532751</v>
      </c>
      <c r="Q75" s="370">
        <f>BaselineData!$E$78*(Q28+Q27)</f>
        <v>25485628.100220703</v>
      </c>
      <c r="R75" s="370">
        <f>BaselineData!$E$78*(R28+R27)</f>
        <v>25391665.234254271</v>
      </c>
      <c r="S75" s="370">
        <f>BaselineData!$E$78*(S28+S27)</f>
        <v>25290526.175689735</v>
      </c>
      <c r="T75" s="370">
        <f>BaselineData!$E$78*(T28+T27)</f>
        <v>25182047.079951558</v>
      </c>
      <c r="U75" s="370">
        <f>BaselineData!$E$78*(U28+U27)</f>
        <v>25065245.8786388</v>
      </c>
      <c r="V75" s="370">
        <f>BaselineData!$E$78*(V28+V27)</f>
        <v>24938712.908970457</v>
      </c>
      <c r="W75" s="370">
        <f>BaselineData!$E$78*(W28+W27)</f>
        <v>24801460.108231865</v>
      </c>
      <c r="X75" s="370">
        <f>BaselineData!$E$78*(X28+X27)</f>
        <v>24653167.779690258</v>
      </c>
      <c r="Y75" s="370">
        <f>BaselineData!$E$78*(Y28+Y27)</f>
        <v>24494260.520568825</v>
      </c>
      <c r="Z75" s="370">
        <f>BaselineData!$E$78*(Z28+Z27)</f>
        <v>24324544.514723338</v>
      </c>
      <c r="AA75" s="370"/>
      <c r="AB75" s="370"/>
      <c r="AC75" s="370" t="e">
        <f>BaselineData!$E$78*(AC28+AC27)</f>
        <v>#VALUE!</v>
      </c>
      <c r="AD75" s="370">
        <f>BaselineData!$E$78*(AD28+AD27)</f>
        <v>26287880.022872422</v>
      </c>
      <c r="AE75" s="370">
        <f>BaselineData!$E$78*(AE28+AE27)</f>
        <v>26023427.732083403</v>
      </c>
      <c r="AF75" s="370">
        <f>BaselineData!$E$78*(AF28+AF27)</f>
        <v>25962822.530788001</v>
      </c>
      <c r="AG75" s="370">
        <f>BaselineData!$E$78*(AG28+AG27)</f>
        <v>25829984.306291722</v>
      </c>
      <c r="AH75" s="370">
        <f>BaselineData!$E$78*(AH28+AH27)</f>
        <v>25766812.895302735</v>
      </c>
      <c r="AI75" s="370">
        <f>BaselineData!$E$78*(AI28+AI27)</f>
        <v>25750434.503651001</v>
      </c>
      <c r="AJ75" s="370">
        <f>BaselineData!$E$78*(AJ28+AJ27)</f>
        <v>25725449.676355001</v>
      </c>
      <c r="AK75" s="370" t="e">
        <f>BaselineData!$E$78*(AK28+AK27)</f>
        <v>#VALUE!</v>
      </c>
      <c r="AL75" s="370">
        <f>BaselineData!$E$78*(AL28+AL27)</f>
        <v>25648845.668017</v>
      </c>
      <c r="AM75" s="370">
        <f>BaselineData!$E$78*(AM28+AM27)</f>
        <v>25584718.077918999</v>
      </c>
      <c r="AN75" s="370">
        <f>BaselineData!$E$78*(AN28+AN27)</f>
        <v>25502482.686251998</v>
      </c>
      <c r="AO75" s="370">
        <f>BaselineData!$E$78*(AO28+AO27)</f>
        <v>25408457.679175999</v>
      </c>
      <c r="AP75" s="370">
        <f>BaselineData!$E$78*(AP28+AP27)</f>
        <v>25307251.733620998</v>
      </c>
      <c r="AQ75" s="370">
        <f>BaselineData!$E$78*(AQ28+AQ27)</f>
        <v>25198700.896655001</v>
      </c>
      <c r="AR75" s="370">
        <f>BaselineData!$E$78*(AR28+AR27)</f>
        <v>25081822.450399</v>
      </c>
      <c r="AS75" s="370">
        <f>BaselineData!$E$78*(AS28+AS27)</f>
        <v>24955205.79981</v>
      </c>
      <c r="AT75" s="370">
        <f>BaselineData!$E$78*(AT28+AT27)</f>
        <v>24817862.228730999</v>
      </c>
      <c r="AU75" s="370">
        <f>BaselineData!$E$78*(AU28+AU27)</f>
        <v>24669471.829002</v>
      </c>
      <c r="AV75" s="370">
        <f>BaselineData!$E$78*(AV28+AV27)</f>
        <v>24510459.478647999</v>
      </c>
      <c r="AW75" s="370">
        <f>BaselineData!$E$78*(AW28+AW27)</f>
        <v>24340631.233346999</v>
      </c>
      <c r="AX75" s="370"/>
      <c r="AY75" s="370"/>
      <c r="AZ75" s="370" t="e">
        <f>BaselineData!$E$78*(AZ28+AZ27)</f>
        <v>#VALUE!</v>
      </c>
      <c r="BA75" s="370">
        <f>BaselineData!$E$78*(BA28+BA27)</f>
        <v>26251765.980438132</v>
      </c>
      <c r="BB75" s="370">
        <f>BaselineData!$E$78*(BB28+BB27)</f>
        <v>25987590.835033558</v>
      </c>
      <c r="BC75" s="370">
        <f>BaselineData!$E$78*(BC28+BC27)</f>
        <v>25928982.587901372</v>
      </c>
      <c r="BD75" s="370">
        <f>BaselineData!$E$78*(BD28+BD27)</f>
        <v>25794513.935346682</v>
      </c>
      <c r="BE75" s="370">
        <f>BaselineData!$E$78*(BE28+BE27)</f>
        <v>25731434.131194983</v>
      </c>
      <c r="BF75" s="370">
        <f>BaselineData!$E$78*(BF28+BF27)</f>
        <v>25716871.387318939</v>
      </c>
      <c r="BG75" s="370">
        <f>BaselineData!$E$78*(BG28+BG27)</f>
        <v>25690154.359399039</v>
      </c>
      <c r="BH75" s="370" t="e">
        <f>BaselineData!$E$78*(BH28+BH27)</f>
        <v>#VALUE!</v>
      </c>
      <c r="BI75" s="370">
        <f>BaselineData!$E$78*(BI28+BI27)</f>
        <v>25614299.242590208</v>
      </c>
      <c r="BJ75" s="370">
        <f>BaselineData!$E$78*(BJ28+BJ27)</f>
        <v>25550258.025931295</v>
      </c>
      <c r="BK75" s="370">
        <f>BaselineData!$E$78*(BK28+BK27)</f>
        <v>25468133.397097934</v>
      </c>
      <c r="BL75" s="370">
        <f>BaselineData!$E$78*(BL28+BL27)</f>
        <v>25374235.032286357</v>
      </c>
      <c r="BM75" s="370">
        <f>BaselineData!$E$78*(BM28+BM27)</f>
        <v>25273165.40100047</v>
      </c>
      <c r="BN75" s="370">
        <f>BaselineData!$E$78*(BN28+BN27)</f>
        <v>25164760.771136452</v>
      </c>
      <c r="BO75" s="370">
        <f>BaselineData!$E$78*(BO28+BO27)</f>
        <v>25048039.748437822</v>
      </c>
      <c r="BP75" s="370">
        <f>BaselineData!$E$78*(BP28+BP27)</f>
        <v>24921593.637791794</v>
      </c>
      <c r="BQ75" s="370">
        <f>BaselineData!$E$78*(BQ28+BQ27)</f>
        <v>24784435.054742955</v>
      </c>
      <c r="BR75" s="370">
        <f>BaselineData!$E$78*(BR28+BR27)</f>
        <v>24636244.522015557</v>
      </c>
      <c r="BS75" s="370">
        <f>BaselineData!$E$78*(BS28+BS27)</f>
        <v>24477446.345366474</v>
      </c>
      <c r="BT75" s="370">
        <f>BaselineData!$E$78*(BT28+BT27)</f>
        <v>24307846.841697261</v>
      </c>
    </row>
    <row r="76" spans="1:72">
      <c r="A76" s="17"/>
      <c r="B76" s="17"/>
      <c r="E76" s="162" t="s">
        <v>24</v>
      </c>
      <c r="F76" s="370" t="e">
        <f>BaselineData!$E$79*(F28+F27)</f>
        <v>#VALUE!</v>
      </c>
      <c r="G76" s="370">
        <f>BaselineData!$E$79*(G28+G27)</f>
        <v>7541.6036417202386</v>
      </c>
      <c r="H76" s="370">
        <f>BaselineData!$E$79*(H28+H27)</f>
        <v>7465.7238271196666</v>
      </c>
      <c r="I76" s="370">
        <f>BaselineData!$E$79*(I28+I27)</f>
        <v>7448.8674401085109</v>
      </c>
      <c r="J76" s="370">
        <f>BaselineData!$E$79*(J28+J27)</f>
        <v>7410.242237197187</v>
      </c>
      <c r="K76" s="370">
        <f>BaselineData!$E$79*(K28+K27)</f>
        <v>7392.1199867386167</v>
      </c>
      <c r="L76" s="370">
        <f>BaselineData!$E$79*(L28+L27)</f>
        <v>7387.9322217541267</v>
      </c>
      <c r="M76" s="370">
        <f>BaselineData!$E$79*(M28+M27)</f>
        <v>7380.2573129795292</v>
      </c>
      <c r="N76" s="370" t="e">
        <f>BaselineData!$E$79*(N28+N27)</f>
        <v>#VALUE!</v>
      </c>
      <c r="O76" s="370">
        <f>BaselineData!$E$79*(O28+O27)</f>
        <v>7358.4655582714231</v>
      </c>
      <c r="P76" s="370">
        <f>BaselineData!$E$79*(P28+P27)</f>
        <v>7340.0678233722074</v>
      </c>
      <c r="Q76" s="370">
        <f>BaselineData!$E$79*(Q28+Q27)</f>
        <v>7316.4750931150656</v>
      </c>
      <c r="R76" s="370">
        <f>BaselineData!$E$79*(R28+R27)</f>
        <v>7289.5000087334829</v>
      </c>
      <c r="S76" s="370">
        <f>BaselineData!$E$79*(S28+S27)</f>
        <v>7260.4647658107415</v>
      </c>
      <c r="T76" s="370">
        <f>BaselineData!$E$79*(T28+T27)</f>
        <v>7229.322327454076</v>
      </c>
      <c r="U76" s="370">
        <f>BaselineData!$E$79*(U28+U27)</f>
        <v>7195.7907591172016</v>
      </c>
      <c r="V76" s="370">
        <f>BaselineData!$E$79*(V28+V27)</f>
        <v>7159.465371436123</v>
      </c>
      <c r="W76" s="370">
        <f>BaselineData!$E$79*(W28+W27)</f>
        <v>7120.0625090026288</v>
      </c>
      <c r="X76" s="370">
        <f>BaselineData!$E$79*(X28+X27)</f>
        <v>7077.4903925137551</v>
      </c>
      <c r="Y76" s="370">
        <f>BaselineData!$E$79*(Y28+Y27)</f>
        <v>7031.8709163562462</v>
      </c>
      <c r="Z76" s="370">
        <f>BaselineData!$E$79*(Z28+Z27)</f>
        <v>6983.1484393276851</v>
      </c>
      <c r="AA76" s="370"/>
      <c r="AB76" s="370"/>
      <c r="AC76" s="370" t="e">
        <f>BaselineData!$E$79*(AC28+AC27)</f>
        <v>#VALUE!</v>
      </c>
      <c r="AD76" s="370">
        <f>BaselineData!$E$79*(AD28+AD27)</f>
        <v>7546.7874945753283</v>
      </c>
      <c r="AE76" s="370">
        <f>BaselineData!$E$79*(AE28+AE27)</f>
        <v>7470.8678981947187</v>
      </c>
      <c r="AF76" s="370">
        <f>BaselineData!$E$79*(AF28+AF27)</f>
        <v>7453.469212</v>
      </c>
      <c r="AG76" s="370">
        <f>BaselineData!$E$79*(AG28+AG27)</f>
        <v>7415.3336966766701</v>
      </c>
      <c r="AH76" s="370">
        <f>BaselineData!$E$79*(AH28+AH27)</f>
        <v>7397.1982968630846</v>
      </c>
      <c r="AI76" s="370">
        <f>BaselineData!$E$79*(AI28+AI27)</f>
        <v>7392.496349</v>
      </c>
      <c r="AJ76" s="370">
        <f>BaselineData!$E$79*(AJ28+AJ27)</f>
        <v>7385.3236449999995</v>
      </c>
      <c r="AK76" s="370" t="e">
        <f>BaselineData!$E$79*(AK28+AK27)</f>
        <v>#VALUE!</v>
      </c>
      <c r="AL76" s="370">
        <f>BaselineData!$E$79*(AL28+AL27)</f>
        <v>7363.3319829999991</v>
      </c>
      <c r="AM76" s="370">
        <f>BaselineData!$E$79*(AM28+AM27)</f>
        <v>7344.9220809999997</v>
      </c>
      <c r="AN76" s="370">
        <f>BaselineData!$E$79*(AN28+AN27)</f>
        <v>7321.3137479999996</v>
      </c>
      <c r="AO76" s="370">
        <f>BaselineData!$E$79*(AO28+AO27)</f>
        <v>7294.3208239999994</v>
      </c>
      <c r="AP76" s="370">
        <f>BaselineData!$E$79*(AP28+AP27)</f>
        <v>7265.2663789999997</v>
      </c>
      <c r="AQ76" s="370">
        <f>BaselineData!$E$79*(AQ28+AQ27)</f>
        <v>7234.1033449999995</v>
      </c>
      <c r="AR76" s="370">
        <f>BaselineData!$E$79*(AR28+AR27)</f>
        <v>7200.5496009999997</v>
      </c>
      <c r="AS76" s="370">
        <f>BaselineData!$E$79*(AS28+AS27)</f>
        <v>7164.2001899999996</v>
      </c>
      <c r="AT76" s="370">
        <f>BaselineData!$E$79*(AT28+AT27)</f>
        <v>7124.7712689999998</v>
      </c>
      <c r="AU76" s="370">
        <f>BaselineData!$E$79*(AU28+AU27)</f>
        <v>7082.1709979999996</v>
      </c>
      <c r="AV76" s="370">
        <f>BaselineData!$E$79*(AV28+AV27)</f>
        <v>7036.5213519999998</v>
      </c>
      <c r="AW76" s="370">
        <f>BaselineData!$E$79*(AW28+AW27)</f>
        <v>6987.7666529999997</v>
      </c>
      <c r="AX76" s="370"/>
      <c r="AY76" s="370"/>
      <c r="AZ76" s="370" t="e">
        <f>BaselineData!$E$79*(AZ28+AZ27)</f>
        <v>#VALUE!</v>
      </c>
      <c r="BA76" s="370">
        <f>BaselineData!$E$79*(BA28+BA27)</f>
        <v>7536.4197888651479</v>
      </c>
      <c r="BB76" s="370">
        <f>BaselineData!$E$79*(BB28+BB27)</f>
        <v>7460.5797560446154</v>
      </c>
      <c r="BC76" s="370">
        <f>BaselineData!$E$79*(BC28+BC27)</f>
        <v>7443.7543602290789</v>
      </c>
      <c r="BD76" s="370">
        <f>BaselineData!$E$79*(BD28+BD27)</f>
        <v>7405.150777717703</v>
      </c>
      <c r="BE76" s="370">
        <f>BaselineData!$E$79*(BE28+BE27)</f>
        <v>7387.0416766141479</v>
      </c>
      <c r="BF76" s="370">
        <f>BaselineData!$E$79*(BF28+BF27)</f>
        <v>7382.8609692587124</v>
      </c>
      <c r="BG76" s="370">
        <f>BaselineData!$E$79*(BG28+BG27)</f>
        <v>7375.1909809590588</v>
      </c>
      <c r="BH76" s="370" t="e">
        <f>BaselineData!$E$79*(BH28+BH27)</f>
        <v>#VALUE!</v>
      </c>
      <c r="BI76" s="370">
        <f>BaselineData!$E$79*(BI28+BI27)</f>
        <v>7353.4143125310857</v>
      </c>
      <c r="BJ76" s="370">
        <f>BaselineData!$E$79*(BJ28+BJ27)</f>
        <v>7335.0292068246408</v>
      </c>
      <c r="BK76" s="370">
        <f>BaselineData!$E$79*(BK28+BK27)</f>
        <v>7311.4526718839379</v>
      </c>
      <c r="BL76" s="370">
        <f>BaselineData!$E$79*(BL28+BL27)</f>
        <v>7284.4961046482185</v>
      </c>
      <c r="BM76" s="370">
        <f>BaselineData!$E$79*(BM28+BM27)</f>
        <v>7255.4807930747475</v>
      </c>
      <c r="BN76" s="370">
        <f>BaselineData!$E$79*(BN28+BN27)</f>
        <v>7224.3597325594064</v>
      </c>
      <c r="BO76" s="370">
        <f>BaselineData!$E$79*(BO28+BO27)</f>
        <v>7190.8511820909152</v>
      </c>
      <c r="BP76" s="370">
        <f>BaselineData!$E$79*(BP28+BP27)</f>
        <v>7154.5507301057851</v>
      </c>
      <c r="BQ76" s="370">
        <f>BaselineData!$E$79*(BQ28+BQ27)</f>
        <v>7115.1749159120945</v>
      </c>
      <c r="BR76" s="370">
        <f>BaselineData!$E$79*(BR28+BR27)</f>
        <v>7072.6320232091257</v>
      </c>
      <c r="BS76" s="370">
        <f>BaselineData!$E$79*(BS28+BS27)</f>
        <v>7027.0438627087751</v>
      </c>
      <c r="BT76" s="370">
        <f>BaselineData!$E$79*(BT28+BT27)</f>
        <v>6978.3548314037271</v>
      </c>
    </row>
    <row r="77" spans="1:72">
      <c r="A77" s="17"/>
      <c r="B77" s="17"/>
      <c r="E77" s="162" t="s">
        <v>25</v>
      </c>
      <c r="F77" s="370" t="e">
        <f>BaselineData!$E$80*(F28+F27)</f>
        <v>#VALUE!</v>
      </c>
      <c r="G77" s="370">
        <f>BaselineData!$E$80*(G28+G27)</f>
        <v>0</v>
      </c>
      <c r="H77" s="370">
        <f>BaselineData!$E$80*(H28+H27)</f>
        <v>0</v>
      </c>
      <c r="I77" s="370">
        <f>BaselineData!$E$80*(I28+I27)</f>
        <v>0</v>
      </c>
      <c r="J77" s="370">
        <f>BaselineData!$E$80*(J28+J27)</f>
        <v>0</v>
      </c>
      <c r="K77" s="370">
        <f>BaselineData!$E$80*(K28+K27)</f>
        <v>0</v>
      </c>
      <c r="L77" s="370">
        <f>BaselineData!$E$80*(L28+L27)</f>
        <v>0</v>
      </c>
      <c r="M77" s="370">
        <f>BaselineData!$E$80*(M28+M27)</f>
        <v>0</v>
      </c>
      <c r="N77" s="370" t="e">
        <f>BaselineData!$E$80*(N28+N27)</f>
        <v>#VALUE!</v>
      </c>
      <c r="O77" s="370">
        <f>BaselineData!$E$80*(O28+O27)</f>
        <v>0</v>
      </c>
      <c r="P77" s="370">
        <f>BaselineData!$E$80*(P28+P27)</f>
        <v>0</v>
      </c>
      <c r="Q77" s="370">
        <f>BaselineData!$E$80*(Q28+Q27)</f>
        <v>0</v>
      </c>
      <c r="R77" s="370">
        <f>BaselineData!$E$80*(R28+R27)</f>
        <v>0</v>
      </c>
      <c r="S77" s="370">
        <f>BaselineData!$E$80*(S28+S27)</f>
        <v>0</v>
      </c>
      <c r="T77" s="370">
        <f>BaselineData!$E$80*(T28+T27)</f>
        <v>0</v>
      </c>
      <c r="U77" s="370">
        <f>BaselineData!$E$80*(U28+U27)</f>
        <v>0</v>
      </c>
      <c r="V77" s="370">
        <f>BaselineData!$E$80*(V28+V27)</f>
        <v>0</v>
      </c>
      <c r="W77" s="370">
        <f>BaselineData!$E$80*(W28+W27)</f>
        <v>0</v>
      </c>
      <c r="X77" s="370">
        <f>BaselineData!$E$80*(X28+X27)</f>
        <v>0</v>
      </c>
      <c r="Y77" s="370">
        <f>BaselineData!$E$80*(Y28+Y27)</f>
        <v>0</v>
      </c>
      <c r="Z77" s="370">
        <f>BaselineData!$E$80*(Z28+Z27)</f>
        <v>0</v>
      </c>
      <c r="AA77" s="370"/>
      <c r="AB77" s="370"/>
      <c r="AC77" s="370" t="e">
        <f>BaselineData!$E$80*(AC28+AC27)</f>
        <v>#VALUE!</v>
      </c>
      <c r="AD77" s="370">
        <f>BaselineData!$E$80*(AD28+AD27)</f>
        <v>0</v>
      </c>
      <c r="AE77" s="370">
        <f>BaselineData!$E$80*(AE28+AE27)</f>
        <v>0</v>
      </c>
      <c r="AF77" s="370">
        <f>BaselineData!$E$80*(AF28+AF27)</f>
        <v>0</v>
      </c>
      <c r="AG77" s="370">
        <f>BaselineData!$E$80*(AG28+AG27)</f>
        <v>0</v>
      </c>
      <c r="AH77" s="370">
        <f>BaselineData!$E$80*(AH28+AH27)</f>
        <v>0</v>
      </c>
      <c r="AI77" s="370">
        <f>BaselineData!$E$80*(AI28+AI27)</f>
        <v>0</v>
      </c>
      <c r="AJ77" s="370">
        <f>BaselineData!$E$80*(AJ28+AJ27)</f>
        <v>0</v>
      </c>
      <c r="AK77" s="370" t="e">
        <f>BaselineData!$E$80*(AK28+AK27)</f>
        <v>#VALUE!</v>
      </c>
      <c r="AL77" s="370">
        <f>BaselineData!$E$80*(AL28+AL27)</f>
        <v>0</v>
      </c>
      <c r="AM77" s="370">
        <f>BaselineData!$E$80*(AM28+AM27)</f>
        <v>0</v>
      </c>
      <c r="AN77" s="370">
        <f>BaselineData!$E$80*(AN28+AN27)</f>
        <v>0</v>
      </c>
      <c r="AO77" s="370">
        <f>BaselineData!$E$80*(AO28+AO27)</f>
        <v>0</v>
      </c>
      <c r="AP77" s="370">
        <f>BaselineData!$E$80*(AP28+AP27)</f>
        <v>0</v>
      </c>
      <c r="AQ77" s="370">
        <f>BaselineData!$E$80*(AQ28+AQ27)</f>
        <v>0</v>
      </c>
      <c r="AR77" s="370">
        <f>BaselineData!$E$80*(AR28+AR27)</f>
        <v>0</v>
      </c>
      <c r="AS77" s="370">
        <f>BaselineData!$E$80*(AS28+AS27)</f>
        <v>0</v>
      </c>
      <c r="AT77" s="370">
        <f>BaselineData!$E$80*(AT28+AT27)</f>
        <v>0</v>
      </c>
      <c r="AU77" s="370">
        <f>BaselineData!$E$80*(AU28+AU27)</f>
        <v>0</v>
      </c>
      <c r="AV77" s="370">
        <f>BaselineData!$E$80*(AV28+AV27)</f>
        <v>0</v>
      </c>
      <c r="AW77" s="370">
        <f>BaselineData!$E$80*(AW28+AW27)</f>
        <v>0</v>
      </c>
      <c r="AX77" s="370"/>
      <c r="AY77" s="370"/>
      <c r="AZ77" s="370" t="e">
        <f>BaselineData!$E$80*(AZ28+AZ27)</f>
        <v>#VALUE!</v>
      </c>
      <c r="BA77" s="370">
        <f>BaselineData!$E$80*(BA28+BA27)</f>
        <v>0</v>
      </c>
      <c r="BB77" s="370">
        <f>BaselineData!$E$80*(BB28+BB27)</f>
        <v>0</v>
      </c>
      <c r="BC77" s="370">
        <f>BaselineData!$E$80*(BC28+BC27)</f>
        <v>0</v>
      </c>
      <c r="BD77" s="370">
        <f>BaselineData!$E$80*(BD28+BD27)</f>
        <v>0</v>
      </c>
      <c r="BE77" s="370">
        <f>BaselineData!$E$80*(BE28+BE27)</f>
        <v>0</v>
      </c>
      <c r="BF77" s="370">
        <f>BaselineData!$E$80*(BF28+BF27)</f>
        <v>0</v>
      </c>
      <c r="BG77" s="370">
        <f>BaselineData!$E$80*(BG28+BG27)</f>
        <v>0</v>
      </c>
      <c r="BH77" s="370" t="e">
        <f>BaselineData!$E$80*(BH28+BH27)</f>
        <v>#VALUE!</v>
      </c>
      <c r="BI77" s="370">
        <f>BaselineData!$E$80*(BI28+BI27)</f>
        <v>0</v>
      </c>
      <c r="BJ77" s="370">
        <f>BaselineData!$E$80*(BJ28+BJ27)</f>
        <v>0</v>
      </c>
      <c r="BK77" s="370">
        <f>BaselineData!$E$80*(BK28+BK27)</f>
        <v>0</v>
      </c>
      <c r="BL77" s="370">
        <f>BaselineData!$E$80*(BL28+BL27)</f>
        <v>0</v>
      </c>
      <c r="BM77" s="370">
        <f>BaselineData!$E$80*(BM28+BM27)</f>
        <v>0</v>
      </c>
      <c r="BN77" s="370">
        <f>BaselineData!$E$80*(BN28+BN27)</f>
        <v>0</v>
      </c>
      <c r="BO77" s="370">
        <f>BaselineData!$E$80*(BO28+BO27)</f>
        <v>0</v>
      </c>
      <c r="BP77" s="370">
        <f>BaselineData!$E$80*(BP28+BP27)</f>
        <v>0</v>
      </c>
      <c r="BQ77" s="370">
        <f>BaselineData!$E$80*(BQ28+BQ27)</f>
        <v>0</v>
      </c>
      <c r="BR77" s="370">
        <f>BaselineData!$E$80*(BR28+BR27)</f>
        <v>0</v>
      </c>
      <c r="BS77" s="370">
        <f>BaselineData!$E$80*(BS28+BS27)</f>
        <v>0</v>
      </c>
      <c r="BT77" s="370">
        <f>BaselineData!$E$80*(BT28+BT27)</f>
        <v>0</v>
      </c>
    </row>
    <row r="78" spans="1:72">
      <c r="A78" s="17"/>
      <c r="B78" s="17"/>
      <c r="E78" s="60" t="s">
        <v>33</v>
      </c>
      <c r="F78" s="370" t="e">
        <f>BaselineData!$E$81*(F28+F27)</f>
        <v>#VALUE!</v>
      </c>
      <c r="G78" s="370">
        <f>BaselineData!$E$81*(G28+G27)</f>
        <v>0</v>
      </c>
      <c r="H78" s="370">
        <f>BaselineData!$E$81*(H28+H27)</f>
        <v>0</v>
      </c>
      <c r="I78" s="370">
        <f>BaselineData!$E$81*(I28+I27)</f>
        <v>0</v>
      </c>
      <c r="J78" s="370">
        <f>BaselineData!$E$81*(J28+J27)</f>
        <v>0</v>
      </c>
      <c r="K78" s="370">
        <f>BaselineData!$E$81*(K28+K27)</f>
        <v>0</v>
      </c>
      <c r="L78" s="370">
        <f>BaselineData!$E$81*(L28+L27)</f>
        <v>0</v>
      </c>
      <c r="M78" s="370">
        <f>BaselineData!$E$81*(M28+M27)</f>
        <v>0</v>
      </c>
      <c r="N78" s="370" t="e">
        <f>BaselineData!$E$81*(N28+N27)</f>
        <v>#VALUE!</v>
      </c>
      <c r="O78" s="370">
        <f>BaselineData!$E$81*(O28+O27)</f>
        <v>0</v>
      </c>
      <c r="P78" s="370">
        <f>BaselineData!$E$81*(P28+P27)</f>
        <v>0</v>
      </c>
      <c r="Q78" s="370">
        <f>BaselineData!$E$81*(Q28+Q27)</f>
        <v>0</v>
      </c>
      <c r="R78" s="370">
        <f>BaselineData!$E$81*(R28+R27)</f>
        <v>0</v>
      </c>
      <c r="S78" s="370">
        <f>BaselineData!$E$81*(S28+S27)</f>
        <v>0</v>
      </c>
      <c r="T78" s="370">
        <f>BaselineData!$E$81*(T28+T27)</f>
        <v>0</v>
      </c>
      <c r="U78" s="370">
        <f>BaselineData!$E$81*(U28+U27)</f>
        <v>0</v>
      </c>
      <c r="V78" s="370">
        <f>BaselineData!$E$81*(V28+V27)</f>
        <v>0</v>
      </c>
      <c r="W78" s="370">
        <f>BaselineData!$E$81*(W28+W27)</f>
        <v>0</v>
      </c>
      <c r="X78" s="370">
        <f>BaselineData!$E$81*(X28+X27)</f>
        <v>0</v>
      </c>
      <c r="Y78" s="370">
        <f>BaselineData!$E$81*(Y28+Y27)</f>
        <v>0</v>
      </c>
      <c r="Z78" s="370">
        <f>BaselineData!$E$81*(Z28+Z27)</f>
        <v>0</v>
      </c>
      <c r="AA78" s="370"/>
      <c r="AB78" s="370"/>
      <c r="AC78" s="370" t="e">
        <f>BaselineData!$E$81*(AC28+AC27)</f>
        <v>#VALUE!</v>
      </c>
      <c r="AD78" s="370">
        <f>BaselineData!$E$81*(AD28+AD27)</f>
        <v>0</v>
      </c>
      <c r="AE78" s="370">
        <f>BaselineData!$E$81*(AE28+AE27)</f>
        <v>0</v>
      </c>
      <c r="AF78" s="370">
        <f>BaselineData!$E$81*(AF28+AF27)</f>
        <v>0</v>
      </c>
      <c r="AG78" s="370">
        <f>BaselineData!$E$81*(AG28+AG27)</f>
        <v>0</v>
      </c>
      <c r="AH78" s="370">
        <f>BaselineData!$E$81*(AH28+AH27)</f>
        <v>0</v>
      </c>
      <c r="AI78" s="370">
        <f>BaselineData!$E$81*(AI28+AI27)</f>
        <v>0</v>
      </c>
      <c r="AJ78" s="370">
        <f>BaselineData!$E$81*(AJ28+AJ27)</f>
        <v>0</v>
      </c>
      <c r="AK78" s="370" t="e">
        <f>BaselineData!$E$81*(AK28+AK27)</f>
        <v>#VALUE!</v>
      </c>
      <c r="AL78" s="370">
        <f>BaselineData!$E$81*(AL28+AL27)</f>
        <v>0</v>
      </c>
      <c r="AM78" s="370">
        <f>BaselineData!$E$81*(AM28+AM27)</f>
        <v>0</v>
      </c>
      <c r="AN78" s="370">
        <f>BaselineData!$E$81*(AN28+AN27)</f>
        <v>0</v>
      </c>
      <c r="AO78" s="370">
        <f>BaselineData!$E$81*(AO28+AO27)</f>
        <v>0</v>
      </c>
      <c r="AP78" s="370">
        <f>BaselineData!$E$81*(AP28+AP27)</f>
        <v>0</v>
      </c>
      <c r="AQ78" s="370">
        <f>BaselineData!$E$81*(AQ28+AQ27)</f>
        <v>0</v>
      </c>
      <c r="AR78" s="370">
        <f>BaselineData!$E$81*(AR28+AR27)</f>
        <v>0</v>
      </c>
      <c r="AS78" s="370">
        <f>BaselineData!$E$81*(AS28+AS27)</f>
        <v>0</v>
      </c>
      <c r="AT78" s="370">
        <f>BaselineData!$E$81*(AT28+AT27)</f>
        <v>0</v>
      </c>
      <c r="AU78" s="370">
        <f>BaselineData!$E$81*(AU28+AU27)</f>
        <v>0</v>
      </c>
      <c r="AV78" s="370">
        <f>BaselineData!$E$81*(AV28+AV27)</f>
        <v>0</v>
      </c>
      <c r="AW78" s="370">
        <f>BaselineData!$E$81*(AW28+AW27)</f>
        <v>0</v>
      </c>
      <c r="AX78" s="370"/>
      <c r="AY78" s="370"/>
      <c r="AZ78" s="370" t="e">
        <f>BaselineData!$E$81*(AZ28+AZ27)</f>
        <v>#VALUE!</v>
      </c>
      <c r="BA78" s="370">
        <f>BaselineData!$E$81*(BA28+BA27)</f>
        <v>0</v>
      </c>
      <c r="BB78" s="370">
        <f>BaselineData!$E$81*(BB28+BB27)</f>
        <v>0</v>
      </c>
      <c r="BC78" s="370">
        <f>BaselineData!$E$81*(BC28+BC27)</f>
        <v>0</v>
      </c>
      <c r="BD78" s="370">
        <f>BaselineData!$E$81*(BD28+BD27)</f>
        <v>0</v>
      </c>
      <c r="BE78" s="370">
        <f>BaselineData!$E$81*(BE28+BE27)</f>
        <v>0</v>
      </c>
      <c r="BF78" s="370">
        <f>BaselineData!$E$81*(BF28+BF27)</f>
        <v>0</v>
      </c>
      <c r="BG78" s="370">
        <f>BaselineData!$E$81*(BG28+BG27)</f>
        <v>0</v>
      </c>
      <c r="BH78" s="370" t="e">
        <f>BaselineData!$E$81*(BH28+BH27)</f>
        <v>#VALUE!</v>
      </c>
      <c r="BI78" s="370">
        <f>BaselineData!$E$81*(BI28+BI27)</f>
        <v>0</v>
      </c>
      <c r="BJ78" s="370">
        <f>BaselineData!$E$81*(BJ28+BJ27)</f>
        <v>0</v>
      </c>
      <c r="BK78" s="370">
        <f>BaselineData!$E$81*(BK28+BK27)</f>
        <v>0</v>
      </c>
      <c r="BL78" s="370">
        <f>BaselineData!$E$81*(BL28+BL27)</f>
        <v>0</v>
      </c>
      <c r="BM78" s="370">
        <f>BaselineData!$E$81*(BM28+BM27)</f>
        <v>0</v>
      </c>
      <c r="BN78" s="370">
        <f>BaselineData!$E$81*(BN28+BN27)</f>
        <v>0</v>
      </c>
      <c r="BO78" s="370">
        <f>BaselineData!$E$81*(BO28+BO27)</f>
        <v>0</v>
      </c>
      <c r="BP78" s="370">
        <f>BaselineData!$E$81*(BP28+BP27)</f>
        <v>0</v>
      </c>
      <c r="BQ78" s="370">
        <f>BaselineData!$E$81*(BQ28+BQ27)</f>
        <v>0</v>
      </c>
      <c r="BR78" s="370">
        <f>BaselineData!$E$81*(BR28+BR27)</f>
        <v>0</v>
      </c>
      <c r="BS78" s="370">
        <f>BaselineData!$E$81*(BS28+BS27)</f>
        <v>0</v>
      </c>
      <c r="BT78" s="370">
        <f>BaselineData!$E$81*(BT28+BT27)</f>
        <v>0</v>
      </c>
    </row>
    <row r="79" spans="1:72">
      <c r="A79" s="17"/>
      <c r="B79" s="17"/>
      <c r="E79" s="60" t="s">
        <v>28</v>
      </c>
      <c r="F79" s="370" t="e">
        <f>BaselineData!$E$82*(F28+F27)</f>
        <v>#VALUE!</v>
      </c>
      <c r="G79" s="370">
        <f>BaselineData!$E$82*(G28+G27)</f>
        <v>0</v>
      </c>
      <c r="H79" s="370">
        <f>BaselineData!$E$82*(H28+H27)</f>
        <v>0</v>
      </c>
      <c r="I79" s="370">
        <f>BaselineData!$E$82*(I28+I27)</f>
        <v>0</v>
      </c>
      <c r="J79" s="370">
        <f>BaselineData!$E$82*(J28+J27)</f>
        <v>0</v>
      </c>
      <c r="K79" s="370">
        <f>BaselineData!$E$82*(K28+K27)</f>
        <v>0</v>
      </c>
      <c r="L79" s="370">
        <f>BaselineData!$E$82*(L28+L27)</f>
        <v>0</v>
      </c>
      <c r="M79" s="370">
        <f>BaselineData!$E$82*(M28+M27)</f>
        <v>0</v>
      </c>
      <c r="N79" s="370" t="e">
        <f>BaselineData!$E$82*(N28+N27)</f>
        <v>#VALUE!</v>
      </c>
      <c r="O79" s="370">
        <f>BaselineData!$E$82*(O28+O27)</f>
        <v>0</v>
      </c>
      <c r="P79" s="370">
        <f>BaselineData!$E$82*(P28+P27)</f>
        <v>0</v>
      </c>
      <c r="Q79" s="370">
        <f>BaselineData!$E$82*(Q28+Q27)</f>
        <v>0</v>
      </c>
      <c r="R79" s="370">
        <f>BaselineData!$E$82*(R28+R27)</f>
        <v>0</v>
      </c>
      <c r="S79" s="370">
        <f>BaselineData!$E$82*(S28+S27)</f>
        <v>0</v>
      </c>
      <c r="T79" s="370">
        <f>BaselineData!$E$82*(T28+T27)</f>
        <v>0</v>
      </c>
      <c r="U79" s="370">
        <f>BaselineData!$E$82*(U28+U27)</f>
        <v>0</v>
      </c>
      <c r="V79" s="370">
        <f>BaselineData!$E$82*(V28+V27)</f>
        <v>0</v>
      </c>
      <c r="W79" s="370">
        <f>BaselineData!$E$82*(W28+W27)</f>
        <v>0</v>
      </c>
      <c r="X79" s="370">
        <f>BaselineData!$E$82*(X28+X27)</f>
        <v>0</v>
      </c>
      <c r="Y79" s="370">
        <f>BaselineData!$E$82*(Y28+Y27)</f>
        <v>0</v>
      </c>
      <c r="Z79" s="370">
        <f>BaselineData!$E$82*(Z28+Z27)</f>
        <v>0</v>
      </c>
      <c r="AA79" s="370"/>
      <c r="AB79" s="370"/>
      <c r="AC79" s="370" t="e">
        <f>BaselineData!$E$82*(AC28+AC27)</f>
        <v>#VALUE!</v>
      </c>
      <c r="AD79" s="370">
        <f>BaselineData!$E$82*(AD28+AD27)</f>
        <v>0</v>
      </c>
      <c r="AE79" s="370">
        <f>BaselineData!$E$82*(AE28+AE27)</f>
        <v>0</v>
      </c>
      <c r="AF79" s="370">
        <f>BaselineData!$E$82*(AF28+AF27)</f>
        <v>0</v>
      </c>
      <c r="AG79" s="370">
        <f>BaselineData!$E$82*(AG28+AG27)</f>
        <v>0</v>
      </c>
      <c r="AH79" s="370">
        <f>BaselineData!$E$82*(AH28+AH27)</f>
        <v>0</v>
      </c>
      <c r="AI79" s="370">
        <f>BaselineData!$E$82*(AI28+AI27)</f>
        <v>0</v>
      </c>
      <c r="AJ79" s="370">
        <f>BaselineData!$E$82*(AJ28+AJ27)</f>
        <v>0</v>
      </c>
      <c r="AK79" s="370" t="e">
        <f>BaselineData!$E$82*(AK28+AK27)</f>
        <v>#VALUE!</v>
      </c>
      <c r="AL79" s="370">
        <f>BaselineData!$E$82*(AL28+AL27)</f>
        <v>0</v>
      </c>
      <c r="AM79" s="370">
        <f>BaselineData!$E$82*(AM28+AM27)</f>
        <v>0</v>
      </c>
      <c r="AN79" s="370">
        <f>BaselineData!$E$82*(AN28+AN27)</f>
        <v>0</v>
      </c>
      <c r="AO79" s="370">
        <f>BaselineData!$E$82*(AO28+AO27)</f>
        <v>0</v>
      </c>
      <c r="AP79" s="370">
        <f>BaselineData!$E$82*(AP28+AP27)</f>
        <v>0</v>
      </c>
      <c r="AQ79" s="370">
        <f>BaselineData!$E$82*(AQ28+AQ27)</f>
        <v>0</v>
      </c>
      <c r="AR79" s="370">
        <f>BaselineData!$E$82*(AR28+AR27)</f>
        <v>0</v>
      </c>
      <c r="AS79" s="370">
        <f>BaselineData!$E$82*(AS28+AS27)</f>
        <v>0</v>
      </c>
      <c r="AT79" s="370">
        <f>BaselineData!$E$82*(AT28+AT27)</f>
        <v>0</v>
      </c>
      <c r="AU79" s="370">
        <f>BaselineData!$E$82*(AU28+AU27)</f>
        <v>0</v>
      </c>
      <c r="AV79" s="370">
        <f>BaselineData!$E$82*(AV28+AV27)</f>
        <v>0</v>
      </c>
      <c r="AW79" s="370">
        <f>BaselineData!$E$82*(AW28+AW27)</f>
        <v>0</v>
      </c>
      <c r="AX79" s="370"/>
      <c r="AY79" s="370"/>
      <c r="AZ79" s="370" t="e">
        <f>BaselineData!$E$82*(AZ28+AZ27)</f>
        <v>#VALUE!</v>
      </c>
      <c r="BA79" s="370">
        <f>BaselineData!$E$82*(BA28+BA27)</f>
        <v>0</v>
      </c>
      <c r="BB79" s="370">
        <f>BaselineData!$E$82*(BB28+BB27)</f>
        <v>0</v>
      </c>
      <c r="BC79" s="370">
        <f>BaselineData!$E$82*(BC28+BC27)</f>
        <v>0</v>
      </c>
      <c r="BD79" s="370">
        <f>BaselineData!$E$82*(BD28+BD27)</f>
        <v>0</v>
      </c>
      <c r="BE79" s="370">
        <f>BaselineData!$E$82*(BE28+BE27)</f>
        <v>0</v>
      </c>
      <c r="BF79" s="370">
        <f>BaselineData!$E$82*(BF28+BF27)</f>
        <v>0</v>
      </c>
      <c r="BG79" s="370">
        <f>BaselineData!$E$82*(BG28+BG27)</f>
        <v>0</v>
      </c>
      <c r="BH79" s="370" t="e">
        <f>BaselineData!$E$82*(BH28+BH27)</f>
        <v>#VALUE!</v>
      </c>
      <c r="BI79" s="370">
        <f>BaselineData!$E$82*(BI28+BI27)</f>
        <v>0</v>
      </c>
      <c r="BJ79" s="370">
        <f>BaselineData!$E$82*(BJ28+BJ27)</f>
        <v>0</v>
      </c>
      <c r="BK79" s="370">
        <f>BaselineData!$E$82*(BK28+BK27)</f>
        <v>0</v>
      </c>
      <c r="BL79" s="370">
        <f>BaselineData!$E$82*(BL28+BL27)</f>
        <v>0</v>
      </c>
      <c r="BM79" s="370">
        <f>BaselineData!$E$82*(BM28+BM27)</f>
        <v>0</v>
      </c>
      <c r="BN79" s="370">
        <f>BaselineData!$E$82*(BN28+BN27)</f>
        <v>0</v>
      </c>
      <c r="BO79" s="370">
        <f>BaselineData!$E$82*(BO28+BO27)</f>
        <v>0</v>
      </c>
      <c r="BP79" s="370">
        <f>BaselineData!$E$82*(BP28+BP27)</f>
        <v>0</v>
      </c>
      <c r="BQ79" s="370">
        <f>BaselineData!$E$82*(BQ28+BQ27)</f>
        <v>0</v>
      </c>
      <c r="BR79" s="370">
        <f>BaselineData!$E$82*(BR28+BR27)</f>
        <v>0</v>
      </c>
      <c r="BS79" s="370">
        <f>BaselineData!$E$82*(BS28+BS27)</f>
        <v>0</v>
      </c>
      <c r="BT79" s="370">
        <f>BaselineData!$E$82*(BT28+BT27)</f>
        <v>0</v>
      </c>
    </row>
    <row r="80" spans="1:72">
      <c r="A80" s="17"/>
      <c r="B80" s="17"/>
      <c r="F80" s="86"/>
      <c r="L80" s="86"/>
      <c r="N80" s="86"/>
      <c r="O80" s="86"/>
      <c r="P80" s="86"/>
      <c r="Q80" s="86"/>
      <c r="R80" s="86"/>
      <c r="S80" s="86"/>
      <c r="T80" s="86"/>
      <c r="U80" s="86"/>
      <c r="V80" s="86"/>
      <c r="W80" s="86"/>
      <c r="X80" s="86"/>
      <c r="Y80" s="86"/>
      <c r="Z80" s="86"/>
      <c r="AA80" s="86"/>
      <c r="AB80" s="86"/>
      <c r="AC80" s="86"/>
      <c r="AD80" s="86"/>
      <c r="AE80" s="86"/>
      <c r="AF80" s="86"/>
      <c r="AG80" s="86"/>
      <c r="AH80" s="86"/>
      <c r="AI80" s="86"/>
      <c r="AJ80" s="86"/>
      <c r="AK80" s="86"/>
      <c r="AL80" s="86"/>
      <c r="AM80" s="86"/>
      <c r="AN80" s="86"/>
      <c r="AO80" s="86"/>
      <c r="AP80" s="86"/>
      <c r="AQ80" s="86"/>
      <c r="AR80" s="86"/>
      <c r="AS80" s="86"/>
      <c r="AT80" s="86"/>
      <c r="AU80" s="86"/>
      <c r="AV80" s="86"/>
      <c r="AW80" s="86"/>
      <c r="AX80" s="86"/>
      <c r="AY80" s="86"/>
      <c r="AZ80" s="86"/>
      <c r="BA80" s="86"/>
      <c r="BB80" s="86"/>
      <c r="BC80" s="86"/>
      <c r="BD80" s="86"/>
      <c r="BE80" s="86"/>
      <c r="BF80" s="86"/>
      <c r="BG80" s="86"/>
      <c r="BH80" s="86"/>
      <c r="BI80" s="86"/>
      <c r="BJ80" s="86"/>
      <c r="BK80" s="86"/>
      <c r="BL80" s="86"/>
      <c r="BM80" s="86"/>
      <c r="BN80" s="86"/>
      <c r="BO80" s="86"/>
      <c r="BP80" s="86"/>
      <c r="BQ80" s="86"/>
      <c r="BR80" s="86"/>
      <c r="BS80" s="86"/>
      <c r="BT80" s="86"/>
    </row>
    <row r="81" spans="1:72" ht="19">
      <c r="A81" s="17"/>
      <c r="B81" s="17"/>
      <c r="E81" s="311" t="s">
        <v>196</v>
      </c>
      <c r="F81" s="374"/>
      <c r="G81" s="374"/>
      <c r="H81" s="374"/>
      <c r="I81" s="374"/>
      <c r="J81" s="374"/>
      <c r="K81" s="374"/>
      <c r="L81" s="374"/>
      <c r="M81" s="374"/>
      <c r="N81" s="374"/>
      <c r="O81" s="374"/>
      <c r="P81" s="374"/>
      <c r="Q81" s="374"/>
      <c r="R81" s="374"/>
      <c r="S81" s="374"/>
      <c r="T81" s="374"/>
      <c r="U81" s="374"/>
      <c r="V81" s="374"/>
      <c r="W81" s="374"/>
      <c r="X81" s="374"/>
      <c r="Y81" s="374"/>
      <c r="Z81" s="374"/>
      <c r="AA81" s="374"/>
      <c r="AB81" s="374"/>
      <c r="AC81" s="374"/>
      <c r="AD81" s="374"/>
      <c r="AE81" s="374"/>
      <c r="AF81" s="374"/>
      <c r="AG81" s="374"/>
      <c r="AH81" s="374"/>
      <c r="AI81" s="374"/>
      <c r="AJ81" s="374"/>
      <c r="AK81" s="374"/>
      <c r="AL81" s="374"/>
      <c r="AM81" s="374"/>
      <c r="AN81" s="374"/>
      <c r="AO81" s="374"/>
      <c r="AP81" s="374"/>
      <c r="AQ81" s="374"/>
      <c r="AR81" s="374"/>
      <c r="AS81" s="374"/>
      <c r="AT81" s="374"/>
      <c r="AU81" s="374"/>
      <c r="AV81" s="374"/>
      <c r="AW81" s="374"/>
      <c r="AX81" s="374"/>
      <c r="AY81" s="374"/>
      <c r="AZ81" s="374"/>
      <c r="BA81" s="374"/>
      <c r="BB81" s="374"/>
      <c r="BC81" s="374"/>
      <c r="BD81" s="374"/>
      <c r="BE81" s="374"/>
      <c r="BF81" s="374"/>
      <c r="BG81" s="374"/>
      <c r="BH81" s="374"/>
      <c r="BI81" s="374"/>
      <c r="BJ81" s="374"/>
      <c r="BK81" s="374"/>
      <c r="BL81" s="374"/>
      <c r="BM81" s="374"/>
      <c r="BN81" s="374"/>
      <c r="BO81" s="374"/>
      <c r="BP81" s="374"/>
      <c r="BQ81" s="374"/>
      <c r="BR81" s="374"/>
      <c r="BS81" s="374"/>
      <c r="BT81" s="374"/>
    </row>
    <row r="82" spans="1:72">
      <c r="A82" s="17"/>
      <c r="B82" s="17"/>
      <c r="F82" s="86"/>
      <c r="L82" s="86"/>
      <c r="N82" s="86"/>
      <c r="O82" s="86"/>
      <c r="P82" s="86"/>
      <c r="Q82" s="86"/>
      <c r="R82" s="86"/>
      <c r="S82" s="86"/>
      <c r="T82" s="86"/>
      <c r="U82" s="86"/>
      <c r="V82" s="86"/>
      <c r="W82" s="86"/>
      <c r="X82" s="86"/>
      <c r="Y82" s="86"/>
      <c r="Z82" s="86"/>
      <c r="AA82" s="86"/>
      <c r="AB82" s="86"/>
      <c r="AC82" s="86"/>
      <c r="AD82" s="86"/>
      <c r="AE82" s="86"/>
      <c r="AF82" s="86"/>
      <c r="AG82" s="86"/>
      <c r="AH82" s="86"/>
      <c r="AI82" s="86"/>
      <c r="AJ82" s="86"/>
      <c r="AK82" s="86"/>
      <c r="AL82" s="86"/>
      <c r="AM82" s="86"/>
      <c r="AN82" s="86"/>
      <c r="AO82" s="86"/>
      <c r="AP82" s="86"/>
      <c r="AQ82" s="86"/>
      <c r="AR82" s="86"/>
      <c r="AS82" s="86"/>
      <c r="AT82" s="86"/>
      <c r="AU82" s="86"/>
      <c r="AV82" s="86"/>
      <c r="AW82" s="86"/>
      <c r="AX82" s="86"/>
      <c r="AY82" s="86"/>
      <c r="AZ82" s="86"/>
      <c r="BA82" s="86"/>
      <c r="BB82" s="86"/>
      <c r="BC82" s="86"/>
      <c r="BD82" s="86"/>
      <c r="BE82" s="86"/>
      <c r="BF82" s="86"/>
      <c r="BG82" s="86"/>
      <c r="BH82" s="86"/>
      <c r="BI82" s="86"/>
      <c r="BJ82" s="86"/>
      <c r="BK82" s="86"/>
      <c r="BL82" s="86"/>
      <c r="BM82" s="86"/>
      <c r="BN82" s="86"/>
      <c r="BO82" s="86"/>
      <c r="BP82" s="86"/>
      <c r="BQ82" s="86"/>
      <c r="BR82" s="86"/>
      <c r="BS82" s="86"/>
      <c r="BT82" s="86"/>
    </row>
    <row r="83" spans="1:72">
      <c r="A83" s="17"/>
      <c r="B83" s="17"/>
      <c r="E83" s="284" t="s">
        <v>259</v>
      </c>
      <c r="F83" s="301" t="e">
        <f>SUM(F68:F70)+SUM(F76:F78)</f>
        <v>#N/A</v>
      </c>
      <c r="G83" s="301">
        <f t="shared" ref="G83:AI83" si="69">SUM(G68:G70)+SUM(G76:G78)</f>
        <v>25682.61338578779</v>
      </c>
      <c r="H83" s="301">
        <f t="shared" si="69"/>
        <v>46132.118063863076</v>
      </c>
      <c r="I83" s="301">
        <f t="shared" si="69"/>
        <v>12738.639231212715</v>
      </c>
      <c r="J83" s="301">
        <f t="shared" si="69"/>
        <v>21829.939271349991</v>
      </c>
      <c r="K83" s="301">
        <f t="shared" si="69"/>
        <v>20485.411961027137</v>
      </c>
      <c r="L83" s="301">
        <f t="shared" si="69"/>
        <v>12565.645546132375</v>
      </c>
      <c r="M83" s="301">
        <f t="shared" si="69"/>
        <v>13180.24105684031</v>
      </c>
      <c r="N83" s="301" t="e">
        <f t="shared" si="69"/>
        <v>#N/A</v>
      </c>
      <c r="O83" s="301">
        <f t="shared" si="69"/>
        <v>12125.683204587134</v>
      </c>
      <c r="P83" s="301">
        <f t="shared" si="69"/>
        <v>12095.366407789859</v>
      </c>
      <c r="Q83" s="301">
        <f t="shared" si="69"/>
        <v>12056.489012663942</v>
      </c>
      <c r="R83" s="301">
        <f t="shared" si="69"/>
        <v>12012.037988868578</v>
      </c>
      <c r="S83" s="301">
        <f t="shared" si="69"/>
        <v>11964.192122816567</v>
      </c>
      <c r="T83" s="301">
        <f t="shared" si="69"/>
        <v>11912.873904535742</v>
      </c>
      <c r="U83" s="301">
        <f t="shared" si="69"/>
        <v>11857.618746814867</v>
      </c>
      <c r="V83" s="301">
        <f t="shared" si="69"/>
        <v>11797.759780320224</v>
      </c>
      <c r="W83" s="301">
        <f t="shared" si="69"/>
        <v>11732.829582109891</v>
      </c>
      <c r="X83" s="301">
        <f t="shared" si="69"/>
        <v>11662.676913213778</v>
      </c>
      <c r="Y83" s="301">
        <f t="shared" si="69"/>
        <v>11587.502637889029</v>
      </c>
      <c r="Z83" s="301">
        <f t="shared" si="69"/>
        <v>11507.215067510038</v>
      </c>
      <c r="AA83" s="301"/>
      <c r="AB83" s="301"/>
      <c r="AC83" s="301" t="e">
        <f t="shared" si="69"/>
        <v>#N/A</v>
      </c>
      <c r="AD83" s="301">
        <f t="shared" si="69"/>
        <v>18989.814256483543</v>
      </c>
      <c r="AE83" s="301">
        <f t="shared" si="69"/>
        <v>38639.498616423421</v>
      </c>
      <c r="AF83" s="301">
        <f t="shared" si="69"/>
        <v>7453.469212</v>
      </c>
      <c r="AG83" s="301">
        <f t="shared" si="69"/>
        <v>15444.967856844163</v>
      </c>
      <c r="AH83" s="301">
        <f t="shared" si="69"/>
        <v>14145.051737819973</v>
      </c>
      <c r="AI83" s="301">
        <f t="shared" si="69"/>
        <v>7392.496349</v>
      </c>
      <c r="AJ83" s="301">
        <f>SUM(AJ68:AJ70)+SUM(AJ76:AJ78)</f>
        <v>7385.3236449999995</v>
      </c>
      <c r="AK83" s="301" t="e">
        <f t="shared" ref="AK83:BC83" si="70">SUM(AK68:AK70)+SUM(AK76:AK78)</f>
        <v>#N/A</v>
      </c>
      <c r="AL83" s="301">
        <f t="shared" si="70"/>
        <v>7363.3319829999991</v>
      </c>
      <c r="AM83" s="301">
        <f t="shared" si="70"/>
        <v>7344.9220809999997</v>
      </c>
      <c r="AN83" s="301">
        <f t="shared" si="70"/>
        <v>7321.3137479999996</v>
      </c>
      <c r="AO83" s="301">
        <f t="shared" si="70"/>
        <v>7294.3208239999994</v>
      </c>
      <c r="AP83" s="301">
        <f t="shared" si="70"/>
        <v>7265.2663789999997</v>
      </c>
      <c r="AQ83" s="301">
        <f t="shared" si="70"/>
        <v>7234.1033449999995</v>
      </c>
      <c r="AR83" s="301">
        <f t="shared" si="70"/>
        <v>7200.5496009999997</v>
      </c>
      <c r="AS83" s="301">
        <f t="shared" si="70"/>
        <v>7164.2001899999996</v>
      </c>
      <c r="AT83" s="301">
        <f t="shared" si="70"/>
        <v>7124.7712689999998</v>
      </c>
      <c r="AU83" s="301">
        <f t="shared" si="70"/>
        <v>7082.1709979999996</v>
      </c>
      <c r="AV83" s="301">
        <f t="shared" si="70"/>
        <v>7036.5213519999998</v>
      </c>
      <c r="AW83" s="301">
        <f t="shared" si="70"/>
        <v>6987.7666529999997</v>
      </c>
      <c r="AX83" s="301"/>
      <c r="AY83" s="301"/>
      <c r="AZ83" s="301" t="e">
        <f t="shared" si="70"/>
        <v>#N/A</v>
      </c>
      <c r="BA83" s="301">
        <f t="shared" si="70"/>
        <v>32651.749427318642</v>
      </c>
      <c r="BB83" s="301">
        <f t="shared" si="70"/>
        <v>53782.909629784161</v>
      </c>
      <c r="BC83" s="301">
        <f t="shared" si="70"/>
        <v>19031.199053811863</v>
      </c>
      <c r="BD83" s="301">
        <f>SUM(BD68:BD70)+SUM(BD76:BD78)</f>
        <v>28302.44629061559</v>
      </c>
      <c r="BE83" s="301">
        <f t="shared" ref="BE83:BT83" si="71">SUM(BE68:BE70)+SUM(BE76:BE78)</f>
        <v>26931.911607461363</v>
      </c>
      <c r="BF83" s="301">
        <f t="shared" si="71"/>
        <v>18757.065412097494</v>
      </c>
      <c r="BG83" s="301">
        <f t="shared" si="71"/>
        <v>19379.388910187794</v>
      </c>
      <c r="BH83" s="301" t="e">
        <f t="shared" si="71"/>
        <v>#N/A</v>
      </c>
      <c r="BI83" s="301">
        <f t="shared" si="71"/>
        <v>17745.236645576355</v>
      </c>
      <c r="BJ83" s="301">
        <f t="shared" si="71"/>
        <v>17700.869765423988</v>
      </c>
      <c r="BK83" s="301">
        <f t="shared" si="71"/>
        <v>17643.97494432129</v>
      </c>
      <c r="BL83" s="301">
        <f t="shared" si="71"/>
        <v>17578.923439752172</v>
      </c>
      <c r="BM83" s="301">
        <f t="shared" si="71"/>
        <v>17508.903779723092</v>
      </c>
      <c r="BN83" s="301">
        <f t="shared" si="71"/>
        <v>17433.802532868969</v>
      </c>
      <c r="BO83" s="301">
        <f t="shared" si="71"/>
        <v>17352.939802653927</v>
      </c>
      <c r="BP83" s="301">
        <f t="shared" si="71"/>
        <v>17265.339664345418</v>
      </c>
      <c r="BQ83" s="301">
        <f t="shared" si="71"/>
        <v>17170.318071479567</v>
      </c>
      <c r="BR83" s="301">
        <f t="shared" si="71"/>
        <v>17067.653694563516</v>
      </c>
      <c r="BS83" s="301">
        <f t="shared" si="71"/>
        <v>16957.64048682998</v>
      </c>
      <c r="BT83" s="301">
        <f t="shared" si="71"/>
        <v>16840.144267273907</v>
      </c>
    </row>
    <row r="84" spans="1:72">
      <c r="A84" s="17"/>
      <c r="B84" s="17"/>
      <c r="E84" s="34" t="s">
        <v>260</v>
      </c>
      <c r="F84" s="281" t="e">
        <f>IFERROR(F71+F79,#N/A)</f>
        <v>#N/A</v>
      </c>
      <c r="G84" s="281">
        <f t="shared" ref="G84:AI84" si="72">IFERROR(G71+G79,#N/A)</f>
        <v>7541.2299700975045</v>
      </c>
      <c r="H84" s="281">
        <f t="shared" si="72"/>
        <v>16046.632997177485</v>
      </c>
      <c r="I84" s="281">
        <f t="shared" si="72"/>
        <v>2192.2616346676891</v>
      </c>
      <c r="J84" s="281">
        <f t="shared" si="72"/>
        <v>6001.616529443766</v>
      </c>
      <c r="K84" s="281">
        <f t="shared" si="72"/>
        <v>5448.5936219524556</v>
      </c>
      <c r="L84" s="281">
        <f t="shared" si="72"/>
        <v>2143.9835305866586</v>
      </c>
      <c r="M84" s="281">
        <f t="shared" si="72"/>
        <v>2403.0750613528521</v>
      </c>
      <c r="N84" s="281" t="e">
        <f t="shared" si="72"/>
        <v>#N/A</v>
      </c>
      <c r="O84" s="281">
        <f t="shared" si="72"/>
        <v>1953.6143297383094</v>
      </c>
      <c r="P84" s="281">
        <f t="shared" si="72"/>
        <v>1948.7298768249661</v>
      </c>
      <c r="Q84" s="281">
        <f t="shared" si="72"/>
        <v>1942.4661937862936</v>
      </c>
      <c r="R84" s="281">
        <f t="shared" si="72"/>
        <v>1935.3045225144172</v>
      </c>
      <c r="S84" s="281">
        <f t="shared" si="72"/>
        <v>1927.5958954654616</v>
      </c>
      <c r="T84" s="281">
        <f t="shared" si="72"/>
        <v>1919.3278247169092</v>
      </c>
      <c r="U84" s="281">
        <f t="shared" si="72"/>
        <v>1910.4254588795261</v>
      </c>
      <c r="V84" s="281">
        <f t="shared" si="72"/>
        <v>1900.7813561321425</v>
      </c>
      <c r="W84" s="281">
        <f t="shared" si="72"/>
        <v>1890.3202082103105</v>
      </c>
      <c r="X84" s="281">
        <f t="shared" si="72"/>
        <v>1879.0176484359476</v>
      </c>
      <c r="Y84" s="281">
        <f t="shared" si="72"/>
        <v>1866.906038803382</v>
      </c>
      <c r="Z84" s="281">
        <f t="shared" si="72"/>
        <v>1853.9706070140264</v>
      </c>
      <c r="AA84" s="281"/>
      <c r="AB84" s="281"/>
      <c r="AC84" s="281" t="e">
        <f t="shared" si="72"/>
        <v>#N/A</v>
      </c>
      <c r="AD84" s="281">
        <f t="shared" si="72"/>
        <v>4745.6162333206048</v>
      </c>
      <c r="AE84" s="281">
        <f t="shared" si="72"/>
        <v>12896.979473984853</v>
      </c>
      <c r="AF84" s="281">
        <f t="shared" si="72"/>
        <v>0</v>
      </c>
      <c r="AG84" s="281">
        <f t="shared" si="72"/>
        <v>3339.0031149663955</v>
      </c>
      <c r="AH84" s="281">
        <f t="shared" si="72"/>
        <v>2805.2622383666085</v>
      </c>
      <c r="AI84" s="281">
        <f t="shared" si="72"/>
        <v>0</v>
      </c>
      <c r="AJ84" s="281">
        <f>IFERROR(AJ71+AJ79,#N/A)</f>
        <v>0</v>
      </c>
      <c r="AK84" s="281" t="e">
        <f t="shared" ref="AK84:BC84" si="73">IFERROR(AK71+AK79,#N/A)</f>
        <v>#N/A</v>
      </c>
      <c r="AL84" s="281">
        <f t="shared" si="73"/>
        <v>0</v>
      </c>
      <c r="AM84" s="281">
        <f t="shared" si="73"/>
        <v>0</v>
      </c>
      <c r="AN84" s="281">
        <f t="shared" si="73"/>
        <v>0</v>
      </c>
      <c r="AO84" s="281">
        <f t="shared" si="73"/>
        <v>0</v>
      </c>
      <c r="AP84" s="281">
        <f t="shared" si="73"/>
        <v>0</v>
      </c>
      <c r="AQ84" s="281">
        <f t="shared" si="73"/>
        <v>0</v>
      </c>
      <c r="AR84" s="281">
        <f t="shared" si="73"/>
        <v>0</v>
      </c>
      <c r="AS84" s="281">
        <f t="shared" si="73"/>
        <v>0</v>
      </c>
      <c r="AT84" s="281">
        <f t="shared" si="73"/>
        <v>0</v>
      </c>
      <c r="AU84" s="281">
        <f t="shared" si="73"/>
        <v>0</v>
      </c>
      <c r="AV84" s="281">
        <f t="shared" si="73"/>
        <v>0</v>
      </c>
      <c r="AW84" s="281">
        <f t="shared" si="73"/>
        <v>0</v>
      </c>
      <c r="AX84" s="281"/>
      <c r="AY84" s="281"/>
      <c r="AZ84" s="281" t="e">
        <f t="shared" si="73"/>
        <v>#N/A</v>
      </c>
      <c r="BA84" s="281">
        <f t="shared" si="73"/>
        <v>10458.748068101531</v>
      </c>
      <c r="BB84" s="281">
        <f t="shared" si="73"/>
        <v>19266.063195921917</v>
      </c>
      <c r="BC84" s="281">
        <f t="shared" si="73"/>
        <v>4813.4539546070437</v>
      </c>
      <c r="BD84" s="281">
        <f>IFERROR(BD71+BD79,#N/A)</f>
        <v>8702.8457477125594</v>
      </c>
      <c r="BE84" s="281">
        <f t="shared" ref="BE84:BT84" si="74">IFERROR(BE71+BE79,#N/A)</f>
        <v>8138.7477715786927</v>
      </c>
      <c r="BF84" s="281">
        <f t="shared" si="74"/>
        <v>4721.8243529710062</v>
      </c>
      <c r="BG84" s="281">
        <f t="shared" si="74"/>
        <v>4984.4739425799098</v>
      </c>
      <c r="BH84" s="281" t="e">
        <f t="shared" si="74"/>
        <v>#N/A</v>
      </c>
      <c r="BI84" s="281">
        <f t="shared" si="74"/>
        <v>4279.7851759476944</v>
      </c>
      <c r="BJ84" s="281">
        <f t="shared" si="74"/>
        <v>4269.0847992904755</v>
      </c>
      <c r="BK84" s="281">
        <f t="shared" si="74"/>
        <v>4255.3629415994856</v>
      </c>
      <c r="BL84" s="281">
        <f t="shared" si="74"/>
        <v>4239.6738600454564</v>
      </c>
      <c r="BM84" s="281">
        <f t="shared" si="74"/>
        <v>4222.7865618367823</v>
      </c>
      <c r="BN84" s="281">
        <f t="shared" si="74"/>
        <v>4204.6736896671355</v>
      </c>
      <c r="BO84" s="281">
        <f t="shared" si="74"/>
        <v>4185.1712665113828</v>
      </c>
      <c r="BP84" s="281">
        <f t="shared" si="74"/>
        <v>4164.043919447392</v>
      </c>
      <c r="BQ84" s="281">
        <f t="shared" si="74"/>
        <v>4141.1266705729686</v>
      </c>
      <c r="BR84" s="281">
        <f t="shared" si="74"/>
        <v>4116.3661397782034</v>
      </c>
      <c r="BS84" s="281">
        <f t="shared" si="74"/>
        <v>4089.83322252157</v>
      </c>
      <c r="BT84" s="281">
        <f t="shared" si="74"/>
        <v>4061.4955571114356</v>
      </c>
    </row>
    <row r="85" spans="1:72">
      <c r="A85" s="17"/>
      <c r="B85" s="17"/>
      <c r="E85" s="34" t="s">
        <v>261</v>
      </c>
      <c r="F85" s="302" t="e">
        <f>IFERROR(((SUM(F42:F45)+SUM(F55:F58)+F60)*100000)     /    (SUM(F67:F72)+SUM(F75:F79)), #N/A)</f>
        <v>#N/A</v>
      </c>
      <c r="G85" s="302">
        <f t="shared" ref="G85:AI85" si="75">IFERROR(((SUM(G42:G45)+SUM(G55:G58)+G60)*100000)     /    (SUM(G67:G72)+SUM(G75:G79)), #N/A)</f>
        <v>191.02143705905704</v>
      </c>
      <c r="H85" s="302">
        <f t="shared" si="75"/>
        <v>409.73081857015063</v>
      </c>
      <c r="I85" s="302">
        <f t="shared" si="75"/>
        <v>56.329606392239192</v>
      </c>
      <c r="J85" s="302">
        <f t="shared" si="75"/>
        <v>154.7478957665154</v>
      </c>
      <c r="K85" s="302">
        <f t="shared" si="75"/>
        <v>140.8566980530484</v>
      </c>
      <c r="L85" s="302">
        <f t="shared" si="75"/>
        <v>55.551910637487346</v>
      </c>
      <c r="M85" s="302">
        <f t="shared" si="75"/>
        <v>62.319066618691345</v>
      </c>
      <c r="N85" s="302" t="e">
        <f t="shared" si="75"/>
        <v>#N/A</v>
      </c>
      <c r="O85" s="302">
        <f t="shared" si="75"/>
        <v>50.913792447492739</v>
      </c>
      <c r="P85" s="302">
        <f t="shared" si="75"/>
        <v>50.913792447492732</v>
      </c>
      <c r="Q85" s="302">
        <f t="shared" si="75"/>
        <v>50.913792447492739</v>
      </c>
      <c r="R85" s="302">
        <f t="shared" si="75"/>
        <v>50.913792447492746</v>
      </c>
      <c r="S85" s="302">
        <f t="shared" si="75"/>
        <v>50.913792447492739</v>
      </c>
      <c r="T85" s="302">
        <f t="shared" si="75"/>
        <v>50.913792447492725</v>
      </c>
      <c r="U85" s="302">
        <f t="shared" si="75"/>
        <v>50.913792447492725</v>
      </c>
      <c r="V85" s="302">
        <f t="shared" si="75"/>
        <v>50.913792447492739</v>
      </c>
      <c r="W85" s="302">
        <f t="shared" si="75"/>
        <v>50.913792447492732</v>
      </c>
      <c r="X85" s="302">
        <f t="shared" si="75"/>
        <v>50.913792447492732</v>
      </c>
      <c r="Y85" s="302">
        <f t="shared" si="75"/>
        <v>50.913792447492732</v>
      </c>
      <c r="Z85" s="302">
        <f t="shared" si="75"/>
        <v>50.913792447492732</v>
      </c>
      <c r="AA85" s="302"/>
      <c r="AB85" s="302"/>
      <c r="AC85" s="302" t="e">
        <f t="shared" si="75"/>
        <v>#N/A</v>
      </c>
      <c r="AD85" s="302">
        <f t="shared" si="75"/>
        <v>120.25812504768489</v>
      </c>
      <c r="AE85" s="302">
        <f t="shared" si="75"/>
        <v>329.4802088498497</v>
      </c>
      <c r="AF85" s="302">
        <f t="shared" si="75"/>
        <v>0</v>
      </c>
      <c r="AG85" s="302">
        <f t="shared" si="75"/>
        <v>86.107770092967101</v>
      </c>
      <c r="AH85" s="302">
        <f t="shared" si="75"/>
        <v>72.534070587094732</v>
      </c>
      <c r="AI85" s="302">
        <f t="shared" si="75"/>
        <v>0</v>
      </c>
      <c r="AJ85" s="302">
        <f>IFERROR(((SUM(AJ42:AJ45)+SUM(AJ55:AJ58)+AJ60)*100000)     /    (SUM(AJ67:AJ72)+SUM(AJ75:AJ79)), #N/A)</f>
        <v>0</v>
      </c>
      <c r="AK85" s="302" t="e">
        <f t="shared" ref="AK85:BC85" si="76">IFERROR(((SUM(AK42:AK45)+SUM(AK55:AK58)+AK60)*100000)     /    (SUM(AK67:AK72)+SUM(AK75:AK79)), #N/A)</f>
        <v>#N/A</v>
      </c>
      <c r="AL85" s="302">
        <f t="shared" si="76"/>
        <v>0</v>
      </c>
      <c r="AM85" s="302">
        <f t="shared" si="76"/>
        <v>0</v>
      </c>
      <c r="AN85" s="302">
        <f t="shared" si="76"/>
        <v>0</v>
      </c>
      <c r="AO85" s="302">
        <f t="shared" si="76"/>
        <v>0</v>
      </c>
      <c r="AP85" s="302">
        <f t="shared" si="76"/>
        <v>0</v>
      </c>
      <c r="AQ85" s="302">
        <f t="shared" si="76"/>
        <v>0</v>
      </c>
      <c r="AR85" s="302">
        <f t="shared" si="76"/>
        <v>0</v>
      </c>
      <c r="AS85" s="302">
        <f t="shared" si="76"/>
        <v>0</v>
      </c>
      <c r="AT85" s="302">
        <f t="shared" si="76"/>
        <v>0</v>
      </c>
      <c r="AU85" s="302">
        <f t="shared" si="76"/>
        <v>0</v>
      </c>
      <c r="AV85" s="302">
        <f t="shared" si="76"/>
        <v>0</v>
      </c>
      <c r="AW85" s="302">
        <f t="shared" si="76"/>
        <v>0</v>
      </c>
      <c r="AX85" s="302"/>
      <c r="AY85" s="302"/>
      <c r="AZ85" s="302" t="e">
        <f t="shared" si="76"/>
        <v>#N/A</v>
      </c>
      <c r="BA85" s="302">
        <f t="shared" si="76"/>
        <v>264.84117086138548</v>
      </c>
      <c r="BB85" s="302">
        <f t="shared" si="76"/>
        <v>491.74441899787649</v>
      </c>
      <c r="BC85" s="302">
        <f t="shared" si="76"/>
        <v>123.62943093847079</v>
      </c>
      <c r="BD85" s="302">
        <f>IFERROR(((SUM(BD42:BD45)+SUM(BD55:BD58)+BD60)*100000)     /    (SUM(BD67:BD72)+SUM(BD75:BD79)), #N/A)</f>
        <v>224.37377759419405</v>
      </c>
      <c r="BE85" s="302">
        <f t="shared" ref="BE85:BT85" si="77">IFERROR(((SUM(BE42:BE45)+SUM(BE55:BE58)+BE60)*100000)     /    (SUM(BE67:BE72)+SUM(BE75:BE79)), #N/A)</f>
        <v>210.37767793722193</v>
      </c>
      <c r="BF85" s="302">
        <f t="shared" si="77"/>
        <v>122.29023174278481</v>
      </c>
      <c r="BG85" s="302">
        <f t="shared" si="77"/>
        <v>129.21283114557559</v>
      </c>
      <c r="BH85" s="302" t="e">
        <f t="shared" si="77"/>
        <v>#N/A</v>
      </c>
      <c r="BI85" s="302">
        <f t="shared" si="77"/>
        <v>111.43819653350256</v>
      </c>
      <c r="BJ85" s="302">
        <f t="shared" si="77"/>
        <v>111.43819653350259</v>
      </c>
      <c r="BK85" s="302">
        <f t="shared" si="77"/>
        <v>111.43819653350255</v>
      </c>
      <c r="BL85" s="302">
        <f t="shared" si="77"/>
        <v>111.43819653350259</v>
      </c>
      <c r="BM85" s="302">
        <f t="shared" si="77"/>
        <v>111.43819653350256</v>
      </c>
      <c r="BN85" s="302">
        <f t="shared" si="77"/>
        <v>111.43819653350256</v>
      </c>
      <c r="BO85" s="302">
        <f t="shared" si="77"/>
        <v>111.43819653350258</v>
      </c>
      <c r="BP85" s="302">
        <f t="shared" si="77"/>
        <v>111.43819653350255</v>
      </c>
      <c r="BQ85" s="302">
        <f t="shared" si="77"/>
        <v>111.43819653350255</v>
      </c>
      <c r="BR85" s="302">
        <f t="shared" si="77"/>
        <v>111.43819653350261</v>
      </c>
      <c r="BS85" s="302">
        <f t="shared" si="77"/>
        <v>111.43819653350256</v>
      </c>
      <c r="BT85" s="302">
        <f t="shared" si="77"/>
        <v>111.43819653350256</v>
      </c>
    </row>
    <row r="86" spans="1:72">
      <c r="A86" s="17"/>
      <c r="B86" s="17"/>
      <c r="E86" s="86" t="s">
        <v>262</v>
      </c>
      <c r="F86" s="268" t="e">
        <f>IFERROR(SUM(F42:F45)+SUM(F55:F58)+F60,#N/A)</f>
        <v>#N/A</v>
      </c>
      <c r="G86" s="268">
        <f t="shared" ref="G86:AI86" si="78">IFERROR(SUM(G42:G45)+SUM(G55:G58)+G60,#N/A)</f>
        <v>50295.457272985208</v>
      </c>
      <c r="H86" s="268">
        <f t="shared" si="78"/>
        <v>107053.18172123865</v>
      </c>
      <c r="I86" s="268">
        <f t="shared" si="78"/>
        <v>14628.95424977816</v>
      </c>
      <c r="J86" s="268">
        <f t="shared" si="78"/>
        <v>40018.520780499326</v>
      </c>
      <c r="K86" s="268">
        <f t="shared" si="78"/>
        <v>36332.117502967652</v>
      </c>
      <c r="L86" s="268">
        <f t="shared" si="78"/>
        <v>14308.965037198586</v>
      </c>
      <c r="M86" s="268">
        <f t="shared" si="78"/>
        <v>16036.462586527921</v>
      </c>
      <c r="N86" s="268" t="e">
        <f t="shared" si="78"/>
        <v>#N/A</v>
      </c>
      <c r="O86" s="268">
        <f t="shared" si="78"/>
        <v>13062.549000154952</v>
      </c>
      <c r="P86" s="268">
        <f t="shared" si="78"/>
        <v>13029.889838851581</v>
      </c>
      <c r="Q86" s="268">
        <f t="shared" si="78"/>
        <v>12988.0086623222</v>
      </c>
      <c r="R86" s="268">
        <f t="shared" si="78"/>
        <v>12940.123222249484</v>
      </c>
      <c r="S86" s="268">
        <f t="shared" si="78"/>
        <v>12888.580644465263</v>
      </c>
      <c r="T86" s="268">
        <f t="shared" si="78"/>
        <v>12833.297430349925</v>
      </c>
      <c r="U86" s="268">
        <f t="shared" si="78"/>
        <v>12773.773097323714</v>
      </c>
      <c r="V86" s="268">
        <f t="shared" si="78"/>
        <v>12709.28925177519</v>
      </c>
      <c r="W86" s="268">
        <f t="shared" si="78"/>
        <v>12639.342356297053</v>
      </c>
      <c r="X86" s="268">
        <f t="shared" si="78"/>
        <v>12563.769486753466</v>
      </c>
      <c r="Y86" s="268">
        <f t="shared" si="78"/>
        <v>12482.787026762331</v>
      </c>
      <c r="Z86" s="268">
        <f t="shared" si="78"/>
        <v>12396.296203566304</v>
      </c>
      <c r="AA86" s="268"/>
      <c r="AB86" s="268"/>
      <c r="AC86" s="268" t="e">
        <f t="shared" si="78"/>
        <v>#N/A</v>
      </c>
      <c r="AD86" s="268">
        <f t="shared" si="78"/>
        <v>31663.657666836552</v>
      </c>
      <c r="AE86" s="268">
        <f t="shared" si="78"/>
        <v>86085.554400432942</v>
      </c>
      <c r="AF86" s="268">
        <f t="shared" si="78"/>
        <v>0</v>
      </c>
      <c r="AG86" s="268">
        <f t="shared" si="78"/>
        <v>22267.867163939125</v>
      </c>
      <c r="AH86" s="268">
        <f t="shared" si="78"/>
        <v>18709.201706165102</v>
      </c>
      <c r="AI86" s="268">
        <f t="shared" si="78"/>
        <v>0</v>
      </c>
      <c r="AJ86" s="268">
        <f>IFERROR(SUM(AJ42:AJ45)+SUM(AJ55:AJ58)+AJ60,#N/A)</f>
        <v>0</v>
      </c>
      <c r="AK86" s="268" t="e">
        <f t="shared" ref="AK86:BC86" si="79">IFERROR(SUM(AK42:AK45)+SUM(AK55:AK58)+AK60,#N/A)</f>
        <v>#N/A</v>
      </c>
      <c r="AL86" s="268">
        <f t="shared" si="79"/>
        <v>0</v>
      </c>
      <c r="AM86" s="268">
        <f t="shared" si="79"/>
        <v>0</v>
      </c>
      <c r="AN86" s="268">
        <f t="shared" si="79"/>
        <v>0</v>
      </c>
      <c r="AO86" s="268">
        <f t="shared" si="79"/>
        <v>0</v>
      </c>
      <c r="AP86" s="268">
        <f t="shared" si="79"/>
        <v>0</v>
      </c>
      <c r="AQ86" s="268">
        <f t="shared" si="79"/>
        <v>0</v>
      </c>
      <c r="AR86" s="268">
        <f t="shared" si="79"/>
        <v>0</v>
      </c>
      <c r="AS86" s="268">
        <f t="shared" si="79"/>
        <v>0</v>
      </c>
      <c r="AT86" s="268">
        <f t="shared" si="79"/>
        <v>0</v>
      </c>
      <c r="AU86" s="268">
        <f t="shared" si="79"/>
        <v>0</v>
      </c>
      <c r="AV86" s="268">
        <f t="shared" si="79"/>
        <v>0</v>
      </c>
      <c r="AW86" s="268">
        <f t="shared" si="79"/>
        <v>0</v>
      </c>
      <c r="AX86" s="268"/>
      <c r="AY86" s="268"/>
      <c r="AZ86" s="268" t="e">
        <f t="shared" si="79"/>
        <v>#N/A</v>
      </c>
      <c r="BA86" s="268">
        <f t="shared" si="79"/>
        <v>69732.00494281709</v>
      </c>
      <c r="BB86" s="268">
        <f t="shared" si="79"/>
        <v>128481.43771828953</v>
      </c>
      <c r="BC86" s="268">
        <f t="shared" si="79"/>
        <v>32106.904431950254</v>
      </c>
      <c r="BD86" s="268">
        <f>IFERROR(SUM(BD42:BD45)+SUM(BD55:BD58)+BD60,#N/A)</f>
        <v>58024.095492711058</v>
      </c>
      <c r="BE86" s="268">
        <f t="shared" ref="BE86:BT86" si="80">IFERROR(SUM(BE42:BE45)+SUM(BE55:BE58)+BE60,#N/A)</f>
        <v>54264.132415896936</v>
      </c>
      <c r="BF86" s="268">
        <f t="shared" si="80"/>
        <v>31499.306330205596</v>
      </c>
      <c r="BG86" s="268">
        <f t="shared" si="80"/>
        <v>33250.124637519577</v>
      </c>
      <c r="BH86" s="268" t="e">
        <f t="shared" si="80"/>
        <v>#N/A</v>
      </c>
      <c r="BI86" s="268">
        <f t="shared" si="80"/>
        <v>28590.816608466172</v>
      </c>
      <c r="BJ86" s="268">
        <f t="shared" si="80"/>
        <v>28519.333462917792</v>
      </c>
      <c r="BK86" s="268">
        <f t="shared" si="80"/>
        <v>28427.665516831294</v>
      </c>
      <c r="BL86" s="268">
        <f t="shared" si="80"/>
        <v>28322.855664227609</v>
      </c>
      <c r="BM86" s="268">
        <f t="shared" si="80"/>
        <v>28210.041205966911</v>
      </c>
      <c r="BN86" s="268">
        <f t="shared" si="80"/>
        <v>28089.039383406911</v>
      </c>
      <c r="BO86" s="268">
        <f t="shared" si="80"/>
        <v>27958.754759075659</v>
      </c>
      <c r="BP86" s="268">
        <f t="shared" si="80"/>
        <v>27817.614940020081</v>
      </c>
      <c r="BQ86" s="268">
        <f t="shared" si="80"/>
        <v>27664.517802476461</v>
      </c>
      <c r="BR86" s="268">
        <f t="shared" si="80"/>
        <v>27499.106744215889</v>
      </c>
      <c r="BS86" s="268">
        <f t="shared" si="80"/>
        <v>27321.855377573629</v>
      </c>
      <c r="BT86" s="268">
        <f t="shared" si="80"/>
        <v>27132.547512448407</v>
      </c>
    </row>
    <row r="87" spans="1:72">
      <c r="A87" s="17"/>
      <c r="B87" s="17"/>
      <c r="E87" s="34" t="s">
        <v>263</v>
      </c>
      <c r="F87" s="281" t="e">
        <f>SUM(F42:F44)+SUM(F55:F57)</f>
        <v>#VALUE!</v>
      </c>
      <c r="G87" s="281">
        <f t="shared" ref="G87:AI87" si="81">SUM(G42:G44)+SUM(G55:G57)</f>
        <v>18141.009744067553</v>
      </c>
      <c r="H87" s="281">
        <f t="shared" si="81"/>
        <v>38666.394236743399</v>
      </c>
      <c r="I87" s="281">
        <f t="shared" si="81"/>
        <v>5289.7717911042046</v>
      </c>
      <c r="J87" s="281">
        <f t="shared" si="81"/>
        <v>14419.697034152803</v>
      </c>
      <c r="K87" s="281">
        <f t="shared" si="81"/>
        <v>13093.291974288521</v>
      </c>
      <c r="L87" s="281">
        <f t="shared" si="81"/>
        <v>5177.7133243782473</v>
      </c>
      <c r="M87" s="281">
        <f t="shared" si="81"/>
        <v>5799.9837438607801</v>
      </c>
      <c r="N87" s="281" t="e">
        <f t="shared" si="81"/>
        <v>#VALUE!</v>
      </c>
      <c r="O87" s="281">
        <f t="shared" si="81"/>
        <v>4767.217646315713</v>
      </c>
      <c r="P87" s="281">
        <f t="shared" si="81"/>
        <v>4755.2985844176528</v>
      </c>
      <c r="Q87" s="281">
        <f t="shared" si="81"/>
        <v>4740.0139195488773</v>
      </c>
      <c r="R87" s="281">
        <f t="shared" si="81"/>
        <v>4722.5379801350955</v>
      </c>
      <c r="S87" s="281">
        <f t="shared" si="81"/>
        <v>4703.727357005826</v>
      </c>
      <c r="T87" s="281">
        <f t="shared" si="81"/>
        <v>4683.5515770816655</v>
      </c>
      <c r="U87" s="281">
        <f t="shared" si="81"/>
        <v>4661.8279876976667</v>
      </c>
      <c r="V87" s="281">
        <f t="shared" si="81"/>
        <v>4638.2944088841014</v>
      </c>
      <c r="W87" s="281">
        <f t="shared" si="81"/>
        <v>4612.7670731072603</v>
      </c>
      <c r="X87" s="281">
        <f t="shared" si="81"/>
        <v>4585.186520700021</v>
      </c>
      <c r="Y87" s="281">
        <f t="shared" si="81"/>
        <v>4555.6317215327836</v>
      </c>
      <c r="Z87" s="281">
        <f t="shared" si="81"/>
        <v>4524.0666281823524</v>
      </c>
      <c r="AA87" s="281"/>
      <c r="AB87" s="281"/>
      <c r="AC87" s="281" t="e">
        <f t="shared" si="81"/>
        <v>#VALUE!</v>
      </c>
      <c r="AD87" s="281">
        <f t="shared" si="81"/>
        <v>11443.026761908217</v>
      </c>
      <c r="AE87" s="281">
        <f t="shared" si="81"/>
        <v>31168.630718228702</v>
      </c>
      <c r="AF87" s="281">
        <f t="shared" si="81"/>
        <v>0</v>
      </c>
      <c r="AG87" s="281">
        <f t="shared" si="81"/>
        <v>8029.6341601674949</v>
      </c>
      <c r="AH87" s="281">
        <f t="shared" si="81"/>
        <v>6747.8534409568892</v>
      </c>
      <c r="AI87" s="281">
        <f t="shared" si="81"/>
        <v>0</v>
      </c>
      <c r="AJ87" s="281">
        <f>SUM(AJ42:AJ44)+SUM(AJ55:AJ57)</f>
        <v>0</v>
      </c>
      <c r="AK87" s="281" t="e">
        <f t="shared" ref="AK87:BC87" si="82">SUM(AK42:AK44)+SUM(AK55:AK57)</f>
        <v>#VALUE!</v>
      </c>
      <c r="AL87" s="281">
        <f t="shared" si="82"/>
        <v>0</v>
      </c>
      <c r="AM87" s="281">
        <f t="shared" si="82"/>
        <v>0</v>
      </c>
      <c r="AN87" s="281">
        <f t="shared" si="82"/>
        <v>0</v>
      </c>
      <c r="AO87" s="281">
        <f t="shared" si="82"/>
        <v>0</v>
      </c>
      <c r="AP87" s="281">
        <f t="shared" si="82"/>
        <v>0</v>
      </c>
      <c r="AQ87" s="281">
        <f t="shared" si="82"/>
        <v>0</v>
      </c>
      <c r="AR87" s="281">
        <f t="shared" si="82"/>
        <v>0</v>
      </c>
      <c r="AS87" s="281">
        <f t="shared" si="82"/>
        <v>0</v>
      </c>
      <c r="AT87" s="281">
        <f t="shared" si="82"/>
        <v>0</v>
      </c>
      <c r="AU87" s="281">
        <f t="shared" si="82"/>
        <v>0</v>
      </c>
      <c r="AV87" s="281">
        <f t="shared" si="82"/>
        <v>0</v>
      </c>
      <c r="AW87" s="281">
        <f t="shared" si="82"/>
        <v>0</v>
      </c>
      <c r="AX87" s="281"/>
      <c r="AY87" s="281"/>
      <c r="AZ87" s="281" t="e">
        <f t="shared" si="82"/>
        <v>#VALUE!</v>
      </c>
      <c r="BA87" s="281">
        <f t="shared" si="82"/>
        <v>25115.329638453495</v>
      </c>
      <c r="BB87" s="281">
        <f t="shared" si="82"/>
        <v>46322.329873739545</v>
      </c>
      <c r="BC87" s="281">
        <f t="shared" si="82"/>
        <v>11587.444693582784</v>
      </c>
      <c r="BD87" s="281">
        <f>SUM(BD42:BD44)+SUM(BD55:BD57)</f>
        <v>20897.295512897887</v>
      </c>
      <c r="BE87" s="281">
        <f t="shared" ref="BE87:BT87" si="83">SUM(BE42:BE44)+SUM(BE55:BE57)</f>
        <v>19544.869930847217</v>
      </c>
      <c r="BF87" s="281">
        <f t="shared" si="83"/>
        <v>11374.204442838776</v>
      </c>
      <c r="BG87" s="281">
        <f t="shared" si="83"/>
        <v>12004.197929228734</v>
      </c>
      <c r="BH87" s="281" t="e">
        <f t="shared" si="83"/>
        <v>#VALUE!</v>
      </c>
      <c r="BI87" s="281">
        <f t="shared" si="83"/>
        <v>10391.822333045271</v>
      </c>
      <c r="BJ87" s="281">
        <f t="shared" si="83"/>
        <v>10365.840558599346</v>
      </c>
      <c r="BK87" s="281">
        <f t="shared" si="83"/>
        <v>10332.522272437349</v>
      </c>
      <c r="BL87" s="281">
        <f t="shared" si="83"/>
        <v>10294.427335103952</v>
      </c>
      <c r="BM87" s="281">
        <f t="shared" si="83"/>
        <v>10253.422986648346</v>
      </c>
      <c r="BN87" s="281">
        <f t="shared" si="83"/>
        <v>10209.442800309565</v>
      </c>
      <c r="BO87" s="281">
        <f t="shared" si="83"/>
        <v>10162.088620563016</v>
      </c>
      <c r="BP87" s="281">
        <f t="shared" si="83"/>
        <v>10110.788934239634</v>
      </c>
      <c r="BQ87" s="281">
        <f t="shared" si="83"/>
        <v>10055.14315556747</v>
      </c>
      <c r="BR87" s="281">
        <f t="shared" si="83"/>
        <v>9995.0216713543923</v>
      </c>
      <c r="BS87" s="281">
        <f t="shared" si="83"/>
        <v>9930.5966241212045</v>
      </c>
      <c r="BT87" s="281">
        <f t="shared" si="83"/>
        <v>9861.789435870176</v>
      </c>
    </row>
    <row r="88" spans="1:72">
      <c r="A88" s="17"/>
      <c r="B88" s="17"/>
      <c r="E88" s="34" t="s">
        <v>107</v>
      </c>
      <c r="F88" s="282" t="e">
        <f>(SUM(F68:F70))/(SUM(F67:F72))</f>
        <v>#N/A</v>
      </c>
      <c r="G88" s="282">
        <f t="shared" ref="G88:AI88" si="84">(SUM(G68:G70))/(SUM(G67:G72))</f>
        <v>0.34633205509290588</v>
      </c>
      <c r="H88" s="282">
        <f t="shared" si="84"/>
        <v>0.33707662496409685</v>
      </c>
      <c r="I88" s="282">
        <f t="shared" si="84"/>
        <v>0.32990868296945042</v>
      </c>
      <c r="J88" s="282">
        <f t="shared" si="84"/>
        <v>0.35340110625900534</v>
      </c>
      <c r="K88" s="282">
        <f t="shared" si="84"/>
        <v>0.35236457127692444</v>
      </c>
      <c r="L88" s="282">
        <f t="shared" si="84"/>
        <v>0.32558332492600189</v>
      </c>
      <c r="M88" s="282">
        <f t="shared" si="84"/>
        <v>0.32856025380145154</v>
      </c>
      <c r="N88" s="282" t="e">
        <f t="shared" si="84"/>
        <v>#N/A</v>
      </c>
      <c r="O88" s="282">
        <f t="shared" si="84"/>
        <v>0.28114920928675674</v>
      </c>
      <c r="P88" s="282">
        <f t="shared" si="84"/>
        <v>0.28114920928675685</v>
      </c>
      <c r="Q88" s="282">
        <f t="shared" si="84"/>
        <v>0.2811492092867568</v>
      </c>
      <c r="R88" s="282">
        <f t="shared" si="84"/>
        <v>0.2811492092867568</v>
      </c>
      <c r="S88" s="282">
        <f t="shared" si="84"/>
        <v>0.28114920928675685</v>
      </c>
      <c r="T88" s="282">
        <f t="shared" si="84"/>
        <v>0.2811492092867568</v>
      </c>
      <c r="U88" s="282">
        <f t="shared" si="84"/>
        <v>0.2811492092867568</v>
      </c>
      <c r="V88" s="282">
        <f t="shared" si="84"/>
        <v>0.28114920928675685</v>
      </c>
      <c r="W88" s="282">
        <f t="shared" si="84"/>
        <v>0.2811492092867568</v>
      </c>
      <c r="X88" s="282">
        <f t="shared" si="84"/>
        <v>0.2811492092867568</v>
      </c>
      <c r="Y88" s="282">
        <f t="shared" si="84"/>
        <v>0.2811492092867568</v>
      </c>
      <c r="Z88" s="282">
        <f t="shared" si="84"/>
        <v>0.2811492092867568</v>
      </c>
      <c r="AA88" s="282"/>
      <c r="AB88" s="282"/>
      <c r="AC88" s="282" t="e">
        <f t="shared" si="84"/>
        <v>#N/A</v>
      </c>
      <c r="AD88" s="282">
        <f t="shared" si="84"/>
        <v>0.33343911448361263</v>
      </c>
      <c r="AE88" s="282">
        <f t="shared" si="84"/>
        <v>0.32203190407329157</v>
      </c>
      <c r="AF88" s="282" t="e">
        <f t="shared" si="84"/>
        <v>#DIV/0!</v>
      </c>
      <c r="AG88" s="282">
        <f t="shared" si="84"/>
        <v>0.34817053224946265</v>
      </c>
      <c r="AH88" s="282">
        <f t="shared" si="84"/>
        <v>0.34668546499063602</v>
      </c>
      <c r="AI88" s="282" t="e">
        <f t="shared" si="84"/>
        <v>#DIV/0!</v>
      </c>
      <c r="AJ88" s="282" t="e">
        <f>(SUM(AJ68:AJ70))/(SUM(AJ67:AJ72))</f>
        <v>#DIV/0!</v>
      </c>
      <c r="AK88" s="282" t="e">
        <f t="shared" ref="AK88:BC88" si="85">(SUM(AK68:AK70))/(SUM(AK67:AK72))</f>
        <v>#N/A</v>
      </c>
      <c r="AL88" s="282" t="e">
        <f t="shared" si="85"/>
        <v>#DIV/0!</v>
      </c>
      <c r="AM88" s="282" t="e">
        <f t="shared" si="85"/>
        <v>#DIV/0!</v>
      </c>
      <c r="AN88" s="282" t="e">
        <f t="shared" si="85"/>
        <v>#DIV/0!</v>
      </c>
      <c r="AO88" s="282" t="e">
        <f t="shared" si="85"/>
        <v>#DIV/0!</v>
      </c>
      <c r="AP88" s="282" t="e">
        <f t="shared" si="85"/>
        <v>#DIV/0!</v>
      </c>
      <c r="AQ88" s="282" t="e">
        <f t="shared" si="85"/>
        <v>#DIV/0!</v>
      </c>
      <c r="AR88" s="282" t="e">
        <f t="shared" si="85"/>
        <v>#DIV/0!</v>
      </c>
      <c r="AS88" s="282" t="e">
        <f t="shared" si="85"/>
        <v>#DIV/0!</v>
      </c>
      <c r="AT88" s="282" t="e">
        <f t="shared" si="85"/>
        <v>#DIV/0!</v>
      </c>
      <c r="AU88" s="282" t="e">
        <f t="shared" si="85"/>
        <v>#DIV/0!</v>
      </c>
      <c r="AV88" s="282" t="e">
        <f t="shared" si="85"/>
        <v>#DIV/0!</v>
      </c>
      <c r="AW88" s="282" t="e">
        <f t="shared" si="85"/>
        <v>#DIV/0!</v>
      </c>
      <c r="AX88" s="282"/>
      <c r="AY88" s="282"/>
      <c r="AZ88" s="282" t="e">
        <f t="shared" si="85"/>
        <v>#N/A</v>
      </c>
      <c r="BA88" s="282">
        <f t="shared" si="85"/>
        <v>0.35653609775032707</v>
      </c>
      <c r="BB88" s="282">
        <f t="shared" si="85"/>
        <v>0.3492477456031382</v>
      </c>
      <c r="BC88" s="282">
        <f t="shared" si="85"/>
        <v>0.34232088203472927</v>
      </c>
      <c r="BD88" s="282">
        <f>(SUM(BD68:BD70))/(SUM(BD67:BD72))</f>
        <v>0.35695687367566492</v>
      </c>
      <c r="BE88" s="282">
        <f t="shared" ref="BE88:BT88" si="86">(SUM(BE68:BE70))/(SUM(BE67:BE72))</f>
        <v>0.35631472348902643</v>
      </c>
      <c r="BF88" s="282">
        <f t="shared" si="86"/>
        <v>0.33879273705291862</v>
      </c>
      <c r="BG88" s="282">
        <f t="shared" si="86"/>
        <v>0.34000977351747247</v>
      </c>
      <c r="BH88" s="282" t="e">
        <f t="shared" si="86"/>
        <v>#N/A</v>
      </c>
      <c r="BI88" s="282">
        <f t="shared" si="86"/>
        <v>0.30072112386999206</v>
      </c>
      <c r="BJ88" s="282">
        <f t="shared" si="86"/>
        <v>0.300721123869992</v>
      </c>
      <c r="BK88" s="282">
        <f t="shared" si="86"/>
        <v>0.30072112386999206</v>
      </c>
      <c r="BL88" s="282">
        <f t="shared" si="86"/>
        <v>0.300721123869992</v>
      </c>
      <c r="BM88" s="282">
        <f t="shared" si="86"/>
        <v>0.30072112386999206</v>
      </c>
      <c r="BN88" s="282">
        <f t="shared" si="86"/>
        <v>0.300721123869992</v>
      </c>
      <c r="BO88" s="282">
        <f t="shared" si="86"/>
        <v>0.300721123869992</v>
      </c>
      <c r="BP88" s="282">
        <f t="shared" si="86"/>
        <v>0.30072112386999206</v>
      </c>
      <c r="BQ88" s="282">
        <f t="shared" si="86"/>
        <v>0.30072112386999206</v>
      </c>
      <c r="BR88" s="282">
        <f t="shared" si="86"/>
        <v>0.30072112386999195</v>
      </c>
      <c r="BS88" s="282">
        <f t="shared" si="86"/>
        <v>0.300721123869992</v>
      </c>
      <c r="BT88" s="282">
        <f t="shared" si="86"/>
        <v>0.30072112386999206</v>
      </c>
    </row>
    <row r="89" spans="1:72">
      <c r="A89" s="17"/>
      <c r="B89" s="17"/>
      <c r="E89" s="280" t="s">
        <v>74</v>
      </c>
      <c r="F89" s="303" t="e">
        <f>SUM(F76:F78)/SUM(F75:F79)</f>
        <v>#VALUE!</v>
      </c>
      <c r="G89" s="303">
        <f t="shared" ref="G89:AI89" si="87">SUM(G76:G78)/SUM(G75:G79)</f>
        <v>2.8700000000000004E-4</v>
      </c>
      <c r="H89" s="303">
        <f t="shared" si="87"/>
        <v>2.8699999999999998E-4</v>
      </c>
      <c r="I89" s="303">
        <f t="shared" si="87"/>
        <v>2.8699999999999998E-4</v>
      </c>
      <c r="J89" s="303">
        <f t="shared" si="87"/>
        <v>2.8700000000000004E-4</v>
      </c>
      <c r="K89" s="303">
        <f t="shared" si="87"/>
        <v>2.8699999999999998E-4</v>
      </c>
      <c r="L89" s="303">
        <f t="shared" si="87"/>
        <v>2.8699999999999998E-4</v>
      </c>
      <c r="M89" s="303">
        <f t="shared" si="87"/>
        <v>2.8699999999999998E-4</v>
      </c>
      <c r="N89" s="303" t="e">
        <f t="shared" si="87"/>
        <v>#VALUE!</v>
      </c>
      <c r="O89" s="303">
        <f t="shared" si="87"/>
        <v>2.8699999999999998E-4</v>
      </c>
      <c r="P89" s="303">
        <f t="shared" si="87"/>
        <v>2.8699999999999998E-4</v>
      </c>
      <c r="Q89" s="303">
        <f t="shared" si="87"/>
        <v>2.8699999999999998E-4</v>
      </c>
      <c r="R89" s="303">
        <f t="shared" si="87"/>
        <v>2.8700000000000004E-4</v>
      </c>
      <c r="S89" s="303">
        <f t="shared" si="87"/>
        <v>2.8700000000000004E-4</v>
      </c>
      <c r="T89" s="303">
        <f t="shared" si="87"/>
        <v>2.8699999999999998E-4</v>
      </c>
      <c r="U89" s="303">
        <f t="shared" si="87"/>
        <v>2.8699999999999998E-4</v>
      </c>
      <c r="V89" s="303">
        <f t="shared" si="87"/>
        <v>2.8699999999999998E-4</v>
      </c>
      <c r="W89" s="303">
        <f t="shared" si="87"/>
        <v>2.8699999999999998E-4</v>
      </c>
      <c r="X89" s="303">
        <f t="shared" si="87"/>
        <v>2.8699999999999998E-4</v>
      </c>
      <c r="Y89" s="303">
        <f t="shared" si="87"/>
        <v>2.8699999999999998E-4</v>
      </c>
      <c r="Z89" s="303">
        <f t="shared" si="87"/>
        <v>2.8699999999999998E-4</v>
      </c>
      <c r="AA89" s="303"/>
      <c r="AB89" s="303"/>
      <c r="AC89" s="303" t="e">
        <f t="shared" si="87"/>
        <v>#VALUE!</v>
      </c>
      <c r="AD89" s="303">
        <f t="shared" si="87"/>
        <v>2.8700000000000004E-4</v>
      </c>
      <c r="AE89" s="303">
        <f t="shared" si="87"/>
        <v>2.8699999999999998E-4</v>
      </c>
      <c r="AF89" s="303">
        <f t="shared" si="87"/>
        <v>2.8699999999999998E-4</v>
      </c>
      <c r="AG89" s="303">
        <f t="shared" si="87"/>
        <v>2.8699999999999998E-4</v>
      </c>
      <c r="AH89" s="303">
        <f t="shared" si="87"/>
        <v>2.8699999999999998E-4</v>
      </c>
      <c r="AI89" s="303">
        <f t="shared" si="87"/>
        <v>2.8699999999999998E-4</v>
      </c>
      <c r="AJ89" s="303">
        <f>SUM(AJ76:AJ78)/SUM(AJ75:AJ79)</f>
        <v>2.8699999999999998E-4</v>
      </c>
      <c r="AK89" s="303" t="e">
        <f t="shared" ref="AK89:BC89" si="88">SUM(AK76:AK78)/SUM(AK75:AK79)</f>
        <v>#VALUE!</v>
      </c>
      <c r="AL89" s="303">
        <f t="shared" si="88"/>
        <v>2.8699999999999998E-4</v>
      </c>
      <c r="AM89" s="303">
        <f t="shared" si="88"/>
        <v>2.8699999999999998E-4</v>
      </c>
      <c r="AN89" s="303">
        <f t="shared" si="88"/>
        <v>2.8700000000000004E-4</v>
      </c>
      <c r="AO89" s="303">
        <f t="shared" si="88"/>
        <v>2.8699999999999998E-4</v>
      </c>
      <c r="AP89" s="303">
        <f t="shared" si="88"/>
        <v>2.8700000000000004E-4</v>
      </c>
      <c r="AQ89" s="303">
        <f t="shared" si="88"/>
        <v>2.8699999999999998E-4</v>
      </c>
      <c r="AR89" s="303">
        <f t="shared" si="88"/>
        <v>2.8699999999999998E-4</v>
      </c>
      <c r="AS89" s="303">
        <f t="shared" si="88"/>
        <v>2.8699999999999998E-4</v>
      </c>
      <c r="AT89" s="303">
        <f t="shared" si="88"/>
        <v>2.8699999999999998E-4</v>
      </c>
      <c r="AU89" s="303">
        <f t="shared" si="88"/>
        <v>2.8699999999999998E-4</v>
      </c>
      <c r="AV89" s="303">
        <f t="shared" si="88"/>
        <v>2.8699999999999998E-4</v>
      </c>
      <c r="AW89" s="303">
        <f t="shared" si="88"/>
        <v>2.8699999999999998E-4</v>
      </c>
      <c r="AX89" s="303"/>
      <c r="AY89" s="303"/>
      <c r="AZ89" s="303" t="e">
        <f t="shared" si="88"/>
        <v>#VALUE!</v>
      </c>
      <c r="BA89" s="303">
        <f t="shared" si="88"/>
        <v>2.8699999999999998E-4</v>
      </c>
      <c r="BB89" s="303">
        <f t="shared" si="88"/>
        <v>2.8699999999999998E-4</v>
      </c>
      <c r="BC89" s="303">
        <f t="shared" si="88"/>
        <v>2.8699999999999998E-4</v>
      </c>
      <c r="BD89" s="303">
        <f>SUM(BD76:BD78)/SUM(BD75:BD79)</f>
        <v>2.8700000000000004E-4</v>
      </c>
      <c r="BE89" s="303">
        <f t="shared" ref="BE89:BT89" si="89">SUM(BE76:BE78)/SUM(BE75:BE79)</f>
        <v>2.8699999999999998E-4</v>
      </c>
      <c r="BF89" s="303">
        <f t="shared" si="89"/>
        <v>2.8699999999999998E-4</v>
      </c>
      <c r="BG89" s="303">
        <f t="shared" si="89"/>
        <v>2.8699999999999998E-4</v>
      </c>
      <c r="BH89" s="303" t="e">
        <f t="shared" si="89"/>
        <v>#VALUE!</v>
      </c>
      <c r="BI89" s="303">
        <f t="shared" si="89"/>
        <v>2.8699999999999998E-4</v>
      </c>
      <c r="BJ89" s="303">
        <f t="shared" si="89"/>
        <v>2.8700000000000004E-4</v>
      </c>
      <c r="BK89" s="303">
        <f t="shared" si="89"/>
        <v>2.8699999999999998E-4</v>
      </c>
      <c r="BL89" s="303">
        <f t="shared" si="89"/>
        <v>2.8700000000000004E-4</v>
      </c>
      <c r="BM89" s="303">
        <f t="shared" si="89"/>
        <v>2.8700000000000004E-4</v>
      </c>
      <c r="BN89" s="303">
        <f t="shared" si="89"/>
        <v>2.8699999999999998E-4</v>
      </c>
      <c r="BO89" s="303">
        <f t="shared" si="89"/>
        <v>2.8699999999999998E-4</v>
      </c>
      <c r="BP89" s="303">
        <f t="shared" si="89"/>
        <v>2.8699999999999998E-4</v>
      </c>
      <c r="BQ89" s="303">
        <f t="shared" si="89"/>
        <v>2.8699999999999998E-4</v>
      </c>
      <c r="BR89" s="303">
        <f t="shared" si="89"/>
        <v>2.8700000000000004E-4</v>
      </c>
      <c r="BS89" s="303">
        <f t="shared" si="89"/>
        <v>2.8699999999999998E-4</v>
      </c>
      <c r="BT89" s="303">
        <f t="shared" si="89"/>
        <v>2.8699999999999998E-4</v>
      </c>
    </row>
    <row r="90" spans="1:72">
      <c r="A90" s="17"/>
      <c r="B90" s="17"/>
      <c r="F90" s="86"/>
      <c r="L90" s="86"/>
      <c r="N90" s="86"/>
      <c r="O90" s="86"/>
      <c r="P90" s="86"/>
      <c r="Q90" s="86"/>
      <c r="R90" s="86"/>
      <c r="S90" s="86"/>
      <c r="T90" s="86"/>
      <c r="U90" s="86"/>
      <c r="V90" s="86"/>
      <c r="W90" s="86"/>
      <c r="X90" s="86"/>
      <c r="Y90" s="86"/>
      <c r="Z90" s="86"/>
      <c r="AA90" s="86"/>
      <c r="AB90" s="86"/>
      <c r="AC90" s="86"/>
      <c r="AD90" s="86"/>
      <c r="AE90" s="86"/>
      <c r="AF90" s="86"/>
      <c r="AG90" s="86"/>
      <c r="AH90" s="86"/>
      <c r="AI90" s="86"/>
      <c r="AJ90" s="86"/>
      <c r="AK90" s="86"/>
      <c r="AL90" s="86"/>
      <c r="AM90" s="86"/>
      <c r="AN90" s="86"/>
      <c r="AO90" s="86"/>
      <c r="AP90" s="86"/>
      <c r="AQ90" s="86"/>
      <c r="AR90" s="86"/>
      <c r="AS90" s="86"/>
      <c r="AT90" s="86"/>
      <c r="AU90" s="86"/>
      <c r="AV90" s="86"/>
      <c r="AW90" s="86"/>
      <c r="AX90" s="86"/>
      <c r="AY90" s="86"/>
      <c r="AZ90" s="86"/>
      <c r="BA90" s="86"/>
      <c r="BB90" s="86"/>
      <c r="BC90" s="86"/>
      <c r="BD90" s="86"/>
      <c r="BE90" s="86"/>
      <c r="BF90" s="86"/>
      <c r="BG90" s="86"/>
      <c r="BH90" s="86"/>
      <c r="BI90" s="86"/>
      <c r="BJ90" s="86"/>
      <c r="BK90" s="86"/>
      <c r="BL90" s="86"/>
      <c r="BM90" s="86"/>
      <c r="BN90" s="86"/>
      <c r="BO90" s="86"/>
      <c r="BP90" s="86"/>
      <c r="BQ90" s="86"/>
      <c r="BR90" s="86"/>
      <c r="BS90" s="86"/>
      <c r="BT90" s="86"/>
    </row>
    <row r="91" spans="1:72">
      <c r="A91" s="17"/>
      <c r="B91" s="17"/>
      <c r="E91" s="86" t="s">
        <v>110</v>
      </c>
      <c r="F91" s="268" t="e">
        <f>IF((SUM(F67:F72)+SUM(F75:F79))=BaselineData!F19, "Correct", "Wrong")</f>
        <v>#N/A</v>
      </c>
      <c r="G91" s="268" t="str">
        <f>IF((SUM(G67:G72)+SUM(G75:G79))=BaselineData!G19, "Correct", "Wrong")</f>
        <v>Correct</v>
      </c>
      <c r="H91" s="268" t="str">
        <f>IF((SUM(H67:H72)+SUM(H75:H79))=BaselineData!H19, "Correct", "Wrong")</f>
        <v>Correct</v>
      </c>
      <c r="I91" s="268" t="str">
        <f>IF((SUM(I67:I72)+SUM(I75:I79))=BaselineData!I19, "Correct", "Wrong")</f>
        <v>Correct</v>
      </c>
      <c r="J91" s="268" t="str">
        <f>IF((SUM(J67:J72)+SUM(J75:J79))=BaselineData!J19, "Correct", "Wrong")</f>
        <v>Correct</v>
      </c>
      <c r="K91" s="268" t="str">
        <f>IF((SUM(K67:K72)+SUM(K75:K79))=BaselineData!K19, "Correct", "Wrong")</f>
        <v>Correct</v>
      </c>
      <c r="L91" s="268" t="str">
        <f>IF((SUM(L67:L72)+SUM(L75:L79))=BaselineData!L19, "Correct", "Wrong")</f>
        <v>Correct</v>
      </c>
      <c r="M91" s="268" t="str">
        <f>IF((SUM(M67:M72)+SUM(M75:M79))=BaselineData!M19, "Correct", "Wrong")</f>
        <v>Correct</v>
      </c>
      <c r="N91" s="268" t="e">
        <f>IF((SUM(N67:N72)+SUM(N75:N79))=BaselineData!N19, "Correct", "Wrong")</f>
        <v>#N/A</v>
      </c>
      <c r="O91" s="268" t="str">
        <f>IF((SUM(O67:O72)+SUM(O75:O79))=BaselineData!O19, "Correct", "Wrong")</f>
        <v>Correct</v>
      </c>
      <c r="P91" s="268" t="str">
        <f>IF((SUM(P67:P72)+SUM(P75:P79))=BaselineData!P19, "Correct", "Wrong")</f>
        <v>Correct</v>
      </c>
      <c r="Q91" s="268" t="str">
        <f>IF((SUM(Q67:Q72)+SUM(Q75:Q79))=BaselineData!Q19, "Correct", "Wrong")</f>
        <v>Correct</v>
      </c>
      <c r="R91" s="268" t="str">
        <f>IF((SUM(R67:R72)+SUM(R75:R79))=BaselineData!R19, "Correct", "Wrong")</f>
        <v>Correct</v>
      </c>
      <c r="S91" s="268" t="str">
        <f>IF((SUM(S67:S72)+SUM(S75:S79))=BaselineData!S19, "Correct", "Wrong")</f>
        <v>Correct</v>
      </c>
      <c r="T91" s="268" t="str">
        <f>IF((SUM(T67:T72)+SUM(T75:T79))=BaselineData!T19, "Correct", "Wrong")</f>
        <v>Correct</v>
      </c>
      <c r="U91" s="268" t="str">
        <f>IF((SUM(U67:U72)+SUM(U75:U79))=BaselineData!U19, "Correct", "Wrong")</f>
        <v>Correct</v>
      </c>
      <c r="V91" s="268" t="str">
        <f>IF((SUM(V67:V72)+SUM(V75:V79))=BaselineData!V19, "Correct", "Wrong")</f>
        <v>Correct</v>
      </c>
      <c r="W91" s="268" t="str">
        <f>IF((SUM(W67:W72)+SUM(W75:W79))=BaselineData!W19, "Correct", "Wrong")</f>
        <v>Correct</v>
      </c>
      <c r="X91" s="268" t="str">
        <f>IF((SUM(X67:X72)+SUM(X75:X79))=BaselineData!X19, "Correct", "Wrong")</f>
        <v>Correct</v>
      </c>
      <c r="Y91" s="268" t="str">
        <f>IF((SUM(Y67:Y72)+SUM(Y75:Y79))=BaselineData!Y19, "Correct", "Wrong")</f>
        <v>Correct</v>
      </c>
      <c r="Z91" s="268" t="str">
        <f>IF((SUM(Z67:Z72)+SUM(Z75:Z79))=BaselineData!Z19, "Correct", "Wrong")</f>
        <v>Correct</v>
      </c>
      <c r="AA91" s="268"/>
      <c r="AB91" s="268"/>
      <c r="AC91" s="268" t="e">
        <f>IF((SUM(AC67:AC72)+SUM(AC75:AC79))=BaselineData!AC19, "Correct", "Wrong")</f>
        <v>#N/A</v>
      </c>
      <c r="AD91" s="268" t="str">
        <f>IF((SUM(AD67:AD72)+SUM(AD75:AD79))=BaselineData!AD19, "Correct", "Wrong")</f>
        <v>Correct</v>
      </c>
      <c r="AE91" s="268" t="str">
        <f>IF((SUM(AE67:AE72)+SUM(AE75:AE79))=BaselineData!AE19, "Correct", "Wrong")</f>
        <v>Correct</v>
      </c>
      <c r="AF91" s="268" t="str">
        <f>IF((SUM(AF67:AF72)+SUM(AF75:AF79))=BaselineData!AF19, "Correct", "Wrong")</f>
        <v>Correct</v>
      </c>
      <c r="AG91" s="268" t="str">
        <f>IF((SUM(AG67:AG72)+SUM(AG75:AG79))=BaselineData!AG19, "Correct", "Wrong")</f>
        <v>Correct</v>
      </c>
      <c r="AH91" s="268" t="str">
        <f>IF((SUM(AH67:AH72)+SUM(AH75:AH79))=BaselineData!AH19, "Correct", "Wrong")</f>
        <v>Correct</v>
      </c>
      <c r="AI91" s="268" t="str">
        <f>IF((SUM(AI67:AI72)+SUM(AI75:AI79))=BaselineData!AI19, "Correct", "Wrong")</f>
        <v>Correct</v>
      </c>
      <c r="AJ91" s="268" t="str">
        <f>IF((SUM(AJ67:AJ72)+SUM(AJ75:AJ79))=BaselineData!AJ19, "Correct", "Wrong")</f>
        <v>Correct</v>
      </c>
      <c r="AK91" s="268" t="e">
        <f>IF((SUM(AK67:AK72)+SUM(AK75:AK79))=BaselineData!AK19, "Correct", "Wrong")</f>
        <v>#N/A</v>
      </c>
      <c r="AL91" s="268" t="str">
        <f>IF((SUM(AL67:AL72)+SUM(AL75:AL79))=BaselineData!AL19, "Correct", "Wrong")</f>
        <v>Correct</v>
      </c>
      <c r="AM91" s="268" t="str">
        <f>IF((SUM(AM67:AM72)+SUM(AM75:AM79))=BaselineData!AM19, "Correct", "Wrong")</f>
        <v>Correct</v>
      </c>
      <c r="AN91" s="268" t="str">
        <f>IF((SUM(AN67:AN72)+SUM(AN75:AN79))=BaselineData!AN19, "Correct", "Wrong")</f>
        <v>Correct</v>
      </c>
      <c r="AO91" s="268" t="str">
        <f>IF((SUM(AO67:AO72)+SUM(AO75:AO79))=BaselineData!AO19, "Correct", "Wrong")</f>
        <v>Correct</v>
      </c>
      <c r="AP91" s="268" t="str">
        <f>IF((SUM(AP67:AP72)+SUM(AP75:AP79))=BaselineData!AP19, "Correct", "Wrong")</f>
        <v>Correct</v>
      </c>
      <c r="AQ91" s="268" t="str">
        <f>IF((SUM(AQ67:AQ72)+SUM(AQ75:AQ79))=BaselineData!AQ19, "Correct", "Wrong")</f>
        <v>Correct</v>
      </c>
      <c r="AR91" s="268" t="str">
        <f>IF((SUM(AR67:AR72)+SUM(AR75:AR79))=BaselineData!AR19, "Correct", "Wrong")</f>
        <v>Correct</v>
      </c>
      <c r="AS91" s="268" t="str">
        <f>IF((SUM(AS67:AS72)+SUM(AS75:AS79))=BaselineData!AS19, "Correct", "Wrong")</f>
        <v>Correct</v>
      </c>
      <c r="AT91" s="268" t="str">
        <f>IF((SUM(AT67:AT72)+SUM(AT75:AT79))=BaselineData!AT19, "Correct", "Wrong")</f>
        <v>Correct</v>
      </c>
      <c r="AU91" s="268" t="str">
        <f>IF((SUM(AU67:AU72)+SUM(AU75:AU79))=BaselineData!AU19, "Correct", "Wrong")</f>
        <v>Correct</v>
      </c>
      <c r="AV91" s="268" t="str">
        <f>IF((SUM(AV67:AV72)+SUM(AV75:AV79))=BaselineData!AV19, "Correct", "Wrong")</f>
        <v>Correct</v>
      </c>
      <c r="AW91" s="268" t="str">
        <f>IF((SUM(AW67:AW72)+SUM(AW75:AW79))=BaselineData!AW19, "Correct", "Wrong")</f>
        <v>Correct</v>
      </c>
      <c r="AX91" s="268"/>
      <c r="AY91" s="268"/>
      <c r="AZ91" s="268" t="e">
        <f>IF((SUM(AZ67:AZ72)+SUM(AZ75:AZ79))=BaselineData!AZ19, "Correct", "Wrong")</f>
        <v>#N/A</v>
      </c>
      <c r="BA91" s="268" t="str">
        <f>IF((SUM(BA67:BA72)+SUM(BA75:BA79))=BaselineData!BA19, "Correct", "Wrong")</f>
        <v>Correct</v>
      </c>
      <c r="BB91" s="268" t="str">
        <f>IF((SUM(BB67:BB72)+SUM(BB75:BB79))=BaselineData!BB19, "Correct", "Wrong")</f>
        <v>Correct</v>
      </c>
      <c r="BC91" s="268" t="str">
        <f>IF((SUM(BC67:BC72)+SUM(BC75:BC79))=BaselineData!BC19, "Correct", "Wrong")</f>
        <v>Correct</v>
      </c>
      <c r="BD91" s="268" t="str">
        <f>IF((SUM(BD67:BD72)+SUM(BD75:BD79))=BaselineData!BD19, "Correct", "Wrong")</f>
        <v>Correct</v>
      </c>
      <c r="BE91" s="268" t="str">
        <f>IF((SUM(BE67:BE72)+SUM(BE75:BE79))=BaselineData!BE19, "Correct", "Wrong")</f>
        <v>Correct</v>
      </c>
      <c r="BF91" s="268" t="str">
        <f>IF((SUM(BF67:BF72)+SUM(BF75:BF79))=BaselineData!BF19, "Correct", "Wrong")</f>
        <v>Correct</v>
      </c>
      <c r="BG91" s="268" t="str">
        <f>IF((SUM(BG67:BG72)+SUM(BG75:BG79))=BaselineData!BG19, "Correct", "Wrong")</f>
        <v>Correct</v>
      </c>
      <c r="BH91" s="268" t="e">
        <f>IF((SUM(BH67:BH72)+SUM(BH75:BH79))=BaselineData!BH19, "Correct", "Wrong")</f>
        <v>#N/A</v>
      </c>
      <c r="BI91" s="268" t="str">
        <f>IF((SUM(BI67:BI72)+SUM(BI75:BI79))=BaselineData!BI19, "Correct", "Wrong")</f>
        <v>Correct</v>
      </c>
      <c r="BJ91" s="268" t="str">
        <f>IF((SUM(BJ67:BJ72)+SUM(BJ75:BJ79))=BaselineData!BJ19, "Correct", "Wrong")</f>
        <v>Correct</v>
      </c>
      <c r="BK91" s="268" t="str">
        <f>IF((SUM(BK67:BK72)+SUM(BK75:BK79))=BaselineData!BK19, "Correct", "Wrong")</f>
        <v>Correct</v>
      </c>
      <c r="BL91" s="268" t="str">
        <f>IF((SUM(BL67:BL72)+SUM(BL75:BL79))=BaselineData!BL19, "Correct", "Wrong")</f>
        <v>Correct</v>
      </c>
      <c r="BM91" s="268" t="str">
        <f>IF((SUM(BM67:BM72)+SUM(BM75:BM79))=BaselineData!BM19, "Correct", "Wrong")</f>
        <v>Correct</v>
      </c>
      <c r="BN91" s="268" t="str">
        <f>IF((SUM(BN67:BN72)+SUM(BN75:BN79))=BaselineData!BN19, "Correct", "Wrong")</f>
        <v>Correct</v>
      </c>
      <c r="BO91" s="268" t="str">
        <f>IF((SUM(BO67:BO72)+SUM(BO75:BO79))=BaselineData!BO19, "Correct", "Wrong")</f>
        <v>Correct</v>
      </c>
      <c r="BP91" s="268" t="str">
        <f>IF((SUM(BP67:BP72)+SUM(BP75:BP79))=BaselineData!BP19, "Correct", "Wrong")</f>
        <v>Correct</v>
      </c>
      <c r="BQ91" s="268" t="str">
        <f>IF((SUM(BQ67:BQ72)+SUM(BQ75:BQ79))=BaselineData!BQ19, "Correct", "Wrong")</f>
        <v>Correct</v>
      </c>
      <c r="BR91" s="268" t="str">
        <f>IF((SUM(BR67:BR72)+SUM(BR75:BR79))=BaselineData!BR19, "Correct", "Wrong")</f>
        <v>Correct</v>
      </c>
      <c r="BS91" s="268" t="str">
        <f>IF((SUM(BS67:BS72)+SUM(BS75:BS79))=BaselineData!BS19, "Correct", "Wrong")</f>
        <v>Correct</v>
      </c>
      <c r="BT91" s="268" t="str">
        <f>IF((SUM(BT67:BT72)+SUM(BT75:BT79))=BaselineData!BT19, "Correct", "Wrong")</f>
        <v>Correct</v>
      </c>
    </row>
    <row r="92" spans="1:72">
      <c r="A92" s="17"/>
      <c r="B92" s="17"/>
      <c r="L92" s="86"/>
      <c r="N92" s="86"/>
    </row>
    <row r="93" spans="1:72" ht="27" thickBot="1">
      <c r="A93" s="17"/>
      <c r="B93" s="17"/>
      <c r="E93" s="20" t="s">
        <v>35</v>
      </c>
      <c r="F93" s="696"/>
      <c r="L93" s="86"/>
      <c r="N93" s="86"/>
    </row>
    <row r="94" spans="1:72">
      <c r="A94" s="17"/>
      <c r="B94" s="17"/>
      <c r="L94" s="86"/>
      <c r="N94" s="86"/>
    </row>
    <row r="95" spans="1:72" ht="19">
      <c r="A95" s="17"/>
      <c r="B95" s="17"/>
      <c r="E95" s="202" t="s">
        <v>36</v>
      </c>
      <c r="F95" s="202"/>
      <c r="G95" s="203"/>
      <c r="H95" s="203"/>
      <c r="I95" s="203"/>
      <c r="J95" s="203"/>
      <c r="K95" s="203"/>
      <c r="L95" s="203"/>
      <c r="M95" s="203"/>
      <c r="N95" s="203"/>
      <c r="O95" s="203"/>
      <c r="P95" s="203"/>
      <c r="Q95" s="203"/>
      <c r="R95" s="203"/>
      <c r="S95" s="203"/>
      <c r="T95" s="203"/>
      <c r="U95" s="203"/>
      <c r="V95" s="203"/>
      <c r="W95" s="203"/>
      <c r="X95" s="203"/>
      <c r="Y95" s="203"/>
      <c r="Z95" s="203"/>
    </row>
    <row r="96" spans="1:72">
      <c r="A96" s="17"/>
      <c r="B96" s="17"/>
      <c r="E96" s="162" t="str">
        <f>IF(Cover!E4="English","Stillbirths",IF(Cover!E4="Français", "Mortinaissances","Mortinatos"))</f>
        <v>Stillbirths</v>
      </c>
      <c r="F96" s="162"/>
      <c r="L96" s="86"/>
      <c r="N96" s="119" t="e">
        <f>(BaselineResults!U122+BaselineResults!U132)-('Full Results Baseline'!N68+'Full Results Baseline'!N76)</f>
        <v>#VALUE!</v>
      </c>
      <c r="O96" s="119">
        <f>(BaselineResults!V122+BaselineResults!V132)-('Full Results Baseline'!O68+'Full Results Baseline'!O76)</f>
        <v>103.08802211369948</v>
      </c>
      <c r="P96" s="119">
        <f>(BaselineResults!W122+BaselineResults!W132)-('Full Results Baseline'!P68+'Full Results Baseline'!P76)</f>
        <v>102.83028004952575</v>
      </c>
      <c r="Q96" s="119">
        <f>(BaselineResults!X122+BaselineResults!X132)-('Full Results Baseline'!Q68+'Full Results Baseline'!Q76)</f>
        <v>102.49975898107732</v>
      </c>
      <c r="R96" s="119">
        <f>(BaselineResults!Y122+BaselineResults!Y132)-('Full Results Baseline'!R68+'Full Results Baseline'!R76)</f>
        <v>102.12185300689816</v>
      </c>
      <c r="S96" s="119">
        <f>(BaselineResults!Z122+BaselineResults!Z132)-('Full Results Baseline'!S68+'Full Results Baseline'!S76)</f>
        <v>101.71508535394241</v>
      </c>
      <c r="T96" s="119">
        <f>(BaselineResults!AA122+BaselineResults!AA132)-('Full Results Baseline'!T68+'Full Results Baseline'!T76)</f>
        <v>101.27879706142267</v>
      </c>
      <c r="U96" s="119">
        <f>(BaselineResults!AB122+BaselineResults!AB132)-('Full Results Baseline'!U68+'Full Results Baseline'!U76)</f>
        <v>100.80903838268205</v>
      </c>
      <c r="V96" s="119">
        <f>(BaselineResults!AC122+BaselineResults!AC132)-('Full Results Baseline'!V68+'Full Results Baseline'!V76)</f>
        <v>100.30013984413381</v>
      </c>
      <c r="W96" s="119">
        <f>(BaselineResults!AD122+BaselineResults!AD132)-('Full Results Baseline'!W68+'Full Results Baseline'!W76)</f>
        <v>99.748127590801232</v>
      </c>
      <c r="X96" s="119">
        <f>(BaselineResults!AE122+BaselineResults!AE132)-('Full Results Baseline'!X68+'Full Results Baseline'!X76)</f>
        <v>99.15171584554264</v>
      </c>
      <c r="Y96" s="119">
        <f>(BaselineResults!AF122+BaselineResults!AF132)-('Full Results Baseline'!Y68+'Full Results Baseline'!Y76)</f>
        <v>98.512612281123438</v>
      </c>
      <c r="Z96" s="119">
        <f>(BaselineResults!AG122+BaselineResults!AG132)-('Full Results Baseline'!Z68+'Full Results Baseline'!Z76)</f>
        <v>97.830037395155159</v>
      </c>
    </row>
    <row r="97" spans="1:26">
      <c r="A97" s="17"/>
      <c r="B97" s="17"/>
      <c r="E97" s="162" t="str">
        <f>IF(Cover!E4="English","Neonatal deaths",IF(Cover!E4="Français", "Décès néonatal","Muertes neonatales"))</f>
        <v>Neonatal deaths</v>
      </c>
      <c r="F97" s="162"/>
      <c r="L97" s="86"/>
      <c r="M97" s="268"/>
      <c r="N97" s="119" t="e">
        <f>(BaselineResults!U133+BaselineResults!U123)-('Full Results Baseline'!N77+'Full Results Baseline'!N69)</f>
        <v>#VALUE!</v>
      </c>
      <c r="O97" s="119">
        <f>(BaselineResults!V133+BaselineResults!V123)-('Full Results Baseline'!O77+'Full Results Baseline'!O69)</f>
        <v>0</v>
      </c>
      <c r="P97" s="119">
        <f>(BaselineResults!W133+BaselineResults!W123)-('Full Results Baseline'!P77+'Full Results Baseline'!P69)</f>
        <v>0</v>
      </c>
      <c r="Q97" s="119">
        <f>(BaselineResults!X133+BaselineResults!X123)-('Full Results Baseline'!Q77+'Full Results Baseline'!Q69)</f>
        <v>0</v>
      </c>
      <c r="R97" s="119">
        <f>(BaselineResults!Y133+BaselineResults!Y123)-('Full Results Baseline'!R77+'Full Results Baseline'!R69)</f>
        <v>0</v>
      </c>
      <c r="S97" s="119">
        <f>(BaselineResults!Z133+BaselineResults!Z123)-('Full Results Baseline'!S77+'Full Results Baseline'!S69)</f>
        <v>0</v>
      </c>
      <c r="T97" s="119">
        <f>(BaselineResults!AA133+BaselineResults!AA123)-('Full Results Baseline'!T77+'Full Results Baseline'!T69)</f>
        <v>0</v>
      </c>
      <c r="U97" s="119">
        <f>(BaselineResults!AB133+BaselineResults!AB123)-('Full Results Baseline'!U77+'Full Results Baseline'!U69)</f>
        <v>0</v>
      </c>
      <c r="V97" s="119">
        <f>(BaselineResults!AC133+BaselineResults!AC123)-('Full Results Baseline'!V77+'Full Results Baseline'!V69)</f>
        <v>0</v>
      </c>
      <c r="W97" s="119">
        <f>(BaselineResults!AD133+BaselineResults!AD123)-('Full Results Baseline'!W77+'Full Results Baseline'!W69)</f>
        <v>0</v>
      </c>
      <c r="X97" s="119">
        <f>(BaselineResults!AE133+BaselineResults!AE123)-('Full Results Baseline'!X77+'Full Results Baseline'!X69)</f>
        <v>0</v>
      </c>
      <c r="Y97" s="119">
        <f>(BaselineResults!AF133+BaselineResults!AF123)-('Full Results Baseline'!Y77+'Full Results Baseline'!Y69)</f>
        <v>0</v>
      </c>
      <c r="Z97" s="119">
        <f>(BaselineResults!AG133+BaselineResults!AG123)-('Full Results Baseline'!Z77+'Full Results Baseline'!Z69)</f>
        <v>0</v>
      </c>
    </row>
    <row r="98" spans="1:26">
      <c r="A98" s="17"/>
      <c r="B98" s="17"/>
      <c r="E98" s="60" t="str">
        <f>IF(Cover!E4="English","Premature / low birth weight",IF(Cover!E4="Français", "Prématuré / poids faible à la naissance","Prematuro / bajo peso al nacer"))</f>
        <v>Premature / low birth weight</v>
      </c>
      <c r="F98" s="60"/>
      <c r="L98" s="86"/>
      <c r="N98" s="119" t="e">
        <f>(BaselineResults!U124+BaselineResults!U134)-('Full Results Baseline'!N70+'Full Results Baseline'!N78)</f>
        <v>#VALUE!</v>
      </c>
      <c r="O98" s="119">
        <f>(BaselineResults!V124+BaselineResults!V134)-('Full Results Baseline'!O70+'Full Results Baseline'!O78)</f>
        <v>0</v>
      </c>
      <c r="P98" s="119">
        <f>(BaselineResults!W124+BaselineResults!W134)-('Full Results Baseline'!P70+'Full Results Baseline'!P78)</f>
        <v>0</v>
      </c>
      <c r="Q98" s="119">
        <f>(BaselineResults!X124+BaselineResults!X134)-('Full Results Baseline'!Q70+'Full Results Baseline'!Q78)</f>
        <v>0</v>
      </c>
      <c r="R98" s="119">
        <f>(BaselineResults!Y124+BaselineResults!Y134)-('Full Results Baseline'!R70+'Full Results Baseline'!R78)</f>
        <v>0</v>
      </c>
      <c r="S98" s="119">
        <f>(BaselineResults!Z124+BaselineResults!Z134)-('Full Results Baseline'!S70+'Full Results Baseline'!S78)</f>
        <v>0</v>
      </c>
      <c r="T98" s="119">
        <f>(BaselineResults!AA124+BaselineResults!AA134)-('Full Results Baseline'!T70+'Full Results Baseline'!T78)</f>
        <v>0</v>
      </c>
      <c r="U98" s="119">
        <f>(BaselineResults!AB124+BaselineResults!AB134)-('Full Results Baseline'!U70+'Full Results Baseline'!U78)</f>
        <v>0</v>
      </c>
      <c r="V98" s="119">
        <f>(BaselineResults!AC124+BaselineResults!AC134)-('Full Results Baseline'!V70+'Full Results Baseline'!V78)</f>
        <v>0</v>
      </c>
      <c r="W98" s="119">
        <f>(BaselineResults!AD124+BaselineResults!AD134)-('Full Results Baseline'!W70+'Full Results Baseline'!W78)</f>
        <v>0</v>
      </c>
      <c r="X98" s="119">
        <f>(BaselineResults!AE124+BaselineResults!AE134)-('Full Results Baseline'!X70+'Full Results Baseline'!X78)</f>
        <v>0</v>
      </c>
      <c r="Y98" s="119">
        <f>(BaselineResults!AF124+BaselineResults!AF134)-('Full Results Baseline'!Y70+'Full Results Baseline'!Y78)</f>
        <v>0</v>
      </c>
      <c r="Z98" s="119">
        <f>(BaselineResults!AG124+BaselineResults!AG134)-('Full Results Baseline'!Z70+'Full Results Baseline'!Z78)</f>
        <v>0</v>
      </c>
    </row>
    <row r="99" spans="1:26">
      <c r="A99" s="17"/>
      <c r="B99" s="17"/>
      <c r="E99" s="60" t="str">
        <f>IF(Cover!E4="English","Clinical CS",IF(Cover!E4="Français", "SC clinique","Clínica SC"))</f>
        <v>Clinical CS</v>
      </c>
      <c r="F99" s="60"/>
      <c r="L99" s="86"/>
      <c r="N99" s="119" t="e">
        <f>(BaselineResults!U125+BaselineResults!U135)-('Full Results Baseline'!N71+'Full Results Baseline'!N79)</f>
        <v>#VALUE!</v>
      </c>
      <c r="O99" s="119">
        <f>(BaselineResults!V125+BaselineResults!V135)-('Full Results Baseline'!O71+'Full Results Baseline'!O79)</f>
        <v>0</v>
      </c>
      <c r="P99" s="119">
        <f>(BaselineResults!W125+BaselineResults!W135)-('Full Results Baseline'!P71+'Full Results Baseline'!P79)</f>
        <v>0</v>
      </c>
      <c r="Q99" s="119">
        <f>(BaselineResults!X125+BaselineResults!X135)-('Full Results Baseline'!Q71+'Full Results Baseline'!Q79)</f>
        <v>0</v>
      </c>
      <c r="R99" s="119">
        <f>(BaselineResults!Y125+BaselineResults!Y135)-('Full Results Baseline'!R71+'Full Results Baseline'!R79)</f>
        <v>0</v>
      </c>
      <c r="S99" s="119">
        <f>(BaselineResults!Z125+BaselineResults!Z135)-('Full Results Baseline'!S71+'Full Results Baseline'!S79)</f>
        <v>0</v>
      </c>
      <c r="T99" s="119">
        <f>(BaselineResults!AA125+BaselineResults!AA135)-('Full Results Baseline'!T71+'Full Results Baseline'!T79)</f>
        <v>0</v>
      </c>
      <c r="U99" s="119">
        <f>(BaselineResults!AB125+BaselineResults!AB135)-('Full Results Baseline'!U71+'Full Results Baseline'!U79)</f>
        <v>0</v>
      </c>
      <c r="V99" s="119">
        <f>(BaselineResults!AC125+BaselineResults!AC135)-('Full Results Baseline'!V71+'Full Results Baseline'!V79)</f>
        <v>0</v>
      </c>
      <c r="W99" s="119">
        <f>(BaselineResults!AD125+BaselineResults!AD135)-('Full Results Baseline'!W71+'Full Results Baseline'!W79)</f>
        <v>0</v>
      </c>
      <c r="X99" s="119">
        <f>(BaselineResults!AE125+BaselineResults!AE135)-('Full Results Baseline'!X71+'Full Results Baseline'!X79)</f>
        <v>0</v>
      </c>
      <c r="Y99" s="119">
        <f>(BaselineResults!AF125+BaselineResults!AF135)-('Full Results Baseline'!Y71+'Full Results Baseline'!Y79)</f>
        <v>0</v>
      </c>
      <c r="Z99" s="119">
        <f>(BaselineResults!AG125+BaselineResults!AG135)-('Full Results Baseline'!Z71+'Full Results Baseline'!Z79)</f>
        <v>0</v>
      </c>
    </row>
    <row r="100" spans="1:26">
      <c r="A100" s="17"/>
      <c r="B100" s="17"/>
      <c r="E100" s="17" t="str">
        <f>IF(Cover!E4="English","Non-clinical CS",IF(Cover!E4="Français", "SC non clinique","SC no clinica"))</f>
        <v>Non-clinical CS</v>
      </c>
      <c r="L100" s="86"/>
      <c r="N100" s="92" t="e">
        <f>BaselineResults!U126-'Full Results Baseline'!N72</f>
        <v>#VALUE!</v>
      </c>
      <c r="O100" s="91">
        <f>BaselineResults!V126-'Full Results Baseline'!O72</f>
        <v>0</v>
      </c>
      <c r="P100" s="91">
        <f>BaselineResults!W126-'Full Results Baseline'!P72</f>
        <v>0</v>
      </c>
      <c r="Q100" s="91">
        <f>BaselineResults!X126-'Full Results Baseline'!Q72</f>
        <v>0</v>
      </c>
      <c r="R100" s="91">
        <f>BaselineResults!Y126-'Full Results Baseline'!R72</f>
        <v>0</v>
      </c>
      <c r="S100" s="91">
        <f>BaselineResults!Z126-'Full Results Baseline'!S72</f>
        <v>0</v>
      </c>
      <c r="T100" s="91">
        <f>BaselineResults!AA126-'Full Results Baseline'!T72</f>
        <v>0</v>
      </c>
      <c r="U100" s="91">
        <f>BaselineResults!AB126-'Full Results Baseline'!U72</f>
        <v>0</v>
      </c>
      <c r="V100" s="91">
        <f>BaselineResults!AC126-'Full Results Baseline'!V72</f>
        <v>0</v>
      </c>
      <c r="W100" s="91">
        <f>BaselineResults!AD126-'Full Results Baseline'!W72</f>
        <v>0</v>
      </c>
      <c r="X100" s="91">
        <f>BaselineResults!AE126-'Full Results Baseline'!X72</f>
        <v>0</v>
      </c>
      <c r="Y100" s="91">
        <f>BaselineResults!AF126-'Full Results Baseline'!Y72</f>
        <v>0</v>
      </c>
      <c r="Z100" s="91">
        <f>BaselineResults!AG126-'Full Results Baseline'!Z72</f>
        <v>0</v>
      </c>
    </row>
    <row r="101" spans="1:26">
      <c r="A101" s="17"/>
      <c r="B101" s="17"/>
      <c r="E101" s="37" t="s">
        <v>163</v>
      </c>
      <c r="F101" s="37"/>
      <c r="L101" s="86"/>
      <c r="N101" s="92" t="e">
        <f>(SUM(BaselineResults!U122:U126))-(SUM(N68:N72))</f>
        <v>#VALUE!</v>
      </c>
      <c r="O101" s="91">
        <f>(SUM(BaselineResults!V122:V126))-(SUM(O68:O72))</f>
        <v>103.08802211369766</v>
      </c>
      <c r="P101" s="91">
        <f>(SUM(BaselineResults!W122:W126))-(SUM(P68:P72))</f>
        <v>102.83028004952939</v>
      </c>
      <c r="Q101" s="91">
        <f>(SUM(BaselineResults!X122:X126))-(SUM(Q68:Q72))</f>
        <v>102.4997589810755</v>
      </c>
      <c r="R101" s="91">
        <f>(SUM(BaselineResults!Y122:Y126))-(SUM(R68:R72))</f>
        <v>102.12185300689816</v>
      </c>
      <c r="S101" s="91">
        <f>(SUM(BaselineResults!Z122:Z126))-(SUM(S68:S72))</f>
        <v>101.71508535394241</v>
      </c>
      <c r="T101" s="91">
        <f>(SUM(BaselineResults!AA122:AA126))-(SUM(T68:T72))</f>
        <v>101.2787970614263</v>
      </c>
      <c r="U101" s="91">
        <f>(SUM(BaselineResults!AB122:AB126))-(SUM(U68:U72))</f>
        <v>100.80903838268023</v>
      </c>
      <c r="V101" s="91">
        <f>(SUM(BaselineResults!AC122:AC126))-(SUM(V68:V72))</f>
        <v>100.30013984413563</v>
      </c>
      <c r="W101" s="91">
        <f>(SUM(BaselineResults!AD122:AD126))-(SUM(W68:W72))</f>
        <v>99.748127590803051</v>
      </c>
      <c r="X101" s="91">
        <f>(SUM(BaselineResults!AE122:AE126))-(SUM(X68:X72))</f>
        <v>99.15171584554264</v>
      </c>
      <c r="Y101" s="91">
        <f>(SUM(BaselineResults!AF122:AF126))-(SUM(Y68:Y72))</f>
        <v>98.512612281123438</v>
      </c>
      <c r="Z101" s="91">
        <f>(SUM(BaselineResults!AG122:AG126))-(SUM(Z68:Z72))</f>
        <v>97.830037395155159</v>
      </c>
    </row>
    <row r="102" spans="1:26">
      <c r="A102" s="17"/>
      <c r="B102" s="17"/>
      <c r="K102" s="120"/>
    </row>
    <row r="103" spans="1:26">
      <c r="A103" s="17"/>
      <c r="B103" s="17"/>
      <c r="K103" s="120"/>
    </row>
    <row r="104" spans="1:26">
      <c r="A104" s="17"/>
      <c r="B104" s="17"/>
      <c r="K104" s="120"/>
    </row>
    <row r="105" spans="1:26">
      <c r="A105" s="17"/>
      <c r="B105" s="17"/>
      <c r="K105" s="120"/>
    </row>
    <row r="106" spans="1:26">
      <c r="A106" s="17"/>
      <c r="B106" s="17"/>
    </row>
    <row r="107" spans="1:26">
      <c r="A107" s="17"/>
      <c r="B107" s="17"/>
      <c r="L107" s="86"/>
    </row>
    <row r="108" spans="1:26">
      <c r="A108" s="17"/>
      <c r="B108" s="17"/>
      <c r="L108" s="86"/>
    </row>
    <row r="109" spans="1:26">
      <c r="A109" s="17"/>
      <c r="B109" s="17"/>
      <c r="L109" s="86"/>
    </row>
    <row r="110" spans="1:26">
      <c r="A110" s="17"/>
      <c r="B110" s="17"/>
      <c r="L110" s="86"/>
    </row>
    <row r="111" spans="1:26">
      <c r="A111" s="17"/>
      <c r="B111" s="17"/>
      <c r="L111" s="86"/>
    </row>
    <row r="113" spans="1:12">
      <c r="A113" s="17"/>
      <c r="B113" s="17"/>
      <c r="L113" s="86"/>
    </row>
    <row r="115" spans="1:12">
      <c r="A115" s="17"/>
      <c r="B115" s="17"/>
      <c r="L115" s="86"/>
    </row>
    <row r="116" spans="1:12">
      <c r="A116" s="17"/>
      <c r="B116" s="17"/>
      <c r="L116" s="86"/>
    </row>
    <row r="117" spans="1:12">
      <c r="A117" s="17"/>
      <c r="B117" s="17"/>
      <c r="L117" s="86"/>
    </row>
    <row r="118" spans="1:12">
      <c r="A118" s="17"/>
      <c r="B118" s="17"/>
      <c r="L118" s="86"/>
    </row>
    <row r="119" spans="1:12">
      <c r="A119" s="17"/>
      <c r="B119" s="17"/>
      <c r="L119" s="86"/>
    </row>
    <row r="120" spans="1:12">
      <c r="A120" s="17"/>
      <c r="B120" s="17"/>
      <c r="L120" s="86"/>
    </row>
    <row r="121" spans="1:12">
      <c r="A121" s="17"/>
      <c r="B121" s="17"/>
      <c r="L121" s="86"/>
    </row>
    <row r="123" spans="1:12">
      <c r="A123" s="17"/>
      <c r="B123" s="17"/>
      <c r="L123" s="86"/>
    </row>
    <row r="125" spans="1:12">
      <c r="A125" s="17"/>
      <c r="B125" s="17"/>
      <c r="L125" s="86"/>
    </row>
    <row r="126" spans="1:12">
      <c r="A126" s="17"/>
      <c r="B126" s="17"/>
      <c r="L126" s="86"/>
    </row>
    <row r="127" spans="1:12">
      <c r="A127" s="17"/>
      <c r="B127" s="17"/>
      <c r="L127" s="86"/>
    </row>
    <row r="128" spans="1:12">
      <c r="A128" s="17"/>
      <c r="B128" s="17"/>
      <c r="L128" s="86"/>
    </row>
    <row r="129" spans="1:12">
      <c r="A129" s="17"/>
      <c r="B129" s="17"/>
      <c r="L129" s="86"/>
    </row>
    <row r="130" spans="1:12">
      <c r="A130" s="17"/>
      <c r="B130" s="17"/>
      <c r="L130" s="86"/>
    </row>
    <row r="131" spans="1:12">
      <c r="A131" s="17"/>
      <c r="B131" s="17"/>
      <c r="L131" s="86"/>
    </row>
    <row r="132" spans="1:12">
      <c r="A132" s="17"/>
      <c r="B132" s="17"/>
      <c r="L132" s="86"/>
    </row>
    <row r="133" spans="1:12">
      <c r="A133" s="17"/>
      <c r="B133" s="17"/>
      <c r="L133" s="86"/>
    </row>
    <row r="134" spans="1:12">
      <c r="A134" s="17"/>
      <c r="B134" s="17"/>
      <c r="L134" s="86"/>
    </row>
    <row r="135" spans="1:12">
      <c r="A135" s="17"/>
      <c r="B135" s="17"/>
      <c r="L135" s="86"/>
    </row>
    <row r="136" spans="1:12">
      <c r="A136" s="17"/>
      <c r="B136" s="17"/>
      <c r="L136" s="86"/>
    </row>
    <row r="137" spans="1:12">
      <c r="A137" s="17"/>
      <c r="B137" s="17"/>
      <c r="L137" s="86"/>
    </row>
  </sheetData>
  <customSheetViews>
    <customSheetView guid="{8967CA62-3554-8A40-ACFF-3515F2B518C8}" scale="61" showGridLines="0" topLeftCell="G36">
      <selection activeCell="AI89" sqref="AI89"/>
      <colBreaks count="1" manualBreakCount="1">
        <brk id="21" max="1048575" man="1"/>
      </colBreaks>
      <pageMargins left="0.7" right="0.7" top="0.75" bottom="0.75" header="0.3" footer="0.3"/>
      <pageSetup paperSize="9" orientation="portrait" horizontalDpi="4294967292" verticalDpi="4294967292"/>
    </customSheetView>
    <customSheetView guid="{EB877D66-0749-4C48-89AA-FFA94A34014C}" scale="61" showGridLines="0" state="hidden" topLeftCell="G36">
      <selection activeCell="N48" sqref="N48"/>
      <colBreaks count="1" manualBreakCount="1">
        <brk id="21" max="1048575" man="1"/>
      </colBreaks>
      <pageMargins left="0.7" right="0.7" top="0.75" bottom="0.75" header="0.3" footer="0.3"/>
      <pageSetup paperSize="9" orientation="portrait" horizontalDpi="4294967292" verticalDpi="4294967292"/>
    </customSheetView>
  </customSheetViews>
  <pageMargins left="0.7" right="0.7" top="0.75" bottom="0.75" header="0.3" footer="0.3"/>
  <pageSetup paperSize="9" orientation="portrait" horizontalDpi="4294967292" verticalDpi="4294967292"/>
  <colBreaks count="1" manualBreakCount="1">
    <brk id="21"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F100"/>
  <sheetViews>
    <sheetView topLeftCell="A52" zoomScale="84" workbookViewId="0">
      <selection activeCell="N48" sqref="N48"/>
    </sheetView>
  </sheetViews>
  <sheetFormatPr baseColWidth="10" defaultRowHeight="16"/>
  <cols>
    <col min="2" max="3" width="10.83203125" style="528"/>
  </cols>
  <sheetData>
    <row r="1" spans="1:31" s="528" customFormat="1">
      <c r="A1" s="528" t="s">
        <v>875</v>
      </c>
      <c r="B1" s="528" t="s">
        <v>871</v>
      </c>
      <c r="C1" s="528" t="s">
        <v>872</v>
      </c>
      <c r="D1" s="528">
        <v>2003</v>
      </c>
      <c r="E1" s="528">
        <v>2004</v>
      </c>
      <c r="F1" s="528">
        <v>2005</v>
      </c>
      <c r="G1" s="528">
        <v>2006</v>
      </c>
      <c r="H1" s="528">
        <v>2007</v>
      </c>
      <c r="I1" s="528">
        <v>2008</v>
      </c>
      <c r="J1" s="528">
        <v>2009</v>
      </c>
      <c r="K1" s="528">
        <v>2010</v>
      </c>
      <c r="L1" s="528">
        <v>2011</v>
      </c>
      <c r="M1" s="528">
        <v>2012</v>
      </c>
      <c r="N1" s="528">
        <v>2013</v>
      </c>
      <c r="O1" s="528">
        <v>2014</v>
      </c>
      <c r="P1" s="528">
        <v>2015</v>
      </c>
      <c r="Q1" s="528">
        <v>2016</v>
      </c>
      <c r="R1" s="528">
        <v>2017</v>
      </c>
      <c r="S1" s="528">
        <v>2018</v>
      </c>
      <c r="T1" s="528">
        <v>2019</v>
      </c>
      <c r="U1" s="528">
        <v>2020</v>
      </c>
      <c r="V1" s="528">
        <v>2021</v>
      </c>
      <c r="W1" s="528">
        <v>2022</v>
      </c>
      <c r="X1" s="528">
        <v>2023</v>
      </c>
      <c r="Y1" s="528">
        <v>2024</v>
      </c>
      <c r="Z1" s="528">
        <v>2025</v>
      </c>
      <c r="AA1" s="528">
        <v>2026</v>
      </c>
      <c r="AB1" s="528">
        <v>2027</v>
      </c>
      <c r="AC1" s="528">
        <v>2028</v>
      </c>
      <c r="AD1" s="528">
        <v>2029</v>
      </c>
      <c r="AE1" s="528">
        <v>2030</v>
      </c>
    </row>
    <row r="2" spans="1:31" s="528" customFormat="1">
      <c r="A2" t="str">
        <f t="shared" ref="A2:A3" si="0">B2&amp;C2</f>
        <v>AfghanistanUNPD</v>
      </c>
      <c r="B2" s="528" t="s">
        <v>928</v>
      </c>
      <c r="C2" s="528" t="s">
        <v>874</v>
      </c>
      <c r="D2">
        <v>1046570</v>
      </c>
      <c r="E2">
        <v>1066283</v>
      </c>
      <c r="F2">
        <v>1082591</v>
      </c>
      <c r="G2">
        <v>1094454</v>
      </c>
      <c r="H2">
        <v>1101497</v>
      </c>
      <c r="I2">
        <v>1103891</v>
      </c>
      <c r="J2">
        <v>1102262</v>
      </c>
      <c r="K2">
        <v>1097839</v>
      </c>
      <c r="L2">
        <v>1092181</v>
      </c>
      <c r="M2">
        <v>1086791</v>
      </c>
      <c r="N2">
        <v>1082800</v>
      </c>
      <c r="O2">
        <v>1080751</v>
      </c>
      <c r="P2" s="744">
        <v>1080621</v>
      </c>
      <c r="Q2">
        <v>1081810</v>
      </c>
      <c r="R2" s="745">
        <v>1083160</v>
      </c>
      <c r="S2">
        <v>1083787</v>
      </c>
      <c r="T2">
        <v>1083460</v>
      </c>
      <c r="U2">
        <v>1082167</v>
      </c>
      <c r="V2">
        <v>1080132</v>
      </c>
      <c r="W2">
        <v>1077815</v>
      </c>
      <c r="X2">
        <v>1075575</v>
      </c>
      <c r="Y2">
        <v>1073511</v>
      </c>
      <c r="Z2">
        <v>1071699</v>
      </c>
      <c r="AA2">
        <v>1070146</v>
      </c>
      <c r="AB2">
        <v>1068685</v>
      </c>
      <c r="AC2">
        <v>1067127</v>
      </c>
      <c r="AD2">
        <v>1065331</v>
      </c>
      <c r="AE2" s="745">
        <v>1063123</v>
      </c>
    </row>
    <row r="3" spans="1:31" s="528" customFormat="1">
      <c r="A3" t="str">
        <f t="shared" si="0"/>
        <v>AngolaUNPD</v>
      </c>
      <c r="B3" s="528" t="s">
        <v>929</v>
      </c>
      <c r="C3" s="528" t="s">
        <v>874</v>
      </c>
      <c r="D3">
        <v>841444</v>
      </c>
      <c r="E3">
        <v>865557</v>
      </c>
      <c r="F3">
        <v>890209</v>
      </c>
      <c r="G3">
        <v>915033</v>
      </c>
      <c r="H3">
        <v>939691</v>
      </c>
      <c r="I3">
        <v>963945</v>
      </c>
      <c r="J3">
        <v>987705</v>
      </c>
      <c r="K3">
        <v>1011005</v>
      </c>
      <c r="L3">
        <v>1034009</v>
      </c>
      <c r="M3">
        <v>1057020</v>
      </c>
      <c r="N3">
        <v>1080284</v>
      </c>
      <c r="O3">
        <v>1103901</v>
      </c>
      <c r="P3" s="744">
        <v>1127928</v>
      </c>
      <c r="Q3">
        <v>1152358</v>
      </c>
      <c r="R3" s="745">
        <v>1177093</v>
      </c>
      <c r="S3">
        <v>1202050</v>
      </c>
      <c r="T3">
        <v>1227201</v>
      </c>
      <c r="U3">
        <v>1252555</v>
      </c>
      <c r="V3">
        <v>1278136</v>
      </c>
      <c r="W3">
        <v>1303934</v>
      </c>
      <c r="X3">
        <v>1329903</v>
      </c>
      <c r="Y3">
        <v>1355967</v>
      </c>
      <c r="Z3">
        <v>1382064</v>
      </c>
      <c r="AA3">
        <v>1408135</v>
      </c>
      <c r="AB3">
        <v>1434099</v>
      </c>
      <c r="AC3">
        <v>1459849</v>
      </c>
      <c r="AD3">
        <v>1485277</v>
      </c>
      <c r="AE3" s="745">
        <v>1510266</v>
      </c>
    </row>
    <row r="4" spans="1:31">
      <c r="A4" t="str">
        <f>B4&amp;C4</f>
        <v>Antigua &amp; BarbudaUNPD</v>
      </c>
      <c r="B4" s="528" t="s">
        <v>343</v>
      </c>
      <c r="C4" s="528" t="s">
        <v>874</v>
      </c>
      <c r="D4" s="313">
        <v>1561</v>
      </c>
      <c r="E4" s="313">
        <v>1551</v>
      </c>
      <c r="F4" s="313">
        <v>1538</v>
      </c>
      <c r="G4" s="313">
        <v>1523</v>
      </c>
      <c r="H4" s="313">
        <v>1509</v>
      </c>
      <c r="I4" s="313">
        <v>1497</v>
      </c>
      <c r="J4" s="313">
        <v>1487</v>
      </c>
      <c r="K4" s="313">
        <v>1481</v>
      </c>
      <c r="L4" s="313">
        <v>1478</v>
      </c>
      <c r="M4" s="313">
        <v>1479</v>
      </c>
      <c r="N4" s="313">
        <v>1481</v>
      </c>
      <c r="O4" s="313">
        <v>1484</v>
      </c>
      <c r="P4" s="313">
        <v>1488</v>
      </c>
      <c r="Q4" s="313">
        <v>1493</v>
      </c>
      <c r="R4" s="313">
        <v>1498</v>
      </c>
      <c r="S4" s="313">
        <v>1503</v>
      </c>
      <c r="T4" s="313">
        <v>1507</v>
      </c>
      <c r="U4" s="313">
        <v>1509</v>
      </c>
      <c r="V4" s="313">
        <v>1510</v>
      </c>
      <c r="W4" s="313">
        <v>1510</v>
      </c>
      <c r="X4" s="313">
        <v>1508</v>
      </c>
      <c r="Y4" s="313">
        <v>1504</v>
      </c>
      <c r="Z4" s="313">
        <v>1499</v>
      </c>
      <c r="AA4" s="313">
        <v>1492</v>
      </c>
      <c r="AB4" s="313">
        <v>1483</v>
      </c>
      <c r="AC4" s="313">
        <v>1474</v>
      </c>
      <c r="AD4" s="313">
        <v>1463</v>
      </c>
      <c r="AE4" s="313">
        <v>1453</v>
      </c>
    </row>
    <row r="5" spans="1:31">
      <c r="A5" t="str">
        <f t="shared" ref="A5:A76" si="1">B5&amp;C5</f>
        <v>ArgentinaUNPD</v>
      </c>
      <c r="B5" s="528" t="s">
        <v>344</v>
      </c>
      <c r="C5" s="528" t="s">
        <v>874</v>
      </c>
      <c r="D5" s="313">
        <v>731519</v>
      </c>
      <c r="E5" s="313">
        <v>734597</v>
      </c>
      <c r="F5" s="313">
        <v>737156</v>
      </c>
      <c r="G5" s="313">
        <v>739397</v>
      </c>
      <c r="H5" s="313">
        <v>741619</v>
      </c>
      <c r="I5" s="313">
        <v>743998</v>
      </c>
      <c r="J5" s="313">
        <v>746494</v>
      </c>
      <c r="K5" s="313">
        <v>748943</v>
      </c>
      <c r="L5" s="313">
        <v>751107</v>
      </c>
      <c r="M5" s="313">
        <v>752745</v>
      </c>
      <c r="N5" s="313">
        <v>753695</v>
      </c>
      <c r="O5" s="313">
        <v>753914</v>
      </c>
      <c r="P5" s="313">
        <v>753429</v>
      </c>
      <c r="Q5" s="313">
        <v>752341</v>
      </c>
      <c r="R5" s="313">
        <v>750865</v>
      </c>
      <c r="S5" s="313">
        <v>749196</v>
      </c>
      <c r="T5" s="313">
        <v>747446</v>
      </c>
      <c r="U5" s="313">
        <v>745703</v>
      </c>
      <c r="V5" s="313">
        <v>744009</v>
      </c>
      <c r="W5" s="313">
        <v>742341</v>
      </c>
      <c r="X5" s="313">
        <v>740684</v>
      </c>
      <c r="Y5" s="313">
        <v>739057</v>
      </c>
      <c r="Z5" s="313">
        <v>737466</v>
      </c>
      <c r="AA5" s="313">
        <v>735900</v>
      </c>
      <c r="AB5" s="313">
        <v>734336</v>
      </c>
      <c r="AC5" s="313">
        <v>732756</v>
      </c>
      <c r="AD5" s="313">
        <v>731159</v>
      </c>
      <c r="AE5" s="313">
        <v>729552</v>
      </c>
    </row>
    <row r="6" spans="1:31">
      <c r="A6" t="str">
        <f t="shared" si="1"/>
        <v>BahamasUNPD</v>
      </c>
      <c r="B6" s="528" t="s">
        <v>345</v>
      </c>
      <c r="C6" s="528" t="s">
        <v>874</v>
      </c>
      <c r="D6" s="313">
        <v>4994</v>
      </c>
      <c r="E6" s="313">
        <v>5011</v>
      </c>
      <c r="F6" s="313">
        <v>5082</v>
      </c>
      <c r="G6" s="313">
        <v>5191</v>
      </c>
      <c r="H6" s="313">
        <v>5316</v>
      </c>
      <c r="I6" s="313">
        <v>5439</v>
      </c>
      <c r="J6" s="313">
        <v>5547</v>
      </c>
      <c r="K6" s="313">
        <v>5635</v>
      </c>
      <c r="L6" s="313">
        <v>5699</v>
      </c>
      <c r="M6" s="313">
        <v>5748</v>
      </c>
      <c r="N6" s="313">
        <v>5785</v>
      </c>
      <c r="O6" s="313">
        <v>5811</v>
      </c>
      <c r="P6" s="313">
        <v>5827</v>
      </c>
      <c r="Q6" s="313">
        <v>5834</v>
      </c>
      <c r="R6" s="313">
        <v>5834</v>
      </c>
      <c r="S6" s="313">
        <v>5828</v>
      </c>
      <c r="T6" s="313">
        <v>5817</v>
      </c>
      <c r="U6" s="313">
        <v>5801</v>
      </c>
      <c r="V6" s="313">
        <v>5781</v>
      </c>
      <c r="W6" s="313">
        <v>5756</v>
      </c>
      <c r="X6" s="313">
        <v>5725</v>
      </c>
      <c r="Y6" s="313">
        <v>5691</v>
      </c>
      <c r="Z6" s="313">
        <v>5652</v>
      </c>
      <c r="AA6" s="313">
        <v>5610</v>
      </c>
      <c r="AB6" s="313">
        <v>5565</v>
      </c>
      <c r="AC6" s="313">
        <v>5519</v>
      </c>
      <c r="AD6" s="313">
        <v>5473</v>
      </c>
      <c r="AE6" s="313">
        <v>5427</v>
      </c>
    </row>
    <row r="7" spans="1:31">
      <c r="A7" t="str">
        <f t="shared" si="1"/>
        <v>BangladeshUNPD</v>
      </c>
      <c r="B7" s="528" t="s">
        <v>865</v>
      </c>
      <c r="C7" s="528" t="s">
        <v>874</v>
      </c>
      <c r="D7" s="313">
        <v>3532154</v>
      </c>
      <c r="E7" s="313">
        <v>3488482</v>
      </c>
      <c r="F7" s="313">
        <v>3441354</v>
      </c>
      <c r="G7" s="313">
        <v>3393378</v>
      </c>
      <c r="H7" s="313">
        <v>3347251</v>
      </c>
      <c r="I7" s="313">
        <v>3305137</v>
      </c>
      <c r="J7" s="313">
        <v>3268209</v>
      </c>
      <c r="K7" s="313">
        <v>3237136</v>
      </c>
      <c r="L7" s="313">
        <v>3211713</v>
      </c>
      <c r="M7" s="313">
        <v>3190181</v>
      </c>
      <c r="N7" s="313">
        <v>3170788</v>
      </c>
      <c r="O7" s="313">
        <v>3152549</v>
      </c>
      <c r="P7" s="313">
        <v>3134427</v>
      </c>
      <c r="Q7" s="313">
        <v>3115553</v>
      </c>
      <c r="R7" s="313">
        <v>3095451</v>
      </c>
      <c r="S7" s="313">
        <v>3073697</v>
      </c>
      <c r="T7" s="313">
        <v>3049855</v>
      </c>
      <c r="U7" s="313">
        <v>3023646</v>
      </c>
      <c r="V7" s="313">
        <v>2995081</v>
      </c>
      <c r="W7" s="313">
        <v>2964686</v>
      </c>
      <c r="X7" s="313">
        <v>2932985</v>
      </c>
      <c r="Y7" s="313">
        <v>2900257</v>
      </c>
      <c r="Z7" s="313">
        <v>2866696</v>
      </c>
      <c r="AA7" s="313">
        <v>2832429</v>
      </c>
      <c r="AB7" s="313">
        <v>2797642</v>
      </c>
      <c r="AC7" s="313">
        <v>2762623</v>
      </c>
      <c r="AD7" s="313">
        <v>2727735</v>
      </c>
      <c r="AE7" s="313">
        <v>2693350</v>
      </c>
    </row>
    <row r="8" spans="1:31">
      <c r="A8" t="str">
        <f t="shared" si="1"/>
        <v>BarbadosUNPD</v>
      </c>
      <c r="B8" s="528" t="s">
        <v>346</v>
      </c>
      <c r="C8" s="528" t="s">
        <v>874</v>
      </c>
      <c r="D8" s="313">
        <v>3604</v>
      </c>
      <c r="E8" s="313">
        <v>3578</v>
      </c>
      <c r="F8" s="313">
        <v>3558</v>
      </c>
      <c r="G8" s="313">
        <v>3541</v>
      </c>
      <c r="H8" s="313">
        <v>3527</v>
      </c>
      <c r="I8" s="313">
        <v>3514</v>
      </c>
      <c r="J8" s="313">
        <v>3501</v>
      </c>
      <c r="K8" s="313">
        <v>3486</v>
      </c>
      <c r="L8" s="313">
        <v>3471</v>
      </c>
      <c r="M8" s="313">
        <v>3456</v>
      </c>
      <c r="N8" s="313">
        <v>3441</v>
      </c>
      <c r="O8" s="313">
        <v>3427</v>
      </c>
      <c r="P8" s="313">
        <v>3412</v>
      </c>
      <c r="Q8" s="313">
        <v>3398</v>
      </c>
      <c r="R8" s="313">
        <v>3383</v>
      </c>
      <c r="S8" s="313">
        <v>3368</v>
      </c>
      <c r="T8" s="313">
        <v>3354</v>
      </c>
      <c r="U8" s="313">
        <v>3339</v>
      </c>
      <c r="V8" s="313">
        <v>3324</v>
      </c>
      <c r="W8" s="313">
        <v>3309</v>
      </c>
      <c r="X8" s="313">
        <v>3294</v>
      </c>
      <c r="Y8" s="313">
        <v>3280</v>
      </c>
      <c r="Z8" s="313">
        <v>3266</v>
      </c>
      <c r="AA8" s="313">
        <v>3253</v>
      </c>
      <c r="AB8" s="313">
        <v>3240</v>
      </c>
      <c r="AC8" s="313">
        <v>3228</v>
      </c>
      <c r="AD8" s="313">
        <v>3216</v>
      </c>
      <c r="AE8" s="313">
        <v>3205</v>
      </c>
    </row>
    <row r="9" spans="1:31">
      <c r="A9" t="str">
        <f t="shared" si="1"/>
        <v>BelarusUNPD</v>
      </c>
      <c r="B9" s="528" t="s">
        <v>166</v>
      </c>
      <c r="C9" s="528" t="s">
        <v>874</v>
      </c>
      <c r="D9">
        <v>90783</v>
      </c>
      <c r="E9">
        <v>92776</v>
      </c>
      <c r="F9">
        <v>95170</v>
      </c>
      <c r="G9">
        <v>97813</v>
      </c>
      <c r="H9">
        <v>100559</v>
      </c>
      <c r="I9">
        <v>103243</v>
      </c>
      <c r="J9">
        <v>105699</v>
      </c>
      <c r="K9">
        <v>107785</v>
      </c>
      <c r="L9">
        <v>109423</v>
      </c>
      <c r="M9">
        <v>110638</v>
      </c>
      <c r="N9">
        <v>111445</v>
      </c>
      <c r="O9">
        <v>111815</v>
      </c>
      <c r="P9" s="221">
        <v>111719</v>
      </c>
      <c r="Q9">
        <v>111148</v>
      </c>
      <c r="R9" s="428">
        <v>110154</v>
      </c>
      <c r="S9" s="416">
        <v>108804</v>
      </c>
      <c r="T9" s="416">
        <v>108805</v>
      </c>
      <c r="U9" s="416">
        <v>105249</v>
      </c>
      <c r="V9" s="416">
        <v>103113</v>
      </c>
      <c r="W9" s="416">
        <v>100801</v>
      </c>
      <c r="X9" s="416">
        <v>98391</v>
      </c>
      <c r="Y9" s="416">
        <v>95973</v>
      </c>
      <c r="Z9" s="416">
        <v>93630</v>
      </c>
      <c r="AA9" s="416">
        <v>91425</v>
      </c>
      <c r="AB9" s="416">
        <v>89398</v>
      </c>
      <c r="AC9" s="416">
        <v>87599</v>
      </c>
      <c r="AD9" s="416">
        <v>86090</v>
      </c>
      <c r="AE9" s="416">
        <v>84938</v>
      </c>
    </row>
    <row r="10" spans="1:31">
      <c r="A10" t="str">
        <f t="shared" si="1"/>
        <v>BelizeUNPD</v>
      </c>
      <c r="B10" s="528" t="s">
        <v>368</v>
      </c>
      <c r="C10" s="528" t="s">
        <v>874</v>
      </c>
      <c r="D10" s="313">
        <v>7496</v>
      </c>
      <c r="E10" s="313">
        <v>7494</v>
      </c>
      <c r="F10" s="313">
        <v>7479</v>
      </c>
      <c r="G10" s="313">
        <v>7463</v>
      </c>
      <c r="H10" s="313">
        <v>7461</v>
      </c>
      <c r="I10" s="313">
        <v>7485</v>
      </c>
      <c r="J10" s="313">
        <v>7536</v>
      </c>
      <c r="K10" s="313">
        <v>7617</v>
      </c>
      <c r="L10" s="313">
        <v>7722</v>
      </c>
      <c r="M10" s="313">
        <v>7840</v>
      </c>
      <c r="N10" s="313">
        <v>7961</v>
      </c>
      <c r="O10" s="313">
        <v>8078</v>
      </c>
      <c r="P10" s="313">
        <v>8188</v>
      </c>
      <c r="Q10" s="313">
        <v>8288</v>
      </c>
      <c r="R10" s="313">
        <v>8379</v>
      </c>
      <c r="S10" s="313">
        <v>8460</v>
      </c>
      <c r="T10" s="313">
        <v>8530</v>
      </c>
      <c r="U10" s="313">
        <v>8588</v>
      </c>
      <c r="V10" s="313">
        <v>8632</v>
      </c>
      <c r="W10" s="313">
        <v>8664</v>
      </c>
      <c r="X10" s="313">
        <v>8684</v>
      </c>
      <c r="Y10" s="313">
        <v>8693</v>
      </c>
      <c r="Z10" s="313">
        <v>8692</v>
      </c>
      <c r="AA10" s="313">
        <v>8682</v>
      </c>
      <c r="AB10" s="313">
        <v>8663</v>
      </c>
      <c r="AC10" s="313">
        <v>8637</v>
      </c>
      <c r="AD10" s="313">
        <v>8606</v>
      </c>
      <c r="AE10" s="313">
        <v>8572</v>
      </c>
    </row>
    <row r="11" spans="1:31">
      <c r="A11" t="str">
        <f t="shared" si="1"/>
        <v>BeninUNPD</v>
      </c>
      <c r="B11" s="528" t="s">
        <v>126</v>
      </c>
      <c r="C11" s="528" t="s">
        <v>874</v>
      </c>
      <c r="D11" s="221">
        <v>318794</v>
      </c>
      <c r="E11" s="221">
        <v>325194</v>
      </c>
      <c r="F11" s="221">
        <v>331417</v>
      </c>
      <c r="G11" s="221">
        <v>337440</v>
      </c>
      <c r="H11" s="221">
        <v>343284</v>
      </c>
      <c r="I11" s="221">
        <v>348982</v>
      </c>
      <c r="J11" s="221">
        <v>354561</v>
      </c>
      <c r="K11" s="221">
        <v>360071</v>
      </c>
      <c r="L11" s="221">
        <v>365566</v>
      </c>
      <c r="M11" s="221">
        <v>371091</v>
      </c>
      <c r="N11" s="221">
        <v>376669</v>
      </c>
      <c r="O11" s="221">
        <v>382308</v>
      </c>
      <c r="P11" s="221">
        <v>387997</v>
      </c>
      <c r="Q11" s="221">
        <v>393708</v>
      </c>
      <c r="R11" s="313">
        <v>399389</v>
      </c>
      <c r="S11" s="313">
        <v>404996</v>
      </c>
      <c r="T11" s="313">
        <v>410507</v>
      </c>
      <c r="U11" s="313">
        <v>415908</v>
      </c>
      <c r="V11" s="313">
        <v>421203</v>
      </c>
      <c r="W11" s="313">
        <v>426404</v>
      </c>
      <c r="X11" s="313">
        <v>431517</v>
      </c>
      <c r="Y11" s="313">
        <v>436537</v>
      </c>
      <c r="Z11" s="313">
        <v>441457</v>
      </c>
      <c r="AA11" s="313">
        <v>446272</v>
      </c>
      <c r="AB11" s="313">
        <v>450976</v>
      </c>
      <c r="AC11" s="313">
        <v>455558</v>
      </c>
      <c r="AD11" s="313">
        <v>460009</v>
      </c>
      <c r="AE11" s="313">
        <v>464316</v>
      </c>
    </row>
    <row r="12" spans="1:31">
      <c r="A12" t="str">
        <f t="shared" si="1"/>
        <v>BhutanUNPD</v>
      </c>
      <c r="B12" s="528" t="s">
        <v>951</v>
      </c>
      <c r="C12" s="528" t="s">
        <v>874</v>
      </c>
      <c r="D12">
        <v>15202</v>
      </c>
      <c r="E12">
        <v>15146</v>
      </c>
      <c r="F12">
        <v>15101</v>
      </c>
      <c r="G12">
        <v>15035</v>
      </c>
      <c r="H12">
        <v>14928</v>
      </c>
      <c r="I12">
        <v>14768</v>
      </c>
      <c r="J12">
        <v>14558</v>
      </c>
      <c r="K12">
        <v>14314</v>
      </c>
      <c r="L12">
        <v>14066</v>
      </c>
      <c r="M12">
        <v>13846</v>
      </c>
      <c r="N12">
        <v>13675</v>
      </c>
      <c r="O12">
        <v>13557</v>
      </c>
      <c r="P12" s="744">
        <v>13486</v>
      </c>
      <c r="Q12">
        <v>13446</v>
      </c>
      <c r="R12" s="745">
        <v>13410</v>
      </c>
      <c r="S12">
        <v>13358</v>
      </c>
      <c r="T12">
        <v>13280</v>
      </c>
      <c r="U12">
        <v>13172</v>
      </c>
      <c r="V12">
        <v>13035</v>
      </c>
      <c r="W12">
        <v>12879</v>
      </c>
      <c r="X12">
        <v>12715</v>
      </c>
      <c r="Y12">
        <v>12546</v>
      </c>
      <c r="Z12">
        <v>12374</v>
      </c>
      <c r="AA12">
        <v>12203</v>
      </c>
      <c r="AB12">
        <v>12033</v>
      </c>
      <c r="AC12">
        <v>11866</v>
      </c>
      <c r="AD12">
        <v>11703</v>
      </c>
      <c r="AE12" s="745">
        <v>11547</v>
      </c>
    </row>
    <row r="13" spans="1:31">
      <c r="A13" t="str">
        <f t="shared" si="1"/>
        <v>BoliviaUNPD</v>
      </c>
      <c r="B13" s="528" t="s">
        <v>798</v>
      </c>
      <c r="C13" s="528" t="s">
        <v>874</v>
      </c>
      <c r="D13" s="221">
        <v>257639</v>
      </c>
      <c r="E13" s="221">
        <v>257275</v>
      </c>
      <c r="F13" s="221">
        <v>256790</v>
      </c>
      <c r="G13" s="221">
        <v>256171</v>
      </c>
      <c r="H13" s="221">
        <v>255423</v>
      </c>
      <c r="I13" s="221">
        <v>254587</v>
      </c>
      <c r="J13" s="221">
        <v>253732</v>
      </c>
      <c r="K13" s="221">
        <v>252974</v>
      </c>
      <c r="L13" s="221">
        <v>252436</v>
      </c>
      <c r="M13" s="221">
        <v>252185</v>
      </c>
      <c r="N13" s="221">
        <v>252249</v>
      </c>
      <c r="O13" s="221">
        <v>252619</v>
      </c>
      <c r="P13" s="221">
        <v>253245</v>
      </c>
      <c r="Q13" s="221">
        <v>254038</v>
      </c>
      <c r="R13" s="429">
        <v>254868</v>
      </c>
      <c r="S13" s="313">
        <v>255624</v>
      </c>
      <c r="T13" s="313">
        <v>256243</v>
      </c>
      <c r="U13" s="313">
        <v>256687</v>
      </c>
      <c r="V13" s="313">
        <v>256951</v>
      </c>
      <c r="W13" s="313">
        <v>257082</v>
      </c>
      <c r="X13" s="313">
        <v>257113</v>
      </c>
      <c r="Y13" s="313">
        <v>257049</v>
      </c>
      <c r="Z13" s="313">
        <v>256893</v>
      </c>
      <c r="AA13" s="313">
        <v>256643</v>
      </c>
      <c r="AB13" s="313">
        <v>256304</v>
      </c>
      <c r="AC13" s="313">
        <v>255884</v>
      </c>
      <c r="AD13" s="313">
        <v>255392</v>
      </c>
      <c r="AE13" s="313">
        <v>254837</v>
      </c>
    </row>
    <row r="14" spans="1:31">
      <c r="A14" t="str">
        <f t="shared" si="1"/>
        <v>BotswanaUNPD</v>
      </c>
      <c r="B14" s="528" t="s">
        <v>834</v>
      </c>
      <c r="C14" s="528" t="s">
        <v>874</v>
      </c>
      <c r="D14">
        <v>47608</v>
      </c>
      <c r="E14">
        <v>47777</v>
      </c>
      <c r="F14">
        <v>48105</v>
      </c>
      <c r="G14">
        <v>48646</v>
      </c>
      <c r="H14">
        <v>49398</v>
      </c>
      <c r="I14">
        <v>50326</v>
      </c>
      <c r="J14">
        <v>51380</v>
      </c>
      <c r="K14">
        <v>52469</v>
      </c>
      <c r="L14">
        <v>53489</v>
      </c>
      <c r="M14">
        <v>54347</v>
      </c>
      <c r="N14">
        <v>54977</v>
      </c>
      <c r="O14">
        <v>55349</v>
      </c>
      <c r="P14" s="313">
        <v>55461</v>
      </c>
      <c r="Q14" s="313">
        <v>55350</v>
      </c>
      <c r="R14" s="313">
        <v>55098</v>
      </c>
      <c r="S14" s="313">
        <v>54780</v>
      </c>
      <c r="T14" s="313">
        <v>54431</v>
      </c>
      <c r="U14" s="313">
        <v>54075</v>
      </c>
      <c r="V14" s="313">
        <v>53719</v>
      </c>
      <c r="W14" s="313">
        <v>53351</v>
      </c>
      <c r="X14" s="313">
        <v>52971</v>
      </c>
      <c r="Y14" s="313">
        <v>52593</v>
      </c>
      <c r="Z14" s="313">
        <v>52230</v>
      </c>
      <c r="AA14" s="313">
        <v>51895</v>
      </c>
      <c r="AB14" s="313">
        <v>51594</v>
      </c>
      <c r="AC14" s="313">
        <v>51330</v>
      </c>
      <c r="AD14" s="313">
        <v>51110</v>
      </c>
      <c r="AE14" s="313">
        <v>50939</v>
      </c>
    </row>
    <row r="15" spans="1:31">
      <c r="A15" t="str">
        <f t="shared" si="1"/>
        <v>BrazilUNPD</v>
      </c>
      <c r="B15" s="528" t="s">
        <v>167</v>
      </c>
      <c r="C15" s="528" t="s">
        <v>874</v>
      </c>
      <c r="D15" s="221">
        <v>3553372</v>
      </c>
      <c r="E15" s="221">
        <v>3479554</v>
      </c>
      <c r="F15" s="221">
        <v>3397533</v>
      </c>
      <c r="G15" s="221">
        <v>3315366</v>
      </c>
      <c r="H15" s="221">
        <v>3240562</v>
      </c>
      <c r="I15" s="221">
        <v>3178596</v>
      </c>
      <c r="J15" s="221">
        <v>3131818</v>
      </c>
      <c r="K15" s="221">
        <v>3099980</v>
      </c>
      <c r="L15" s="221">
        <v>3079985</v>
      </c>
      <c r="M15" s="221">
        <v>3065506</v>
      </c>
      <c r="N15" s="221">
        <v>3051273</v>
      </c>
      <c r="O15" s="221">
        <v>3035148</v>
      </c>
      <c r="P15" s="221">
        <v>3015949</v>
      </c>
      <c r="Q15" s="221">
        <v>2993761</v>
      </c>
      <c r="R15" s="313">
        <v>2970240</v>
      </c>
      <c r="S15" s="313">
        <v>2946642</v>
      </c>
      <c r="T15" s="313">
        <v>2923013</v>
      </c>
      <c r="U15" s="313">
        <v>2899280</v>
      </c>
      <c r="V15" s="313">
        <v>2875292</v>
      </c>
      <c r="W15" s="313">
        <v>2850912</v>
      </c>
      <c r="X15" s="313">
        <v>2826092</v>
      </c>
      <c r="Y15" s="313">
        <v>2800896</v>
      </c>
      <c r="Z15" s="313">
        <v>2775438</v>
      </c>
      <c r="AA15" s="313">
        <v>2749874</v>
      </c>
      <c r="AB15" s="313">
        <v>2724409</v>
      </c>
      <c r="AC15" s="313">
        <v>2698944</v>
      </c>
      <c r="AD15" s="313">
        <v>2673479</v>
      </c>
      <c r="AE15" s="313">
        <v>2648014</v>
      </c>
    </row>
    <row r="16" spans="1:31">
      <c r="A16" t="str">
        <f t="shared" si="1"/>
        <v>BruneiUNPD</v>
      </c>
      <c r="B16" s="528" t="s">
        <v>952</v>
      </c>
      <c r="C16" s="528" t="s">
        <v>874</v>
      </c>
      <c r="D16">
        <v>6837</v>
      </c>
      <c r="E16">
        <v>6803</v>
      </c>
      <c r="F16">
        <v>6807</v>
      </c>
      <c r="G16">
        <v>6835</v>
      </c>
      <c r="H16">
        <v>6869</v>
      </c>
      <c r="I16">
        <v>6892</v>
      </c>
      <c r="J16">
        <v>6898</v>
      </c>
      <c r="K16">
        <v>6882</v>
      </c>
      <c r="L16">
        <v>6846</v>
      </c>
      <c r="M16">
        <v>6800</v>
      </c>
      <c r="N16">
        <v>6748</v>
      </c>
      <c r="O16">
        <v>6695</v>
      </c>
      <c r="P16" s="744">
        <v>6639</v>
      </c>
      <c r="Q16">
        <v>6581</v>
      </c>
      <c r="R16" s="745">
        <v>6519</v>
      </c>
      <c r="S16">
        <v>6455</v>
      </c>
      <c r="T16">
        <v>6387</v>
      </c>
      <c r="U16">
        <v>6318</v>
      </c>
      <c r="V16">
        <v>6247</v>
      </c>
      <c r="W16">
        <v>6177</v>
      </c>
      <c r="X16">
        <v>6109</v>
      </c>
      <c r="Y16">
        <v>6042</v>
      </c>
      <c r="Z16">
        <v>5977</v>
      </c>
      <c r="AA16">
        <v>5913</v>
      </c>
      <c r="AB16">
        <v>5852</v>
      </c>
      <c r="AC16">
        <v>5791</v>
      </c>
      <c r="AD16">
        <v>5733</v>
      </c>
      <c r="AE16" s="745">
        <v>5678</v>
      </c>
    </row>
    <row r="17" spans="1:31">
      <c r="A17" t="str">
        <f t="shared" si="1"/>
        <v>Burkina FasoUNPD</v>
      </c>
      <c r="B17" s="528" t="s">
        <v>168</v>
      </c>
      <c r="C17" s="528" t="s">
        <v>874</v>
      </c>
      <c r="D17" s="221">
        <v>577680</v>
      </c>
      <c r="E17" s="221">
        <v>590762</v>
      </c>
      <c r="F17" s="221">
        <v>603613</v>
      </c>
      <c r="G17" s="221">
        <v>616059</v>
      </c>
      <c r="H17" s="221">
        <v>628028</v>
      </c>
      <c r="I17" s="221">
        <v>639520</v>
      </c>
      <c r="J17" s="221">
        <v>650589</v>
      </c>
      <c r="K17" s="221">
        <v>661370</v>
      </c>
      <c r="L17" s="221">
        <v>672052</v>
      </c>
      <c r="M17" s="221">
        <v>682851</v>
      </c>
      <c r="N17" s="221">
        <v>693935</v>
      </c>
      <c r="O17" s="221">
        <v>705389</v>
      </c>
      <c r="P17" s="221">
        <v>717237</v>
      </c>
      <c r="Q17" s="221">
        <v>729426</v>
      </c>
      <c r="R17" s="313">
        <v>741830</v>
      </c>
      <c r="S17" s="313">
        <v>754348</v>
      </c>
      <c r="T17" s="313">
        <v>766955</v>
      </c>
      <c r="U17" s="313">
        <v>779665</v>
      </c>
      <c r="V17" s="313">
        <v>792515</v>
      </c>
      <c r="W17" s="313">
        <v>805540</v>
      </c>
      <c r="X17" s="313">
        <v>818749</v>
      </c>
      <c r="Y17" s="313">
        <v>832112</v>
      </c>
      <c r="Z17" s="313">
        <v>845606</v>
      </c>
      <c r="AA17" s="313">
        <v>859207</v>
      </c>
      <c r="AB17" s="313">
        <v>872851</v>
      </c>
      <c r="AC17" s="313">
        <v>886458</v>
      </c>
      <c r="AD17" s="313">
        <v>899947</v>
      </c>
      <c r="AE17" s="313">
        <v>913237</v>
      </c>
    </row>
    <row r="18" spans="1:31">
      <c r="A18" t="str">
        <f t="shared" si="1"/>
        <v>BurundiUNPD</v>
      </c>
      <c r="B18" s="528" t="s">
        <v>165</v>
      </c>
      <c r="C18" s="528" t="s">
        <v>874</v>
      </c>
      <c r="D18" s="221">
        <v>318954</v>
      </c>
      <c r="E18" s="221">
        <v>331487</v>
      </c>
      <c r="F18" s="221">
        <v>345429</v>
      </c>
      <c r="G18" s="221">
        <v>360419</v>
      </c>
      <c r="H18" s="221">
        <v>375973</v>
      </c>
      <c r="I18" s="221">
        <v>391611</v>
      </c>
      <c r="J18" s="221">
        <v>406972</v>
      </c>
      <c r="K18" s="221">
        <v>421828</v>
      </c>
      <c r="L18" s="221">
        <v>436122</v>
      </c>
      <c r="M18" s="221">
        <v>449937</v>
      </c>
      <c r="N18" s="221">
        <v>463270</v>
      </c>
      <c r="O18" s="221">
        <v>475956</v>
      </c>
      <c r="P18" s="221">
        <v>487731</v>
      </c>
      <c r="Q18" s="221">
        <v>498332</v>
      </c>
      <c r="R18" s="313">
        <v>507688</v>
      </c>
      <c r="S18" s="313">
        <v>515835</v>
      </c>
      <c r="T18" s="313">
        <v>522873</v>
      </c>
      <c r="U18" s="313">
        <v>528932</v>
      </c>
      <c r="V18" s="313">
        <v>534194</v>
      </c>
      <c r="W18" s="313">
        <v>539002</v>
      </c>
      <c r="X18" s="313">
        <v>543733</v>
      </c>
      <c r="Y18" s="313">
        <v>548712</v>
      </c>
      <c r="Z18" s="313">
        <v>554251</v>
      </c>
      <c r="AA18" s="313">
        <v>560577</v>
      </c>
      <c r="AB18" s="313">
        <v>567749</v>
      </c>
      <c r="AC18" s="313">
        <v>575815</v>
      </c>
      <c r="AD18" s="313">
        <v>584861</v>
      </c>
      <c r="AE18" s="313">
        <v>594983</v>
      </c>
    </row>
    <row r="19" spans="1:31">
      <c r="A19" t="str">
        <f t="shared" si="1"/>
        <v>Cabo VerdeUNPD</v>
      </c>
      <c r="B19" s="528" t="s">
        <v>149</v>
      </c>
      <c r="C19" s="528" t="s">
        <v>874</v>
      </c>
      <c r="D19" s="221">
        <v>11570</v>
      </c>
      <c r="E19" s="221">
        <v>11374</v>
      </c>
      <c r="F19" s="221">
        <v>11219</v>
      </c>
      <c r="G19" s="221">
        <v>11108</v>
      </c>
      <c r="H19" s="221">
        <v>11036</v>
      </c>
      <c r="I19" s="221">
        <v>10993</v>
      </c>
      <c r="J19" s="221">
        <v>10974</v>
      </c>
      <c r="K19" s="221">
        <v>10973</v>
      </c>
      <c r="L19" s="221">
        <v>10983</v>
      </c>
      <c r="M19" s="221">
        <v>10997</v>
      </c>
      <c r="N19" s="221">
        <v>11007</v>
      </c>
      <c r="O19" s="221">
        <v>11006</v>
      </c>
      <c r="P19" s="221">
        <v>10988</v>
      </c>
      <c r="Q19" s="221">
        <v>10948</v>
      </c>
      <c r="R19" s="313">
        <v>10888</v>
      </c>
      <c r="S19" s="313">
        <v>10810</v>
      </c>
      <c r="T19" s="313">
        <v>10714</v>
      </c>
      <c r="U19" s="313">
        <v>10603</v>
      </c>
      <c r="V19" s="313">
        <v>10479</v>
      </c>
      <c r="W19" s="313">
        <v>10346</v>
      </c>
      <c r="X19" s="313">
        <v>10208</v>
      </c>
      <c r="Y19" s="313">
        <v>10071</v>
      </c>
      <c r="Z19" s="313">
        <v>9938</v>
      </c>
      <c r="AA19" s="313">
        <v>9811</v>
      </c>
      <c r="AB19" s="313">
        <v>9691</v>
      </c>
      <c r="AC19" s="313">
        <v>9578</v>
      </c>
      <c r="AD19" s="313">
        <v>9473</v>
      </c>
      <c r="AE19" s="313">
        <v>9379</v>
      </c>
    </row>
    <row r="20" spans="1:31">
      <c r="A20" t="str">
        <f t="shared" si="1"/>
        <v>CambodiaUNPD</v>
      </c>
      <c r="B20" s="528" t="s">
        <v>169</v>
      </c>
      <c r="C20" s="528" t="s">
        <v>874</v>
      </c>
      <c r="D20" s="221">
        <v>341219</v>
      </c>
      <c r="E20" s="221">
        <v>344570</v>
      </c>
      <c r="F20" s="221">
        <v>349014</v>
      </c>
      <c r="G20" s="221">
        <v>353903</v>
      </c>
      <c r="H20" s="221">
        <v>358541</v>
      </c>
      <c r="I20" s="221">
        <v>362389</v>
      </c>
      <c r="J20" s="221">
        <v>365190</v>
      </c>
      <c r="K20" s="221">
        <v>366959</v>
      </c>
      <c r="L20" s="221">
        <v>367963</v>
      </c>
      <c r="M20" s="221">
        <v>368662</v>
      </c>
      <c r="N20" s="221">
        <v>369361</v>
      </c>
      <c r="O20" s="221">
        <v>370069</v>
      </c>
      <c r="P20" s="221">
        <v>370615</v>
      </c>
      <c r="Q20" s="221">
        <v>370714</v>
      </c>
      <c r="R20" s="313">
        <v>370092</v>
      </c>
      <c r="S20" s="313">
        <v>368602</v>
      </c>
      <c r="T20" s="313">
        <v>366271</v>
      </c>
      <c r="U20" s="313">
        <v>363206</v>
      </c>
      <c r="V20" s="313">
        <v>359598</v>
      </c>
      <c r="W20" s="313">
        <v>355762</v>
      </c>
      <c r="X20" s="313">
        <v>351995</v>
      </c>
      <c r="Y20" s="313">
        <v>348495</v>
      </c>
      <c r="Z20" s="313">
        <v>345433</v>
      </c>
      <c r="AA20" s="313">
        <v>342902</v>
      </c>
      <c r="AB20" s="313">
        <v>340855</v>
      </c>
      <c r="AC20" s="313">
        <v>339238</v>
      </c>
      <c r="AD20" s="313">
        <v>338051</v>
      </c>
      <c r="AE20" s="313">
        <v>337293</v>
      </c>
    </row>
    <row r="21" spans="1:31">
      <c r="A21" t="str">
        <f t="shared" si="1"/>
        <v>Central African RepublicUNPD</v>
      </c>
      <c r="B21" s="528" t="s">
        <v>153</v>
      </c>
      <c r="C21" s="528" t="s">
        <v>874</v>
      </c>
      <c r="D21" s="221">
        <v>149299</v>
      </c>
      <c r="E21" s="221">
        <v>149827</v>
      </c>
      <c r="F21" s="221">
        <v>150276</v>
      </c>
      <c r="G21" s="221">
        <v>150802</v>
      </c>
      <c r="H21" s="221">
        <v>151524</v>
      </c>
      <c r="I21" s="221">
        <v>152518</v>
      </c>
      <c r="J21" s="221">
        <v>153812</v>
      </c>
      <c r="K21" s="221">
        <v>155387</v>
      </c>
      <c r="L21" s="221">
        <v>157173</v>
      </c>
      <c r="M21" s="221">
        <v>159034</v>
      </c>
      <c r="N21" s="221">
        <v>160849</v>
      </c>
      <c r="O21" s="221">
        <v>162551</v>
      </c>
      <c r="P21" s="221">
        <v>164092</v>
      </c>
      <c r="Q21" s="221">
        <v>165453</v>
      </c>
      <c r="R21" s="313">
        <v>166656</v>
      </c>
      <c r="S21" s="313">
        <v>167723</v>
      </c>
      <c r="T21" s="313">
        <v>168649</v>
      </c>
      <c r="U21" s="313">
        <v>169431</v>
      </c>
      <c r="V21" s="313">
        <v>170070</v>
      </c>
      <c r="W21" s="313">
        <v>170581</v>
      </c>
      <c r="X21" s="313">
        <v>170984</v>
      </c>
      <c r="Y21" s="313">
        <v>171297</v>
      </c>
      <c r="Z21" s="313">
        <v>171534</v>
      </c>
      <c r="AA21" s="313">
        <v>171705</v>
      </c>
      <c r="AB21" s="313">
        <v>171823</v>
      </c>
      <c r="AC21" s="313">
        <v>171905</v>
      </c>
      <c r="AD21" s="313">
        <v>171972</v>
      </c>
      <c r="AE21" s="313">
        <v>172046</v>
      </c>
    </row>
    <row r="22" spans="1:31">
      <c r="A22" t="str">
        <f t="shared" si="1"/>
        <v>ChileUNPD</v>
      </c>
      <c r="B22" s="528" t="s">
        <v>170</v>
      </c>
      <c r="C22" s="528" t="s">
        <v>874</v>
      </c>
      <c r="D22" s="221">
        <v>247197</v>
      </c>
      <c r="E22" s="221">
        <v>245365</v>
      </c>
      <c r="F22" s="221">
        <v>243729</v>
      </c>
      <c r="G22" s="221">
        <v>242268</v>
      </c>
      <c r="H22" s="221">
        <v>240952</v>
      </c>
      <c r="I22" s="221">
        <v>239755</v>
      </c>
      <c r="J22" s="221">
        <v>238659</v>
      </c>
      <c r="K22" s="221">
        <v>237662</v>
      </c>
      <c r="L22" s="221">
        <v>236773</v>
      </c>
      <c r="M22" s="221">
        <v>236001</v>
      </c>
      <c r="N22" s="221">
        <v>235335</v>
      </c>
      <c r="O22" s="221">
        <v>234753</v>
      </c>
      <c r="P22" s="221">
        <v>234228</v>
      </c>
      <c r="Q22" s="221">
        <v>233735</v>
      </c>
      <c r="R22" s="313">
        <v>233245</v>
      </c>
      <c r="S22" s="313">
        <v>232724</v>
      </c>
      <c r="T22" s="313">
        <v>232142</v>
      </c>
      <c r="U22" s="313">
        <v>231471</v>
      </c>
      <c r="V22" s="313">
        <v>230692</v>
      </c>
      <c r="W22" s="313">
        <v>229807</v>
      </c>
      <c r="X22" s="313">
        <v>228819</v>
      </c>
      <c r="Y22" s="313">
        <v>227728</v>
      </c>
      <c r="Z22" s="313">
        <v>226525</v>
      </c>
      <c r="AA22" s="313">
        <v>225206</v>
      </c>
      <c r="AB22" s="313">
        <v>223789</v>
      </c>
      <c r="AC22" s="313">
        <v>222299</v>
      </c>
      <c r="AD22" s="313">
        <v>220764</v>
      </c>
      <c r="AE22" s="313">
        <v>219217</v>
      </c>
    </row>
    <row r="23" spans="1:31">
      <c r="A23" t="str">
        <f t="shared" si="1"/>
        <v>ChinaUNPD</v>
      </c>
      <c r="B23" s="528" t="s">
        <v>349</v>
      </c>
      <c r="C23" s="528" t="s">
        <v>874</v>
      </c>
      <c r="D23" s="221">
        <v>15535484</v>
      </c>
      <c r="E23" s="221">
        <v>15631355</v>
      </c>
      <c r="F23" s="221">
        <v>15754471</v>
      </c>
      <c r="G23" s="221">
        <v>15902038</v>
      </c>
      <c r="H23" s="221">
        <v>16078101</v>
      </c>
      <c r="I23" s="221">
        <v>16276801</v>
      </c>
      <c r="J23" s="221">
        <v>16477867</v>
      </c>
      <c r="K23" s="221">
        <v>16657663</v>
      </c>
      <c r="L23" s="221">
        <v>16794469</v>
      </c>
      <c r="M23" s="221">
        <v>16874947</v>
      </c>
      <c r="N23" s="221">
        <v>16888499</v>
      </c>
      <c r="O23" s="221">
        <v>16826493</v>
      </c>
      <c r="P23" s="221">
        <v>16680632</v>
      </c>
      <c r="Q23" s="221">
        <v>16448432</v>
      </c>
      <c r="R23" s="313">
        <v>16145230</v>
      </c>
      <c r="S23" s="313">
        <v>15790450</v>
      </c>
      <c r="T23" s="313">
        <v>15400211</v>
      </c>
      <c r="U23" s="313">
        <v>14992367</v>
      </c>
      <c r="V23" s="313">
        <v>14583709</v>
      </c>
      <c r="W23" s="313">
        <v>14188483</v>
      </c>
      <c r="X23" s="313">
        <v>13820586</v>
      </c>
      <c r="Y23" s="313">
        <v>13492608</v>
      </c>
      <c r="Z23" s="313">
        <v>13214679</v>
      </c>
      <c r="AA23" s="313">
        <v>12990999</v>
      </c>
      <c r="AB23" s="313">
        <v>12814357</v>
      </c>
      <c r="AC23" s="313">
        <v>12677126</v>
      </c>
      <c r="AD23" s="313">
        <v>12576044</v>
      </c>
      <c r="AE23" s="313">
        <v>12507713</v>
      </c>
    </row>
    <row r="24" spans="1:31">
      <c r="A24" t="str">
        <f t="shared" si="1"/>
        <v>ColombiaUNPD</v>
      </c>
      <c r="B24" s="528" t="s">
        <v>171</v>
      </c>
      <c r="C24" s="528" t="s">
        <v>874</v>
      </c>
      <c r="D24" s="221">
        <v>837605</v>
      </c>
      <c r="E24" s="221">
        <v>832169</v>
      </c>
      <c r="F24" s="221">
        <v>825467</v>
      </c>
      <c r="G24" s="221">
        <v>817681</v>
      </c>
      <c r="H24" s="221">
        <v>809298</v>
      </c>
      <c r="I24" s="221">
        <v>800751</v>
      </c>
      <c r="J24" s="221">
        <v>792242</v>
      </c>
      <c r="K24" s="221">
        <v>783957</v>
      </c>
      <c r="L24" s="221">
        <v>776006</v>
      </c>
      <c r="M24" s="221">
        <v>768344</v>
      </c>
      <c r="N24" s="221">
        <v>760914</v>
      </c>
      <c r="O24" s="221">
        <v>753702</v>
      </c>
      <c r="P24" s="221">
        <v>746631</v>
      </c>
      <c r="Q24" s="221">
        <v>739579</v>
      </c>
      <c r="R24" s="313">
        <v>732436</v>
      </c>
      <c r="S24" s="313">
        <v>725135</v>
      </c>
      <c r="T24" s="313">
        <v>717678</v>
      </c>
      <c r="U24" s="313">
        <v>710107</v>
      </c>
      <c r="V24" s="313">
        <v>702510</v>
      </c>
      <c r="W24" s="313">
        <v>695008</v>
      </c>
      <c r="X24" s="313">
        <v>687702</v>
      </c>
      <c r="Y24" s="313">
        <v>680642</v>
      </c>
      <c r="Z24" s="313">
        <v>673857</v>
      </c>
      <c r="AA24" s="313">
        <v>667342</v>
      </c>
      <c r="AB24" s="313">
        <v>661047</v>
      </c>
      <c r="AC24" s="313">
        <v>654930</v>
      </c>
      <c r="AD24" s="313">
        <v>648977</v>
      </c>
      <c r="AE24" s="313">
        <v>643179</v>
      </c>
    </row>
    <row r="25" spans="1:31">
      <c r="A25" t="str">
        <f t="shared" si="1"/>
        <v>Costa RicaUNPD</v>
      </c>
      <c r="B25" s="528" t="s">
        <v>350</v>
      </c>
      <c r="C25" s="528" t="s">
        <v>874</v>
      </c>
      <c r="D25" s="313">
        <v>73265</v>
      </c>
      <c r="E25" s="313">
        <v>72808</v>
      </c>
      <c r="F25" s="313">
        <v>72597</v>
      </c>
      <c r="G25" s="313">
        <v>72546</v>
      </c>
      <c r="H25" s="313">
        <v>72531</v>
      </c>
      <c r="I25" s="313">
        <v>72451</v>
      </c>
      <c r="J25" s="313">
        <v>72265</v>
      </c>
      <c r="K25" s="313">
        <v>71961</v>
      </c>
      <c r="L25" s="313">
        <v>71561</v>
      </c>
      <c r="M25" s="313">
        <v>71122</v>
      </c>
      <c r="N25" s="313">
        <v>70685</v>
      </c>
      <c r="O25" s="313">
        <v>70256</v>
      </c>
      <c r="P25" s="313">
        <v>69832</v>
      </c>
      <c r="Q25" s="313">
        <v>69396</v>
      </c>
      <c r="R25" s="313">
        <v>68932</v>
      </c>
      <c r="S25" s="313">
        <v>68426</v>
      </c>
      <c r="T25" s="313">
        <v>67880</v>
      </c>
      <c r="U25" s="313">
        <v>67299</v>
      </c>
      <c r="V25" s="313">
        <v>66693</v>
      </c>
      <c r="W25" s="313">
        <v>66078</v>
      </c>
      <c r="X25" s="313">
        <v>65467</v>
      </c>
      <c r="Y25" s="313">
        <v>64870</v>
      </c>
      <c r="Z25" s="313">
        <v>64293</v>
      </c>
      <c r="AA25" s="313">
        <v>63739</v>
      </c>
      <c r="AB25" s="313">
        <v>63205</v>
      </c>
      <c r="AC25" s="313">
        <v>62687</v>
      </c>
      <c r="AD25" s="313">
        <v>62187</v>
      </c>
      <c r="AE25" s="313">
        <v>61705</v>
      </c>
    </row>
    <row r="26" spans="1:31">
      <c r="A26" t="str">
        <f t="shared" si="1"/>
        <v>CubaUNPD</v>
      </c>
      <c r="B26" s="528" t="s">
        <v>164</v>
      </c>
      <c r="C26" s="528" t="s">
        <v>874</v>
      </c>
      <c r="D26" s="221">
        <v>137816</v>
      </c>
      <c r="E26" s="221">
        <v>135218</v>
      </c>
      <c r="F26" s="221">
        <v>132736</v>
      </c>
      <c r="G26" s="221">
        <v>130420</v>
      </c>
      <c r="H26" s="221">
        <v>128288</v>
      </c>
      <c r="I26" s="221">
        <v>126338</v>
      </c>
      <c r="J26" s="221">
        <v>124557</v>
      </c>
      <c r="K26" s="221">
        <v>122901</v>
      </c>
      <c r="L26" s="221">
        <v>121311</v>
      </c>
      <c r="M26" s="221">
        <v>119726</v>
      </c>
      <c r="N26" s="221">
        <v>118106</v>
      </c>
      <c r="O26" s="221">
        <v>116437</v>
      </c>
      <c r="P26" s="221">
        <v>114727</v>
      </c>
      <c r="Q26" s="221">
        <v>113006</v>
      </c>
      <c r="R26" s="313">
        <v>111325</v>
      </c>
      <c r="S26" s="313">
        <v>109725</v>
      </c>
      <c r="T26" s="313">
        <v>108220</v>
      </c>
      <c r="U26" s="313">
        <v>106820</v>
      </c>
      <c r="V26" s="313">
        <v>105526</v>
      </c>
      <c r="W26" s="313">
        <v>104316</v>
      </c>
      <c r="X26" s="313">
        <v>103171</v>
      </c>
      <c r="Y26" s="313">
        <v>102081</v>
      </c>
      <c r="Z26" s="313">
        <v>101034</v>
      </c>
      <c r="AA26" s="313">
        <v>100018</v>
      </c>
      <c r="AB26" s="313">
        <v>99027</v>
      </c>
      <c r="AC26" s="313">
        <v>98055</v>
      </c>
      <c r="AD26" s="313">
        <v>97098</v>
      </c>
      <c r="AE26" s="313">
        <v>96155</v>
      </c>
    </row>
    <row r="27" spans="1:31">
      <c r="A27" t="str">
        <f t="shared" si="1"/>
        <v>Democratic Republic of CongoUNPD</v>
      </c>
      <c r="B27" s="528" t="s">
        <v>152</v>
      </c>
      <c r="C27" s="528" t="s">
        <v>874</v>
      </c>
      <c r="D27" s="221">
        <v>2455468</v>
      </c>
      <c r="E27" s="221">
        <v>2515121</v>
      </c>
      <c r="F27" s="221">
        <v>2575596</v>
      </c>
      <c r="G27" s="221">
        <v>2636851</v>
      </c>
      <c r="H27" s="221">
        <v>2698744</v>
      </c>
      <c r="I27" s="221">
        <v>2761176</v>
      </c>
      <c r="J27" s="221">
        <v>2824147</v>
      </c>
      <c r="K27" s="221">
        <v>2887754</v>
      </c>
      <c r="L27" s="221">
        <v>2952128</v>
      </c>
      <c r="M27" s="221">
        <v>3017312</v>
      </c>
      <c r="N27" s="221">
        <v>3083263</v>
      </c>
      <c r="O27" s="221">
        <v>3149857</v>
      </c>
      <c r="P27" s="221">
        <v>3216895</v>
      </c>
      <c r="Q27" s="221">
        <v>3284139</v>
      </c>
      <c r="R27" s="313">
        <v>3351364</v>
      </c>
      <c r="S27" s="313">
        <v>3418390</v>
      </c>
      <c r="T27" s="313">
        <v>3485112</v>
      </c>
      <c r="U27" s="313">
        <v>3551561</v>
      </c>
      <c r="V27" s="313">
        <v>3617877</v>
      </c>
      <c r="W27" s="313">
        <v>3684211</v>
      </c>
      <c r="X27" s="313">
        <v>3750622</v>
      </c>
      <c r="Y27" s="313">
        <v>3817027</v>
      </c>
      <c r="Z27" s="313">
        <v>3883314</v>
      </c>
      <c r="AA27" s="313">
        <v>3949338</v>
      </c>
      <c r="AB27" s="313">
        <v>4014893</v>
      </c>
      <c r="AC27" s="313">
        <v>4079764</v>
      </c>
      <c r="AD27" s="313">
        <v>4143780</v>
      </c>
      <c r="AE27" s="313">
        <v>4206825</v>
      </c>
    </row>
    <row r="28" spans="1:31">
      <c r="A28" t="str">
        <f t="shared" si="1"/>
        <v>DominicaUNPD</v>
      </c>
      <c r="B28" s="528" t="s">
        <v>351</v>
      </c>
      <c r="C28" s="528" t="s">
        <v>874</v>
      </c>
    </row>
    <row r="29" spans="1:31">
      <c r="A29" t="str">
        <f t="shared" si="1"/>
        <v>Dominican RepublicUNPD</v>
      </c>
      <c r="B29" s="528" t="s">
        <v>172</v>
      </c>
      <c r="C29" s="528" t="s">
        <v>874</v>
      </c>
      <c r="D29" s="221">
        <v>218834</v>
      </c>
      <c r="E29" s="221">
        <v>219555</v>
      </c>
      <c r="F29" s="221">
        <v>220029</v>
      </c>
      <c r="G29" s="221">
        <v>220269</v>
      </c>
      <c r="H29" s="221">
        <v>220341</v>
      </c>
      <c r="I29" s="221">
        <v>220290</v>
      </c>
      <c r="J29" s="221">
        <v>220119</v>
      </c>
      <c r="K29" s="221">
        <v>219814</v>
      </c>
      <c r="L29" s="221">
        <v>219350</v>
      </c>
      <c r="M29" s="221">
        <v>218716</v>
      </c>
      <c r="N29" s="221">
        <v>217909</v>
      </c>
      <c r="O29" s="221">
        <v>216943</v>
      </c>
      <c r="P29" s="221">
        <v>215837</v>
      </c>
      <c r="Q29" s="221">
        <v>214617</v>
      </c>
      <c r="R29" s="313">
        <v>213315</v>
      </c>
      <c r="S29" s="313">
        <v>211963</v>
      </c>
      <c r="T29" s="313">
        <v>210587</v>
      </c>
      <c r="U29" s="313">
        <v>209206</v>
      </c>
      <c r="V29" s="313">
        <v>207827</v>
      </c>
      <c r="W29" s="313">
        <v>206445</v>
      </c>
      <c r="X29" s="313">
        <v>205056</v>
      </c>
      <c r="Y29" s="313">
        <v>203667</v>
      </c>
      <c r="Z29" s="313">
        <v>202283</v>
      </c>
      <c r="AA29" s="313">
        <v>200910</v>
      </c>
      <c r="AB29" s="313">
        <v>199543</v>
      </c>
      <c r="AC29" s="313">
        <v>198179</v>
      </c>
      <c r="AD29" s="313">
        <v>196812</v>
      </c>
      <c r="AE29" s="313">
        <v>195436</v>
      </c>
    </row>
    <row r="30" spans="1:31">
      <c r="A30" t="str">
        <f t="shared" si="1"/>
        <v>EcuadorUNPD</v>
      </c>
      <c r="B30" s="528" t="s">
        <v>352</v>
      </c>
      <c r="C30" s="528" t="s">
        <v>874</v>
      </c>
      <c r="D30" s="313">
        <v>314819</v>
      </c>
      <c r="E30" s="313">
        <v>315976</v>
      </c>
      <c r="F30" s="313">
        <v>317619</v>
      </c>
      <c r="G30" s="313">
        <v>319616</v>
      </c>
      <c r="H30" s="313">
        <v>321734</v>
      </c>
      <c r="I30" s="313">
        <v>323762</v>
      </c>
      <c r="J30" s="313">
        <v>325588</v>
      </c>
      <c r="K30" s="313">
        <v>327127</v>
      </c>
      <c r="L30" s="313">
        <v>328352</v>
      </c>
      <c r="M30" s="313">
        <v>329312</v>
      </c>
      <c r="N30" s="313">
        <v>330047</v>
      </c>
      <c r="O30" s="313">
        <v>330549</v>
      </c>
      <c r="P30" s="313">
        <v>330807</v>
      </c>
      <c r="Q30" s="313">
        <v>330816</v>
      </c>
      <c r="R30" s="313">
        <v>330596</v>
      </c>
      <c r="S30" s="313">
        <v>330175</v>
      </c>
      <c r="T30" s="313">
        <v>329583</v>
      </c>
      <c r="U30" s="313">
        <v>328850</v>
      </c>
      <c r="V30" s="313">
        <v>328007</v>
      </c>
      <c r="W30" s="313">
        <v>327080</v>
      </c>
      <c r="X30" s="313">
        <v>326098</v>
      </c>
      <c r="Y30" s="313">
        <v>325084</v>
      </c>
      <c r="Z30" s="313">
        <v>324055</v>
      </c>
      <c r="AA30" s="313">
        <v>323015</v>
      </c>
      <c r="AB30" s="313">
        <v>321953</v>
      </c>
      <c r="AC30" s="313">
        <v>320862</v>
      </c>
      <c r="AD30" s="313">
        <v>319750</v>
      </c>
      <c r="AE30" s="313">
        <v>318623</v>
      </c>
    </row>
    <row r="31" spans="1:31">
      <c r="A31" t="str">
        <f t="shared" si="1"/>
        <v>EthiopiaUNPD</v>
      </c>
      <c r="B31" s="528" t="s">
        <v>127</v>
      </c>
      <c r="C31" s="528" t="s">
        <v>874</v>
      </c>
      <c r="D31" s="221">
        <v>2961085</v>
      </c>
      <c r="E31" s="221">
        <v>2968088</v>
      </c>
      <c r="F31" s="221">
        <v>2973649</v>
      </c>
      <c r="G31" s="221">
        <v>2980046</v>
      </c>
      <c r="H31" s="221">
        <v>2988776</v>
      </c>
      <c r="I31" s="221">
        <v>3000985</v>
      </c>
      <c r="J31" s="221">
        <v>3017488</v>
      </c>
      <c r="K31" s="221">
        <v>3038559</v>
      </c>
      <c r="L31" s="221">
        <v>3063710</v>
      </c>
      <c r="M31" s="221">
        <v>3091297</v>
      </c>
      <c r="N31" s="221">
        <v>3119787</v>
      </c>
      <c r="O31" s="221">
        <v>3148388</v>
      </c>
      <c r="P31" s="221">
        <v>3176480</v>
      </c>
      <c r="Q31" s="221">
        <v>3203712</v>
      </c>
      <c r="R31" s="313">
        <v>3230017</v>
      </c>
      <c r="S31" s="313">
        <v>3255213</v>
      </c>
      <c r="T31" s="313">
        <v>3278896</v>
      </c>
      <c r="U31" s="313">
        <v>3300741</v>
      </c>
      <c r="V31" s="313">
        <v>3320568</v>
      </c>
      <c r="W31" s="313">
        <v>3338401</v>
      </c>
      <c r="X31" s="313">
        <v>3354229</v>
      </c>
      <c r="Y31" s="313">
        <v>3367935</v>
      </c>
      <c r="Z31" s="313">
        <v>3379326</v>
      </c>
      <c r="AA31" s="313">
        <v>3388244</v>
      </c>
      <c r="AB31" s="313">
        <v>3394774</v>
      </c>
      <c r="AC31" s="313">
        <v>3399112</v>
      </c>
      <c r="AD31" s="313">
        <v>3401483</v>
      </c>
      <c r="AE31" s="313">
        <v>3402147</v>
      </c>
    </row>
    <row r="32" spans="1:31">
      <c r="A32" t="str">
        <f t="shared" si="1"/>
        <v>El SalvadorUNPD</v>
      </c>
      <c r="B32" s="528" t="s">
        <v>353</v>
      </c>
      <c r="C32" s="528" t="s">
        <v>874</v>
      </c>
      <c r="D32" s="313">
        <v>127994</v>
      </c>
      <c r="E32" s="313">
        <v>124535</v>
      </c>
      <c r="F32" s="313">
        <v>121429</v>
      </c>
      <c r="G32" s="313">
        <v>118670</v>
      </c>
      <c r="H32" s="313">
        <v>116184</v>
      </c>
      <c r="I32" s="313">
        <v>113917</v>
      </c>
      <c r="J32" s="313">
        <v>111869</v>
      </c>
      <c r="K32" s="313">
        <v>110075</v>
      </c>
      <c r="L32" s="313">
        <v>108582</v>
      </c>
      <c r="M32" s="313">
        <v>107400</v>
      </c>
      <c r="N32" s="313">
        <v>106500</v>
      </c>
      <c r="O32" s="313">
        <v>105827</v>
      </c>
      <c r="P32" s="313">
        <v>105302</v>
      </c>
      <c r="Q32" s="313">
        <v>104833</v>
      </c>
      <c r="R32" s="313">
        <v>104330</v>
      </c>
      <c r="S32" s="313">
        <v>103715</v>
      </c>
      <c r="T32" s="313">
        <v>102939</v>
      </c>
      <c r="U32" s="313">
        <v>101967</v>
      </c>
      <c r="V32" s="313">
        <v>100800</v>
      </c>
      <c r="W32" s="313">
        <v>99492</v>
      </c>
      <c r="X32" s="313">
        <v>98091</v>
      </c>
      <c r="Y32" s="313">
        <v>96619</v>
      </c>
      <c r="Z32" s="313">
        <v>95093</v>
      </c>
      <c r="AA32" s="313">
        <v>93528</v>
      </c>
      <c r="AB32" s="313">
        <v>91937</v>
      </c>
      <c r="AC32" s="313">
        <v>90336</v>
      </c>
      <c r="AD32" s="313">
        <v>88748</v>
      </c>
      <c r="AE32" s="313">
        <v>87188</v>
      </c>
    </row>
    <row r="33" spans="1:31">
      <c r="A33" t="str">
        <f t="shared" si="1"/>
        <v>Equatorial GuineaUNPD</v>
      </c>
      <c r="B33" s="528" t="s">
        <v>129</v>
      </c>
      <c r="C33" s="528" t="s">
        <v>874</v>
      </c>
      <c r="D33" s="221">
        <v>22309</v>
      </c>
      <c r="E33" s="221">
        <v>22857</v>
      </c>
      <c r="F33" s="221">
        <v>23440</v>
      </c>
      <c r="G33" s="221">
        <v>24051</v>
      </c>
      <c r="H33" s="221">
        <v>24675</v>
      </c>
      <c r="I33" s="221">
        <v>25301</v>
      </c>
      <c r="J33" s="221">
        <v>25918</v>
      </c>
      <c r="K33" s="221">
        <v>26523</v>
      </c>
      <c r="L33" s="221">
        <v>27111</v>
      </c>
      <c r="M33" s="221">
        <v>27686</v>
      </c>
      <c r="N33" s="221">
        <v>28247</v>
      </c>
      <c r="O33" s="221">
        <v>28789</v>
      </c>
      <c r="P33" s="221">
        <v>29307</v>
      </c>
      <c r="Q33" s="221">
        <v>29795</v>
      </c>
      <c r="R33" s="313">
        <v>30251</v>
      </c>
      <c r="S33" s="313">
        <v>30676</v>
      </c>
      <c r="T33" s="313">
        <v>31070</v>
      </c>
      <c r="U33" s="313">
        <v>31433</v>
      </c>
      <c r="V33" s="313">
        <v>31768</v>
      </c>
      <c r="W33" s="313">
        <v>32080</v>
      </c>
      <c r="X33" s="313">
        <v>32377</v>
      </c>
      <c r="Y33" s="313">
        <v>32661</v>
      </c>
      <c r="Z33" s="313">
        <v>32937</v>
      </c>
      <c r="AA33" s="313">
        <v>33209</v>
      </c>
      <c r="AB33" s="313">
        <v>33476</v>
      </c>
      <c r="AC33" s="313">
        <v>33740</v>
      </c>
      <c r="AD33" s="313">
        <v>34004</v>
      </c>
      <c r="AE33" s="313">
        <v>34269</v>
      </c>
    </row>
    <row r="34" spans="1:31">
      <c r="A34" t="str">
        <f t="shared" si="1"/>
        <v>EritreaUNPD</v>
      </c>
      <c r="B34" s="528" t="s">
        <v>128</v>
      </c>
      <c r="C34" s="528" t="s">
        <v>874</v>
      </c>
      <c r="D34" s="221">
        <v>146417</v>
      </c>
      <c r="E34" s="221">
        <v>151906</v>
      </c>
      <c r="F34" s="221">
        <v>157086</v>
      </c>
      <c r="G34" s="221">
        <v>161679</v>
      </c>
      <c r="H34" s="221">
        <v>165578</v>
      </c>
      <c r="I34" s="221">
        <v>168728</v>
      </c>
      <c r="J34" s="221">
        <v>171084</v>
      </c>
      <c r="K34" s="221">
        <v>172681</v>
      </c>
      <c r="L34" s="221">
        <v>173639</v>
      </c>
      <c r="M34" s="221">
        <v>174198</v>
      </c>
      <c r="N34" s="221">
        <v>174579</v>
      </c>
      <c r="O34" s="221">
        <v>174906</v>
      </c>
      <c r="P34" s="221">
        <v>175262</v>
      </c>
      <c r="Q34" s="221">
        <v>175675</v>
      </c>
      <c r="R34" s="313">
        <v>176114</v>
      </c>
      <c r="S34" s="313">
        <v>176571</v>
      </c>
      <c r="T34" s="313">
        <v>177092</v>
      </c>
      <c r="U34" s="313">
        <v>177720</v>
      </c>
      <c r="V34" s="313">
        <v>178488</v>
      </c>
      <c r="W34" s="313">
        <v>179407</v>
      </c>
      <c r="X34" s="313">
        <v>180485</v>
      </c>
      <c r="Y34" s="313">
        <v>181734</v>
      </c>
      <c r="Z34" s="313">
        <v>183170</v>
      </c>
      <c r="AA34" s="313">
        <v>184804</v>
      </c>
      <c r="AB34" s="313">
        <v>186610</v>
      </c>
      <c r="AC34" s="313">
        <v>188554</v>
      </c>
      <c r="AD34" s="313">
        <v>190599</v>
      </c>
      <c r="AE34" s="313">
        <v>192717</v>
      </c>
    </row>
    <row r="35" spans="1:31">
      <c r="A35" t="str">
        <f t="shared" si="1"/>
        <v>EswatiniUNPD</v>
      </c>
      <c r="B35" s="528" t="s">
        <v>835</v>
      </c>
      <c r="C35" s="528" t="s">
        <v>874</v>
      </c>
      <c r="D35" s="221">
        <v>34574</v>
      </c>
      <c r="E35" s="221">
        <v>34833</v>
      </c>
      <c r="F35" s="221">
        <v>35144</v>
      </c>
      <c r="G35" s="221">
        <v>35495</v>
      </c>
      <c r="H35" s="221">
        <v>35867</v>
      </c>
      <c r="I35" s="221">
        <v>36240</v>
      </c>
      <c r="J35" s="221">
        <v>36593</v>
      </c>
      <c r="K35" s="221">
        <v>36911</v>
      </c>
      <c r="L35" s="221">
        <v>37181</v>
      </c>
      <c r="M35" s="221">
        <v>37402</v>
      </c>
      <c r="N35" s="221">
        <v>37572</v>
      </c>
      <c r="O35" s="221">
        <v>37684</v>
      </c>
      <c r="P35" s="221">
        <v>37733</v>
      </c>
      <c r="Q35" s="221">
        <v>37713</v>
      </c>
      <c r="R35" s="313">
        <v>37632</v>
      </c>
      <c r="S35" s="313">
        <v>37499</v>
      </c>
      <c r="T35" s="313">
        <v>37322</v>
      </c>
      <c r="U35" s="313">
        <v>37109</v>
      </c>
      <c r="V35" s="313">
        <v>36869</v>
      </c>
      <c r="W35" s="313">
        <v>36612</v>
      </c>
      <c r="X35" s="313">
        <v>36350</v>
      </c>
      <c r="Y35" s="313">
        <v>36094</v>
      </c>
      <c r="Z35" s="313">
        <v>35855</v>
      </c>
      <c r="AA35" s="313">
        <v>35641</v>
      </c>
      <c r="AB35" s="313">
        <v>35453</v>
      </c>
      <c r="AC35" s="313">
        <v>35291</v>
      </c>
      <c r="AD35" s="313">
        <v>35157</v>
      </c>
      <c r="AE35" s="313">
        <v>35054</v>
      </c>
    </row>
    <row r="36" spans="1:31">
      <c r="A36" t="str">
        <f t="shared" si="1"/>
        <v>Federated States of MicronesiaUNPD</v>
      </c>
      <c r="B36" s="528" t="s">
        <v>356</v>
      </c>
      <c r="C36" s="528" t="s">
        <v>874</v>
      </c>
      <c r="D36" s="221">
        <v>2956</v>
      </c>
      <c r="E36" s="221">
        <v>2860</v>
      </c>
      <c r="F36" s="221">
        <v>2769</v>
      </c>
      <c r="G36" s="221">
        <v>2686</v>
      </c>
      <c r="H36" s="221">
        <v>2614</v>
      </c>
      <c r="I36" s="221">
        <v>2553</v>
      </c>
      <c r="J36" s="221">
        <v>2506</v>
      </c>
      <c r="K36" s="221">
        <v>2473</v>
      </c>
      <c r="L36" s="221">
        <v>2455</v>
      </c>
      <c r="M36" s="221">
        <v>2447</v>
      </c>
      <c r="N36" s="221">
        <v>2448</v>
      </c>
      <c r="O36" s="221">
        <v>2456</v>
      </c>
      <c r="P36" s="221">
        <v>2468</v>
      </c>
      <c r="Q36" s="221">
        <v>2485</v>
      </c>
      <c r="R36" s="221">
        <v>2504</v>
      </c>
      <c r="S36" s="221">
        <v>2525</v>
      </c>
      <c r="T36" s="221">
        <v>2546</v>
      </c>
      <c r="U36" s="221">
        <v>2565</v>
      </c>
      <c r="V36" s="221">
        <v>2582</v>
      </c>
      <c r="W36" s="221">
        <v>2595</v>
      </c>
      <c r="X36" s="221">
        <v>2605</v>
      </c>
      <c r="Y36" s="221">
        <v>2611</v>
      </c>
      <c r="Z36" s="221">
        <v>2611</v>
      </c>
      <c r="AA36" s="221">
        <v>2606</v>
      </c>
      <c r="AB36" s="221">
        <v>2594</v>
      </c>
      <c r="AC36" s="221">
        <v>2578</v>
      </c>
      <c r="AD36" s="221">
        <v>2556</v>
      </c>
      <c r="AE36" s="221">
        <v>2528</v>
      </c>
    </row>
    <row r="37" spans="1:31">
      <c r="A37" t="str">
        <f t="shared" si="1"/>
        <v>FijiUNPD</v>
      </c>
      <c r="B37" s="528" t="s">
        <v>338</v>
      </c>
      <c r="C37" s="528" t="s">
        <v>874</v>
      </c>
      <c r="D37" s="221">
        <v>19504</v>
      </c>
      <c r="E37" s="221">
        <v>19360</v>
      </c>
      <c r="F37" s="221">
        <v>19219</v>
      </c>
      <c r="G37" s="221">
        <v>19081</v>
      </c>
      <c r="H37" s="221">
        <v>18946</v>
      </c>
      <c r="I37" s="221">
        <v>18810</v>
      </c>
      <c r="J37" s="221">
        <v>18671</v>
      </c>
      <c r="K37" s="221">
        <v>18523</v>
      </c>
      <c r="L37" s="221">
        <v>18361</v>
      </c>
      <c r="M37" s="221">
        <v>18181</v>
      </c>
      <c r="N37" s="221">
        <v>17984</v>
      </c>
      <c r="O37" s="221">
        <v>17772</v>
      </c>
      <c r="P37" s="221">
        <v>17546</v>
      </c>
      <c r="Q37" s="221">
        <v>17311</v>
      </c>
      <c r="R37" s="221">
        <v>17075</v>
      </c>
      <c r="S37" s="221">
        <v>16845</v>
      </c>
      <c r="T37" s="221">
        <v>16624</v>
      </c>
      <c r="U37" s="221">
        <v>16417</v>
      </c>
      <c r="V37" s="221">
        <v>16228</v>
      </c>
      <c r="W37" s="221">
        <v>16055</v>
      </c>
      <c r="X37" s="221">
        <v>15897</v>
      </c>
      <c r="Y37" s="221">
        <v>15753</v>
      </c>
      <c r="Z37" s="221">
        <v>15623</v>
      </c>
      <c r="AA37" s="221">
        <v>15506</v>
      </c>
      <c r="AB37" s="221">
        <v>15399</v>
      </c>
      <c r="AC37" s="221">
        <v>15298</v>
      </c>
      <c r="AD37" s="221">
        <v>15199</v>
      </c>
      <c r="AE37" s="221">
        <v>15101</v>
      </c>
    </row>
    <row r="38" spans="1:31">
      <c r="A38" t="str">
        <f t="shared" si="1"/>
        <v>GabonUNPD</v>
      </c>
      <c r="B38" s="528" t="s">
        <v>130</v>
      </c>
      <c r="C38" s="528" t="s">
        <v>874</v>
      </c>
      <c r="D38" s="221">
        <v>42500</v>
      </c>
      <c r="E38" s="221">
        <v>43169</v>
      </c>
      <c r="F38" s="221">
        <v>43916</v>
      </c>
      <c r="G38" s="221">
        <v>44746</v>
      </c>
      <c r="H38" s="221">
        <v>45638</v>
      </c>
      <c r="I38" s="221">
        <v>46562</v>
      </c>
      <c r="J38" s="221">
        <v>47491</v>
      </c>
      <c r="K38" s="221">
        <v>48382</v>
      </c>
      <c r="L38" s="221">
        <v>49189</v>
      </c>
      <c r="M38" s="221">
        <v>49888</v>
      </c>
      <c r="N38" s="221">
        <v>50467</v>
      </c>
      <c r="O38" s="221">
        <v>50922</v>
      </c>
      <c r="P38" s="221">
        <v>51267</v>
      </c>
      <c r="Q38" s="221">
        <v>51531</v>
      </c>
      <c r="R38" s="313">
        <v>51757</v>
      </c>
      <c r="S38" s="313">
        <v>51980</v>
      </c>
      <c r="T38" s="313">
        <v>52217</v>
      </c>
      <c r="U38" s="313">
        <v>52480</v>
      </c>
      <c r="V38" s="313">
        <v>52764</v>
      </c>
      <c r="W38" s="313">
        <v>53055</v>
      </c>
      <c r="X38" s="313">
        <v>53341</v>
      </c>
      <c r="Y38" s="313">
        <v>53623</v>
      </c>
      <c r="Z38" s="313">
        <v>53901</v>
      </c>
      <c r="AA38" s="313">
        <v>54178</v>
      </c>
      <c r="AB38" s="313">
        <v>54456</v>
      </c>
      <c r="AC38" s="313">
        <v>54737</v>
      </c>
      <c r="AD38" s="313">
        <v>55022</v>
      </c>
      <c r="AE38" s="313">
        <v>55311</v>
      </c>
    </row>
    <row r="39" spans="1:31">
      <c r="A39" t="str">
        <f t="shared" si="1"/>
        <v>GeorgiaUNPD</v>
      </c>
      <c r="B39" s="528" t="s">
        <v>173</v>
      </c>
      <c r="C39" s="528" t="s">
        <v>874</v>
      </c>
      <c r="D39" s="221">
        <v>55699</v>
      </c>
      <c r="E39" s="221">
        <v>56457</v>
      </c>
      <c r="F39" s="221">
        <v>57470</v>
      </c>
      <c r="G39" s="221">
        <v>58494</v>
      </c>
      <c r="H39" s="221">
        <v>59317</v>
      </c>
      <c r="I39" s="221">
        <v>59779</v>
      </c>
      <c r="J39" s="221">
        <v>59789</v>
      </c>
      <c r="K39" s="221">
        <v>59332</v>
      </c>
      <c r="L39" s="221">
        <v>58478</v>
      </c>
      <c r="M39" s="221">
        <v>57403</v>
      </c>
      <c r="N39" s="221">
        <v>56259</v>
      </c>
      <c r="O39" s="221">
        <v>55109</v>
      </c>
      <c r="P39" s="221">
        <v>53994</v>
      </c>
      <c r="Q39" s="221">
        <v>52924</v>
      </c>
      <c r="R39" s="313">
        <v>51873</v>
      </c>
      <c r="S39" s="313">
        <v>50818</v>
      </c>
      <c r="T39" s="313">
        <v>49766</v>
      </c>
      <c r="U39" s="313">
        <v>48713</v>
      </c>
      <c r="V39" s="313">
        <v>47653</v>
      </c>
      <c r="W39" s="313">
        <v>46582</v>
      </c>
      <c r="X39" s="313">
        <v>45498</v>
      </c>
      <c r="Y39" s="313">
        <v>44410</v>
      </c>
      <c r="Z39" s="313">
        <v>43318</v>
      </c>
      <c r="AA39" s="313">
        <v>42221</v>
      </c>
      <c r="AB39" s="313">
        <v>41132</v>
      </c>
      <c r="AC39" s="313">
        <v>40073</v>
      </c>
      <c r="AD39" s="313">
        <v>39070</v>
      </c>
      <c r="AE39" s="313">
        <v>38158</v>
      </c>
    </row>
    <row r="40" spans="1:31">
      <c r="A40" t="str">
        <f t="shared" si="1"/>
        <v>GhanaUNPD</v>
      </c>
      <c r="B40" s="528" t="s">
        <v>131</v>
      </c>
      <c r="C40" s="528" t="s">
        <v>874</v>
      </c>
      <c r="D40" s="221">
        <v>696538</v>
      </c>
      <c r="E40" s="221">
        <v>711314</v>
      </c>
      <c r="F40" s="221">
        <v>726705</v>
      </c>
      <c r="G40" s="221">
        <v>743260</v>
      </c>
      <c r="H40" s="221">
        <v>761207</v>
      </c>
      <c r="I40" s="221">
        <v>780394</v>
      </c>
      <c r="J40" s="221">
        <v>800305</v>
      </c>
      <c r="K40" s="221">
        <v>819967</v>
      </c>
      <c r="L40" s="221">
        <v>838215</v>
      </c>
      <c r="M40" s="221">
        <v>854117</v>
      </c>
      <c r="N40" s="221">
        <v>867069</v>
      </c>
      <c r="O40" s="221">
        <v>876879</v>
      </c>
      <c r="P40" s="221">
        <v>883687</v>
      </c>
      <c r="Q40" s="221">
        <v>888013</v>
      </c>
      <c r="R40" s="313">
        <v>890884</v>
      </c>
      <c r="S40" s="313">
        <v>893236</v>
      </c>
      <c r="T40" s="313">
        <v>895589</v>
      </c>
      <c r="U40" s="313">
        <v>898311</v>
      </c>
      <c r="V40" s="313">
        <v>901541</v>
      </c>
      <c r="W40" s="313">
        <v>905133</v>
      </c>
      <c r="X40" s="313">
        <v>909011</v>
      </c>
      <c r="Y40" s="313">
        <v>913296</v>
      </c>
      <c r="Z40" s="313">
        <v>918108</v>
      </c>
      <c r="AA40" s="313">
        <v>923524</v>
      </c>
      <c r="AB40" s="313">
        <v>929512</v>
      </c>
      <c r="AC40" s="313">
        <v>936023</v>
      </c>
      <c r="AD40" s="313">
        <v>943028</v>
      </c>
      <c r="AE40" s="313">
        <v>950511</v>
      </c>
    </row>
    <row r="41" spans="1:31">
      <c r="A41" t="str">
        <f t="shared" si="1"/>
        <v>GrenadaUNPD</v>
      </c>
      <c r="B41" s="528" t="s">
        <v>354</v>
      </c>
      <c r="C41" s="528" t="s">
        <v>874</v>
      </c>
      <c r="D41" s="313">
        <v>1927</v>
      </c>
      <c r="E41" s="313">
        <v>1931</v>
      </c>
      <c r="F41" s="313">
        <v>1944</v>
      </c>
      <c r="G41" s="313">
        <v>1962</v>
      </c>
      <c r="H41" s="313">
        <v>1983</v>
      </c>
      <c r="I41" s="313">
        <v>2004</v>
      </c>
      <c r="J41" s="313">
        <v>2022</v>
      </c>
      <c r="K41" s="313">
        <v>2036</v>
      </c>
      <c r="L41" s="313">
        <v>2045</v>
      </c>
      <c r="M41" s="313">
        <v>2049</v>
      </c>
      <c r="N41" s="313">
        <v>2049</v>
      </c>
      <c r="O41" s="313">
        <v>2044</v>
      </c>
      <c r="P41" s="313">
        <v>2033</v>
      </c>
      <c r="Q41" s="313">
        <v>2016</v>
      </c>
      <c r="R41" s="313">
        <v>1991</v>
      </c>
      <c r="S41" s="313">
        <v>1960</v>
      </c>
      <c r="T41" s="313">
        <v>1924</v>
      </c>
      <c r="U41" s="313">
        <v>1883</v>
      </c>
      <c r="V41" s="313">
        <v>1838</v>
      </c>
      <c r="W41" s="313">
        <v>1791</v>
      </c>
      <c r="X41" s="313">
        <v>1743</v>
      </c>
      <c r="Y41" s="313">
        <v>1695</v>
      </c>
      <c r="Z41" s="313">
        <v>1650</v>
      </c>
      <c r="AA41" s="313">
        <v>1607</v>
      </c>
      <c r="AB41" s="313">
        <v>1568</v>
      </c>
      <c r="AC41" s="313">
        <v>1532</v>
      </c>
      <c r="AD41" s="313">
        <v>1501</v>
      </c>
      <c r="AE41" s="313">
        <v>1474</v>
      </c>
    </row>
    <row r="42" spans="1:31">
      <c r="A42" t="str">
        <f t="shared" si="1"/>
        <v>GuatemalaUNPD</v>
      </c>
      <c r="B42" s="528" t="s">
        <v>355</v>
      </c>
      <c r="C42" s="528" t="s">
        <v>874</v>
      </c>
      <c r="D42" s="313">
        <v>412543</v>
      </c>
      <c r="E42" s="313">
        <v>413207</v>
      </c>
      <c r="F42" s="313">
        <v>413672</v>
      </c>
      <c r="G42" s="313">
        <v>414261</v>
      </c>
      <c r="H42" s="313">
        <v>415226</v>
      </c>
      <c r="I42" s="313">
        <v>416737</v>
      </c>
      <c r="J42" s="313">
        <v>418868</v>
      </c>
      <c r="K42" s="313">
        <v>421593</v>
      </c>
      <c r="L42" s="313">
        <v>424782</v>
      </c>
      <c r="M42" s="313">
        <v>428167</v>
      </c>
      <c r="N42" s="313">
        <v>431512</v>
      </c>
      <c r="O42" s="313">
        <v>434699</v>
      </c>
      <c r="P42" s="313">
        <v>437647</v>
      </c>
      <c r="Q42" s="313">
        <v>440334</v>
      </c>
      <c r="R42" s="313">
        <v>442808</v>
      </c>
      <c r="S42" s="313">
        <v>445100</v>
      </c>
      <c r="T42" s="313">
        <v>447193</v>
      </c>
      <c r="U42" s="313">
        <v>449063</v>
      </c>
      <c r="V42" s="313">
        <v>450695</v>
      </c>
      <c r="W42" s="313">
        <v>452094</v>
      </c>
      <c r="X42" s="313">
        <v>453275</v>
      </c>
      <c r="Y42" s="313">
        <v>454252</v>
      </c>
      <c r="Z42" s="313">
        <v>455046</v>
      </c>
      <c r="AA42" s="313">
        <v>455677</v>
      </c>
      <c r="AB42" s="313">
        <v>456175</v>
      </c>
      <c r="AC42" s="313">
        <v>456568</v>
      </c>
      <c r="AD42" s="313">
        <v>456879</v>
      </c>
      <c r="AE42" s="313">
        <v>457127</v>
      </c>
    </row>
    <row r="43" spans="1:31">
      <c r="A43" t="str">
        <f t="shared" si="1"/>
        <v>GuineaUNPD</v>
      </c>
      <c r="B43" s="528" t="s">
        <v>132</v>
      </c>
      <c r="C43" s="528" t="s">
        <v>874</v>
      </c>
      <c r="D43" s="221">
        <v>388669</v>
      </c>
      <c r="E43" s="221">
        <v>392860</v>
      </c>
      <c r="F43" s="221">
        <v>397501</v>
      </c>
      <c r="G43" s="221">
        <v>402671</v>
      </c>
      <c r="H43" s="221">
        <v>408271</v>
      </c>
      <c r="I43" s="221">
        <v>414200</v>
      </c>
      <c r="J43" s="221">
        <v>420422</v>
      </c>
      <c r="K43" s="221">
        <v>426871</v>
      </c>
      <c r="L43" s="221">
        <v>433461</v>
      </c>
      <c r="M43" s="221">
        <v>440097</v>
      </c>
      <c r="N43" s="221">
        <v>446691</v>
      </c>
      <c r="O43" s="221">
        <v>453193</v>
      </c>
      <c r="P43" s="221">
        <v>459574</v>
      </c>
      <c r="Q43" s="221">
        <v>465841</v>
      </c>
      <c r="R43" s="313">
        <v>472039</v>
      </c>
      <c r="S43" s="313">
        <v>478203</v>
      </c>
      <c r="T43" s="313">
        <v>484338</v>
      </c>
      <c r="U43" s="313">
        <v>490447</v>
      </c>
      <c r="V43" s="313">
        <v>496530</v>
      </c>
      <c r="W43" s="313">
        <v>502582</v>
      </c>
      <c r="X43" s="313">
        <v>508596</v>
      </c>
      <c r="Y43" s="313">
        <v>514567</v>
      </c>
      <c r="Z43" s="313">
        <v>520489</v>
      </c>
      <c r="AA43" s="313">
        <v>526357</v>
      </c>
      <c r="AB43" s="313">
        <v>532167</v>
      </c>
      <c r="AC43" s="313">
        <v>537912</v>
      </c>
      <c r="AD43" s="313">
        <v>543589</v>
      </c>
      <c r="AE43" s="313">
        <v>549194</v>
      </c>
    </row>
    <row r="44" spans="1:31">
      <c r="A44" t="str">
        <f t="shared" si="1"/>
        <v>GuyanaUNPD</v>
      </c>
      <c r="B44" s="528" t="s">
        <v>357</v>
      </c>
      <c r="C44" s="528" t="s">
        <v>874</v>
      </c>
      <c r="D44" s="313">
        <v>17212</v>
      </c>
      <c r="E44" s="313">
        <v>16614</v>
      </c>
      <c r="F44" s="313">
        <v>16036</v>
      </c>
      <c r="G44" s="313">
        <v>15504</v>
      </c>
      <c r="H44" s="313">
        <v>15040</v>
      </c>
      <c r="I44" s="313">
        <v>14665</v>
      </c>
      <c r="J44" s="313">
        <v>14390</v>
      </c>
      <c r="K44" s="313">
        <v>14228</v>
      </c>
      <c r="L44" s="313">
        <v>14186</v>
      </c>
      <c r="M44" s="313">
        <v>14246</v>
      </c>
      <c r="N44" s="313">
        <v>14385</v>
      </c>
      <c r="O44" s="313">
        <v>14583</v>
      </c>
      <c r="P44" s="313">
        <v>14818</v>
      </c>
      <c r="Q44" s="313">
        <v>15068</v>
      </c>
      <c r="R44" s="313">
        <v>15311</v>
      </c>
      <c r="S44" s="313">
        <v>15528</v>
      </c>
      <c r="T44" s="313">
        <v>15699</v>
      </c>
      <c r="U44" s="313">
        <v>15809</v>
      </c>
      <c r="V44" s="313">
        <v>15851</v>
      </c>
      <c r="W44" s="313">
        <v>15831</v>
      </c>
      <c r="X44" s="313">
        <v>15760</v>
      </c>
      <c r="Y44" s="313">
        <v>15641</v>
      </c>
      <c r="Z44" s="313">
        <v>15477</v>
      </c>
      <c r="AA44" s="313">
        <v>15275</v>
      </c>
      <c r="AB44" s="313">
        <v>15044</v>
      </c>
      <c r="AC44" s="313">
        <v>14795</v>
      </c>
      <c r="AD44" s="313">
        <v>14538</v>
      </c>
      <c r="AE44" s="313">
        <v>14280</v>
      </c>
    </row>
    <row r="45" spans="1:31">
      <c r="A45" t="str">
        <f t="shared" si="1"/>
        <v>HaitiUNPD</v>
      </c>
      <c r="B45" s="528" t="s">
        <v>174</v>
      </c>
      <c r="C45" s="528" t="s">
        <v>874</v>
      </c>
      <c r="D45" s="221">
        <v>265783</v>
      </c>
      <c r="E45" s="221">
        <v>266142</v>
      </c>
      <c r="F45" s="221">
        <v>266627</v>
      </c>
      <c r="G45" s="221">
        <v>267087</v>
      </c>
      <c r="H45" s="221">
        <v>267367</v>
      </c>
      <c r="I45" s="221">
        <v>267363</v>
      </c>
      <c r="J45" s="221">
        <v>267052</v>
      </c>
      <c r="K45" s="221">
        <v>266482</v>
      </c>
      <c r="L45" s="221">
        <v>265757</v>
      </c>
      <c r="M45" s="221">
        <v>265013</v>
      </c>
      <c r="N45" s="221">
        <v>264344</v>
      </c>
      <c r="O45" s="221">
        <v>263769</v>
      </c>
      <c r="P45" s="221">
        <v>263263</v>
      </c>
      <c r="Q45" s="221">
        <v>262763</v>
      </c>
      <c r="R45" s="313">
        <v>262174</v>
      </c>
      <c r="S45" s="313">
        <v>261429</v>
      </c>
      <c r="T45" s="313">
        <v>260507</v>
      </c>
      <c r="U45" s="313">
        <v>259406</v>
      </c>
      <c r="V45" s="313">
        <v>258147</v>
      </c>
      <c r="W45" s="313">
        <v>256782</v>
      </c>
      <c r="X45" s="313">
        <v>255354</v>
      </c>
      <c r="Y45" s="313">
        <v>253887</v>
      </c>
      <c r="Z45" s="313">
        <v>252393</v>
      </c>
      <c r="AA45" s="313">
        <v>250874</v>
      </c>
      <c r="AB45" s="313">
        <v>249325</v>
      </c>
      <c r="AC45" s="313">
        <v>247746</v>
      </c>
      <c r="AD45" s="313">
        <v>246145</v>
      </c>
      <c r="AE45" s="313">
        <v>244536</v>
      </c>
    </row>
    <row r="46" spans="1:31">
      <c r="A46" t="str">
        <f t="shared" si="1"/>
        <v>HondurasUNPD</v>
      </c>
      <c r="B46" s="528" t="s">
        <v>358</v>
      </c>
      <c r="C46" s="528" t="s">
        <v>874</v>
      </c>
      <c r="D46" s="313">
        <v>191240</v>
      </c>
      <c r="E46" s="313">
        <v>189095</v>
      </c>
      <c r="F46" s="313">
        <v>186865</v>
      </c>
      <c r="G46" s="313">
        <v>184513</v>
      </c>
      <c r="H46" s="313">
        <v>182021</v>
      </c>
      <c r="I46" s="313">
        <v>179426</v>
      </c>
      <c r="J46" s="313">
        <v>176828</v>
      </c>
      <c r="K46" s="313">
        <v>174397</v>
      </c>
      <c r="L46" s="313">
        <v>172322</v>
      </c>
      <c r="M46" s="313">
        <v>170716</v>
      </c>
      <c r="N46" s="313">
        <v>169628</v>
      </c>
      <c r="O46" s="313">
        <v>169049</v>
      </c>
      <c r="P46" s="313">
        <v>168906</v>
      </c>
      <c r="Q46" s="313">
        <v>169070</v>
      </c>
      <c r="R46" s="313">
        <v>169344</v>
      </c>
      <c r="S46" s="313">
        <v>169552</v>
      </c>
      <c r="T46" s="313">
        <v>169594</v>
      </c>
      <c r="U46" s="313">
        <v>169397</v>
      </c>
      <c r="V46" s="313">
        <v>168945</v>
      </c>
      <c r="W46" s="313">
        <v>168295</v>
      </c>
      <c r="X46" s="313">
        <v>167492</v>
      </c>
      <c r="Y46" s="313">
        <v>166539</v>
      </c>
      <c r="Z46" s="313">
        <v>165436</v>
      </c>
      <c r="AA46" s="313">
        <v>164182</v>
      </c>
      <c r="AB46" s="313">
        <v>162794</v>
      </c>
      <c r="AC46" s="313">
        <v>161298</v>
      </c>
      <c r="AD46" s="313">
        <v>159720</v>
      </c>
      <c r="AE46" s="313">
        <v>158087</v>
      </c>
    </row>
    <row r="47" spans="1:31">
      <c r="A47" t="str">
        <f t="shared" si="1"/>
        <v>IndiaUNPD</v>
      </c>
      <c r="B47" s="528" t="s">
        <v>175</v>
      </c>
      <c r="C47" s="528" t="s">
        <v>874</v>
      </c>
      <c r="D47" s="221">
        <v>27812577</v>
      </c>
      <c r="E47" s="221">
        <v>27740363</v>
      </c>
      <c r="F47" s="221">
        <v>27634243</v>
      </c>
      <c r="G47" s="221">
        <v>27485383</v>
      </c>
      <c r="H47" s="221">
        <v>27294707</v>
      </c>
      <c r="I47" s="221">
        <v>27069315</v>
      </c>
      <c r="J47" s="221">
        <v>26820037</v>
      </c>
      <c r="K47" s="221">
        <v>26566075</v>
      </c>
      <c r="L47" s="221">
        <v>26329745</v>
      </c>
      <c r="M47" s="221">
        <v>26127686</v>
      </c>
      <c r="N47" s="221">
        <v>25970276</v>
      </c>
      <c r="O47" s="221">
        <v>25860462</v>
      </c>
      <c r="P47" s="221">
        <v>25793674</v>
      </c>
      <c r="Q47" s="221">
        <v>25757827</v>
      </c>
      <c r="R47" s="313">
        <v>25732835</v>
      </c>
      <c r="S47" s="313">
        <v>25701683</v>
      </c>
      <c r="T47" s="313">
        <v>25656209</v>
      </c>
      <c r="U47" s="313">
        <v>25592063</v>
      </c>
      <c r="V47" s="313">
        <v>25509804</v>
      </c>
      <c r="W47" s="313">
        <v>25415752</v>
      </c>
      <c r="X47" s="313">
        <v>25314517</v>
      </c>
      <c r="Y47" s="313">
        <v>25205935</v>
      </c>
      <c r="Z47" s="313">
        <v>25089023</v>
      </c>
      <c r="AA47" s="313">
        <v>24962370</v>
      </c>
      <c r="AB47" s="313">
        <v>24824987</v>
      </c>
      <c r="AC47" s="313">
        <v>24676554</v>
      </c>
      <c r="AD47" s="313">
        <v>24517496</v>
      </c>
      <c r="AE47" s="313">
        <v>24347619</v>
      </c>
    </row>
    <row r="48" spans="1:31">
      <c r="A48" t="str">
        <f t="shared" si="1"/>
        <v>IndonesiaUNPD</v>
      </c>
      <c r="B48" s="528" t="s">
        <v>866</v>
      </c>
      <c r="C48" s="528" t="s">
        <v>874</v>
      </c>
      <c r="D48" s="313">
        <v>4741567</v>
      </c>
      <c r="E48" s="313">
        <v>4804054</v>
      </c>
      <c r="F48" s="313">
        <v>4862538</v>
      </c>
      <c r="G48" s="313">
        <v>4916813</v>
      </c>
      <c r="H48" s="313">
        <v>4967640</v>
      </c>
      <c r="I48" s="313">
        <v>5014640</v>
      </c>
      <c r="J48" s="313">
        <v>5055678</v>
      </c>
      <c r="K48" s="313">
        <v>5087165</v>
      </c>
      <c r="L48" s="313">
        <v>5105352</v>
      </c>
      <c r="M48" s="313">
        <v>5108811</v>
      </c>
      <c r="N48" s="313">
        <v>5097561</v>
      </c>
      <c r="O48" s="313">
        <v>5072689</v>
      </c>
      <c r="P48" s="313">
        <v>5036676</v>
      </c>
      <c r="Q48" s="313">
        <v>4993099</v>
      </c>
      <c r="R48" s="313">
        <v>4946500</v>
      </c>
      <c r="S48" s="313">
        <v>4900859</v>
      </c>
      <c r="T48" s="313">
        <v>4858603</v>
      </c>
      <c r="U48" s="313">
        <v>4821108</v>
      </c>
      <c r="V48" s="313">
        <v>4788337</v>
      </c>
      <c r="W48" s="313">
        <v>4758504</v>
      </c>
      <c r="X48" s="313">
        <v>4730259</v>
      </c>
      <c r="Y48" s="313">
        <v>4703595</v>
      </c>
      <c r="Z48" s="313">
        <v>4678704</v>
      </c>
      <c r="AA48" s="313">
        <v>4655869</v>
      </c>
      <c r="AB48" s="313">
        <v>4635208</v>
      </c>
      <c r="AC48" s="313">
        <v>4616658</v>
      </c>
      <c r="AD48" s="313">
        <v>4599981</v>
      </c>
      <c r="AE48" s="313">
        <v>4584912</v>
      </c>
    </row>
    <row r="49" spans="1:32">
      <c r="A49" t="str">
        <f t="shared" si="1"/>
        <v>JamaicaUNPD</v>
      </c>
      <c r="B49" s="528" t="s">
        <v>176</v>
      </c>
      <c r="C49" s="528" t="s">
        <v>874</v>
      </c>
      <c r="D49" s="221">
        <v>52835</v>
      </c>
      <c r="E49" s="221">
        <v>52097</v>
      </c>
      <c r="F49" s="221">
        <v>51503</v>
      </c>
      <c r="G49" s="221">
        <v>51032</v>
      </c>
      <c r="H49" s="221">
        <v>50634</v>
      </c>
      <c r="I49" s="221">
        <v>50264</v>
      </c>
      <c r="J49" s="221">
        <v>49907</v>
      </c>
      <c r="K49" s="221">
        <v>49562</v>
      </c>
      <c r="L49" s="221">
        <v>49240</v>
      </c>
      <c r="M49" s="221">
        <v>48948</v>
      </c>
      <c r="N49" s="221">
        <v>48684</v>
      </c>
      <c r="O49" s="221">
        <v>48427</v>
      </c>
      <c r="P49" s="221">
        <v>48145</v>
      </c>
      <c r="Q49" s="221">
        <v>47803</v>
      </c>
      <c r="R49" s="313">
        <v>47376</v>
      </c>
      <c r="S49" s="313">
        <v>46845</v>
      </c>
      <c r="T49" s="313">
        <v>46203</v>
      </c>
      <c r="U49" s="313">
        <v>45451</v>
      </c>
      <c r="V49" s="313">
        <v>44597</v>
      </c>
      <c r="W49" s="313">
        <v>43672</v>
      </c>
      <c r="X49" s="313">
        <v>42707</v>
      </c>
      <c r="Y49" s="313">
        <v>41722</v>
      </c>
      <c r="Z49" s="313">
        <v>40732</v>
      </c>
      <c r="AA49" s="313">
        <v>39747</v>
      </c>
      <c r="AB49" s="313">
        <v>38770</v>
      </c>
      <c r="AC49" s="313">
        <v>37813</v>
      </c>
      <c r="AD49" s="313">
        <v>36890</v>
      </c>
      <c r="AE49" s="313">
        <v>36019</v>
      </c>
    </row>
    <row r="50" spans="1:32">
      <c r="A50" t="str">
        <f t="shared" si="1"/>
        <v>KenyaUNPD</v>
      </c>
      <c r="B50" s="528" t="s">
        <v>133</v>
      </c>
      <c r="C50" s="528" t="s">
        <v>874</v>
      </c>
      <c r="D50" s="221">
        <v>1300267</v>
      </c>
      <c r="E50" s="221">
        <v>1333321</v>
      </c>
      <c r="F50" s="221">
        <v>1364434</v>
      </c>
      <c r="G50" s="221">
        <v>1393198</v>
      </c>
      <c r="H50" s="221">
        <v>1419728</v>
      </c>
      <c r="I50" s="221">
        <v>1444191</v>
      </c>
      <c r="J50" s="221">
        <v>1466611</v>
      </c>
      <c r="K50" s="221">
        <v>1487081</v>
      </c>
      <c r="L50" s="221">
        <v>1505800</v>
      </c>
      <c r="M50" s="221">
        <v>1523177</v>
      </c>
      <c r="N50" s="221">
        <v>1539642</v>
      </c>
      <c r="O50" s="221">
        <v>1555518</v>
      </c>
      <c r="P50" s="221">
        <v>1571032</v>
      </c>
      <c r="Q50" s="221">
        <v>1586294</v>
      </c>
      <c r="R50" s="313">
        <v>1601353</v>
      </c>
      <c r="S50" s="313">
        <v>1616334</v>
      </c>
      <c r="T50" s="313">
        <v>1631470</v>
      </c>
      <c r="U50" s="313">
        <v>1647030</v>
      </c>
      <c r="V50" s="313">
        <v>1663241</v>
      </c>
      <c r="W50" s="313">
        <v>1680172</v>
      </c>
      <c r="X50" s="313">
        <v>1697849</v>
      </c>
      <c r="Y50" s="313">
        <v>1716289</v>
      </c>
      <c r="Z50" s="313">
        <v>1735495</v>
      </c>
      <c r="AA50" s="313">
        <v>1755415</v>
      </c>
      <c r="AB50" s="313">
        <v>1775837</v>
      </c>
      <c r="AC50" s="313">
        <v>1796512</v>
      </c>
      <c r="AD50" s="313">
        <v>1817232</v>
      </c>
      <c r="AE50" s="313">
        <v>1837808</v>
      </c>
    </row>
    <row r="51" spans="1:32">
      <c r="A51" t="str">
        <f t="shared" si="1"/>
        <v>LesothoUNPD</v>
      </c>
      <c r="B51" s="528" t="s">
        <v>930</v>
      </c>
      <c r="C51" s="528" t="s">
        <v>874</v>
      </c>
      <c r="D51">
        <v>56267</v>
      </c>
      <c r="E51">
        <v>55821</v>
      </c>
      <c r="F51">
        <v>55594</v>
      </c>
      <c r="G51">
        <v>55635</v>
      </c>
      <c r="H51">
        <v>55917</v>
      </c>
      <c r="I51">
        <v>56398</v>
      </c>
      <c r="J51">
        <v>57039</v>
      </c>
      <c r="K51">
        <v>57782</v>
      </c>
      <c r="L51">
        <v>58559</v>
      </c>
      <c r="M51">
        <v>59297</v>
      </c>
      <c r="N51">
        <v>59929</v>
      </c>
      <c r="O51">
        <v>60414</v>
      </c>
      <c r="P51" s="744">
        <v>60718</v>
      </c>
      <c r="Q51">
        <v>60834</v>
      </c>
      <c r="R51" s="745">
        <v>60799</v>
      </c>
      <c r="S51">
        <v>60651</v>
      </c>
      <c r="T51">
        <v>60410</v>
      </c>
      <c r="U51">
        <v>60096</v>
      </c>
      <c r="V51">
        <v>59728</v>
      </c>
      <c r="W51">
        <v>59326</v>
      </c>
      <c r="X51">
        <v>58915</v>
      </c>
      <c r="Y51">
        <v>58517</v>
      </c>
      <c r="Z51">
        <v>58152</v>
      </c>
      <c r="AA51">
        <v>57834</v>
      </c>
      <c r="AB51">
        <v>57559</v>
      </c>
      <c r="AC51">
        <v>57327</v>
      </c>
      <c r="AD51">
        <v>57140</v>
      </c>
      <c r="AE51" s="745">
        <v>57000</v>
      </c>
    </row>
    <row r="52" spans="1:32">
      <c r="A52" t="str">
        <f t="shared" si="1"/>
        <v>LiberiaUNPD</v>
      </c>
      <c r="B52" s="528" t="s">
        <v>134</v>
      </c>
      <c r="C52" s="528" t="s">
        <v>874</v>
      </c>
      <c r="D52" s="221">
        <v>129220</v>
      </c>
      <c r="E52" s="221">
        <v>132072</v>
      </c>
      <c r="F52" s="221">
        <v>134588</v>
      </c>
      <c r="G52" s="221">
        <v>136852</v>
      </c>
      <c r="H52" s="221">
        <v>138998</v>
      </c>
      <c r="I52" s="221">
        <v>141137</v>
      </c>
      <c r="J52" s="221">
        <v>143314</v>
      </c>
      <c r="K52" s="221">
        <v>145542</v>
      </c>
      <c r="L52" s="221">
        <v>147797</v>
      </c>
      <c r="M52" s="221">
        <v>150028</v>
      </c>
      <c r="N52" s="221">
        <v>152198</v>
      </c>
      <c r="O52" s="221">
        <v>154312</v>
      </c>
      <c r="P52" s="221">
        <v>156381</v>
      </c>
      <c r="Q52" s="221">
        <v>158427</v>
      </c>
      <c r="R52" s="313">
        <v>160474</v>
      </c>
      <c r="S52" s="313">
        <v>162548</v>
      </c>
      <c r="T52" s="313">
        <v>164659</v>
      </c>
      <c r="U52" s="313">
        <v>166821</v>
      </c>
      <c r="V52" s="313">
        <v>169038</v>
      </c>
      <c r="W52" s="313">
        <v>171301</v>
      </c>
      <c r="X52" s="313">
        <v>173592</v>
      </c>
      <c r="Y52" s="313">
        <v>175900</v>
      </c>
      <c r="Z52" s="313">
        <v>178213</v>
      </c>
      <c r="AA52" s="313">
        <v>180517</v>
      </c>
      <c r="AB52" s="313">
        <v>182798</v>
      </c>
      <c r="AC52" s="313">
        <v>185038</v>
      </c>
      <c r="AD52" s="313">
        <v>187221</v>
      </c>
      <c r="AE52" s="313">
        <v>189329</v>
      </c>
    </row>
    <row r="53" spans="1:32">
      <c r="A53" t="str">
        <f t="shared" si="1"/>
        <v>MadagascarUNPD</v>
      </c>
      <c r="B53" s="528" t="s">
        <v>135</v>
      </c>
      <c r="C53" s="528" t="s">
        <v>874</v>
      </c>
      <c r="D53" s="221">
        <v>671350</v>
      </c>
      <c r="E53" s="221">
        <v>679603</v>
      </c>
      <c r="F53" s="221">
        <v>688640</v>
      </c>
      <c r="G53" s="221">
        <v>698696</v>
      </c>
      <c r="H53" s="221">
        <v>709793</v>
      </c>
      <c r="I53" s="221">
        <v>721919</v>
      </c>
      <c r="J53" s="221">
        <v>735100</v>
      </c>
      <c r="K53" s="221">
        <v>749344</v>
      </c>
      <c r="L53" s="221">
        <v>764603</v>
      </c>
      <c r="M53" s="221">
        <v>780665</v>
      </c>
      <c r="N53" s="221">
        <v>797285</v>
      </c>
      <c r="O53" s="221">
        <v>814260</v>
      </c>
      <c r="P53" s="221">
        <v>831396</v>
      </c>
      <c r="Q53" s="221">
        <v>848539</v>
      </c>
      <c r="R53" s="313">
        <v>865588</v>
      </c>
      <c r="S53" s="313">
        <v>882432</v>
      </c>
      <c r="T53" s="313">
        <v>898942</v>
      </c>
      <c r="U53" s="313">
        <v>915017</v>
      </c>
      <c r="V53" s="313">
        <v>930612</v>
      </c>
      <c r="W53" s="313">
        <v>945781</v>
      </c>
      <c r="X53" s="313">
        <v>960576</v>
      </c>
      <c r="Y53" s="313">
        <v>975009</v>
      </c>
      <c r="Z53" s="313">
        <v>989085</v>
      </c>
      <c r="AA53" s="313">
        <v>1002817</v>
      </c>
      <c r="AB53" s="313">
        <v>1016254</v>
      </c>
      <c r="AC53" s="313">
        <v>1029459</v>
      </c>
      <c r="AD53" s="313">
        <v>1042495</v>
      </c>
      <c r="AE53" s="313">
        <v>1055416</v>
      </c>
    </row>
    <row r="54" spans="1:32">
      <c r="A54" t="str">
        <f t="shared" si="1"/>
        <v>MalawiUNPD</v>
      </c>
      <c r="B54" s="528" t="s">
        <v>136</v>
      </c>
      <c r="C54" s="528" t="s">
        <v>874</v>
      </c>
      <c r="D54" s="221">
        <v>528329</v>
      </c>
      <c r="E54" s="221">
        <v>540354</v>
      </c>
      <c r="F54" s="221">
        <v>552617</v>
      </c>
      <c r="G54" s="221">
        <v>564708</v>
      </c>
      <c r="H54" s="221">
        <v>576373</v>
      </c>
      <c r="I54" s="221">
        <v>587488</v>
      </c>
      <c r="J54" s="221">
        <v>598053</v>
      </c>
      <c r="K54" s="221">
        <v>608270</v>
      </c>
      <c r="L54" s="221">
        <v>618494</v>
      </c>
      <c r="M54" s="221">
        <v>629130</v>
      </c>
      <c r="N54" s="221">
        <v>640462</v>
      </c>
      <c r="O54" s="221">
        <v>652560</v>
      </c>
      <c r="P54" s="221">
        <v>665371</v>
      </c>
      <c r="Q54" s="221">
        <v>678718</v>
      </c>
      <c r="R54" s="313">
        <v>692291</v>
      </c>
      <c r="S54" s="313">
        <v>705836</v>
      </c>
      <c r="T54" s="313">
        <v>719240</v>
      </c>
      <c r="U54" s="313">
        <v>732447</v>
      </c>
      <c r="V54" s="313">
        <v>745470</v>
      </c>
      <c r="W54" s="313">
        <v>758411</v>
      </c>
      <c r="X54" s="313">
        <v>771346</v>
      </c>
      <c r="Y54" s="313">
        <v>784284</v>
      </c>
      <c r="Z54" s="313">
        <v>797229</v>
      </c>
      <c r="AA54" s="313">
        <v>810180</v>
      </c>
      <c r="AB54" s="313">
        <v>823124</v>
      </c>
      <c r="AC54" s="313">
        <v>836048</v>
      </c>
      <c r="AD54" s="313">
        <v>848942</v>
      </c>
      <c r="AE54" s="313">
        <v>861795</v>
      </c>
    </row>
    <row r="55" spans="1:32">
      <c r="A55" t="str">
        <f t="shared" si="1"/>
        <v>MalaysiaUNPD</v>
      </c>
      <c r="B55" s="528" t="s">
        <v>177</v>
      </c>
      <c r="C55" s="528" t="s">
        <v>874</v>
      </c>
      <c r="D55" s="221">
        <v>482686</v>
      </c>
      <c r="E55" s="221">
        <v>471855</v>
      </c>
      <c r="F55" s="221">
        <v>464338</v>
      </c>
      <c r="G55" s="221">
        <v>460560</v>
      </c>
      <c r="H55" s="221">
        <v>459993</v>
      </c>
      <c r="I55" s="221">
        <v>462012</v>
      </c>
      <c r="J55" s="221">
        <v>466275</v>
      </c>
      <c r="K55" s="221">
        <v>472324</v>
      </c>
      <c r="L55" s="221">
        <v>479623</v>
      </c>
      <c r="M55" s="221">
        <v>487520</v>
      </c>
      <c r="N55" s="221">
        <v>495376</v>
      </c>
      <c r="O55" s="221">
        <v>502685</v>
      </c>
      <c r="P55" s="221">
        <v>509070</v>
      </c>
      <c r="Q55" s="221">
        <v>514372</v>
      </c>
      <c r="R55" s="313">
        <v>518747</v>
      </c>
      <c r="S55" s="313">
        <v>522306</v>
      </c>
      <c r="T55" s="313">
        <v>524978</v>
      </c>
      <c r="U55" s="313">
        <v>526718</v>
      </c>
      <c r="V55" s="313">
        <v>527523</v>
      </c>
      <c r="W55" s="313">
        <v>527484</v>
      </c>
      <c r="X55" s="313">
        <v>526698</v>
      </c>
      <c r="Y55" s="313">
        <v>525223</v>
      </c>
      <c r="Z55" s="313">
        <v>523086</v>
      </c>
      <c r="AA55" s="313">
        <v>520298</v>
      </c>
      <c r="AB55" s="313">
        <v>516905</v>
      </c>
      <c r="AC55" s="313">
        <v>512985</v>
      </c>
      <c r="AD55" s="313">
        <v>508646</v>
      </c>
      <c r="AE55" s="313">
        <v>503960</v>
      </c>
    </row>
    <row r="56" spans="1:32">
      <c r="A56" t="str">
        <f t="shared" si="1"/>
        <v>MaldivesUNPD</v>
      </c>
      <c r="B56" s="528" t="s">
        <v>375</v>
      </c>
      <c r="C56" s="528" t="s">
        <v>874</v>
      </c>
      <c r="D56">
        <v>6172</v>
      </c>
      <c r="E56">
        <v>6204</v>
      </c>
      <c r="F56">
        <v>6286</v>
      </c>
      <c r="G56">
        <v>6416</v>
      </c>
      <c r="H56">
        <v>6583</v>
      </c>
      <c r="I56">
        <v>6773</v>
      </c>
      <c r="J56">
        <v>6971</v>
      </c>
      <c r="K56">
        <v>7160</v>
      </c>
      <c r="L56">
        <v>7323</v>
      </c>
      <c r="M56">
        <v>7451</v>
      </c>
      <c r="N56">
        <v>7537</v>
      </c>
      <c r="O56">
        <v>7573</v>
      </c>
      <c r="P56" s="744">
        <v>7557</v>
      </c>
      <c r="Q56">
        <v>7489</v>
      </c>
      <c r="R56" s="745">
        <v>7380</v>
      </c>
      <c r="S56">
        <v>7242</v>
      </c>
      <c r="T56">
        <v>7082</v>
      </c>
      <c r="U56">
        <v>6907</v>
      </c>
      <c r="V56">
        <v>6719</v>
      </c>
      <c r="W56">
        <v>6525</v>
      </c>
      <c r="X56">
        <v>6329</v>
      </c>
      <c r="Y56">
        <v>6138</v>
      </c>
      <c r="Z56">
        <v>5960</v>
      </c>
      <c r="AA56">
        <v>5798</v>
      </c>
      <c r="AB56">
        <v>5654</v>
      </c>
      <c r="AC56">
        <v>5530</v>
      </c>
      <c r="AD56">
        <v>5427</v>
      </c>
      <c r="AE56" s="745">
        <v>5349</v>
      </c>
    </row>
    <row r="57" spans="1:32">
      <c r="A57" t="str">
        <f t="shared" si="1"/>
        <v>MaliUNPD</v>
      </c>
      <c r="B57" s="528" t="s">
        <v>137</v>
      </c>
      <c r="C57" s="528" t="s">
        <v>874</v>
      </c>
      <c r="D57" s="221">
        <v>587006</v>
      </c>
      <c r="E57" s="221">
        <v>603740</v>
      </c>
      <c r="F57" s="221">
        <v>620297</v>
      </c>
      <c r="G57" s="221">
        <v>636478</v>
      </c>
      <c r="H57" s="221">
        <v>652188</v>
      </c>
      <c r="I57" s="221">
        <v>667352</v>
      </c>
      <c r="J57" s="221">
        <v>681900</v>
      </c>
      <c r="K57" s="221">
        <v>695756</v>
      </c>
      <c r="L57" s="221">
        <v>708889</v>
      </c>
      <c r="M57" s="221">
        <v>721445</v>
      </c>
      <c r="N57" s="221">
        <v>733621</v>
      </c>
      <c r="O57" s="221">
        <v>745593</v>
      </c>
      <c r="P57" s="221">
        <v>757577</v>
      </c>
      <c r="Q57" s="221">
        <v>769782</v>
      </c>
      <c r="R57" s="313">
        <v>782368</v>
      </c>
      <c r="S57" s="313">
        <v>795467</v>
      </c>
      <c r="T57" s="313">
        <v>809180</v>
      </c>
      <c r="U57" s="313">
        <v>823583</v>
      </c>
      <c r="V57" s="313">
        <v>838688</v>
      </c>
      <c r="W57" s="313">
        <v>854359</v>
      </c>
      <c r="X57" s="313">
        <v>870445</v>
      </c>
      <c r="Y57" s="313">
        <v>886846</v>
      </c>
      <c r="Z57" s="313">
        <v>903472</v>
      </c>
      <c r="AA57" s="313">
        <v>920251</v>
      </c>
      <c r="AB57" s="313">
        <v>937097</v>
      </c>
      <c r="AC57" s="313">
        <v>953906</v>
      </c>
      <c r="AD57" s="313">
        <v>970560</v>
      </c>
      <c r="AE57" s="313">
        <v>986963</v>
      </c>
    </row>
    <row r="58" spans="1:32">
      <c r="A58" t="str">
        <f t="shared" si="1"/>
        <v>MauritiusUNPD</v>
      </c>
      <c r="B58" s="528" t="s">
        <v>150</v>
      </c>
      <c r="C58" s="528" t="s">
        <v>874</v>
      </c>
      <c r="D58" s="221">
        <v>18933</v>
      </c>
      <c r="E58" s="221">
        <v>18430</v>
      </c>
      <c r="F58" s="221">
        <v>17878</v>
      </c>
      <c r="G58" s="221">
        <v>17294</v>
      </c>
      <c r="H58" s="221">
        <v>16706</v>
      </c>
      <c r="I58" s="221">
        <v>16141</v>
      </c>
      <c r="J58" s="221">
        <v>15620</v>
      </c>
      <c r="K58" s="221">
        <v>15162</v>
      </c>
      <c r="L58" s="221">
        <v>14780</v>
      </c>
      <c r="M58" s="221">
        <v>14472</v>
      </c>
      <c r="N58" s="221">
        <v>14233</v>
      </c>
      <c r="O58" s="221">
        <v>14059</v>
      </c>
      <c r="P58" s="221">
        <v>13942</v>
      </c>
      <c r="Q58" s="221">
        <v>13873</v>
      </c>
      <c r="R58" s="313">
        <v>13835</v>
      </c>
      <c r="S58" s="313">
        <v>13813</v>
      </c>
      <c r="T58" s="313">
        <v>13798</v>
      </c>
      <c r="U58" s="313">
        <v>13783</v>
      </c>
      <c r="V58" s="313">
        <v>13768</v>
      </c>
      <c r="W58" s="313">
        <v>13755</v>
      </c>
      <c r="X58" s="313">
        <v>13746</v>
      </c>
      <c r="Y58" s="313">
        <v>13736</v>
      </c>
      <c r="Z58" s="313">
        <v>13718</v>
      </c>
      <c r="AA58" s="313">
        <v>13689</v>
      </c>
      <c r="AB58" s="313">
        <v>13645</v>
      </c>
      <c r="AC58" s="313">
        <v>13584</v>
      </c>
      <c r="AD58" s="313">
        <v>13505</v>
      </c>
      <c r="AE58" s="313">
        <v>13405</v>
      </c>
      <c r="AF58" s="1"/>
    </row>
    <row r="59" spans="1:32">
      <c r="A59" t="str">
        <f t="shared" si="1"/>
        <v>MoldovaUNPD</v>
      </c>
      <c r="B59" s="528" t="s">
        <v>230</v>
      </c>
      <c r="C59" s="528" t="s">
        <v>874</v>
      </c>
      <c r="D59" s="221">
        <v>42995</v>
      </c>
      <c r="E59" s="221">
        <v>42666</v>
      </c>
      <c r="F59" s="221">
        <v>42869</v>
      </c>
      <c r="G59" s="221">
        <v>43436</v>
      </c>
      <c r="H59" s="221">
        <v>44126</v>
      </c>
      <c r="I59" s="221">
        <v>44733</v>
      </c>
      <c r="J59" s="221">
        <v>45138</v>
      </c>
      <c r="K59" s="221">
        <v>45265</v>
      </c>
      <c r="L59" s="221">
        <v>45105</v>
      </c>
      <c r="M59" s="221">
        <v>44740</v>
      </c>
      <c r="N59" s="221">
        <v>44244</v>
      </c>
      <c r="O59" s="221">
        <v>43631</v>
      </c>
      <c r="P59" s="221">
        <v>42915</v>
      </c>
      <c r="Q59" s="221">
        <v>42106</v>
      </c>
      <c r="R59" s="313">
        <v>41221</v>
      </c>
      <c r="S59" s="313">
        <v>40285</v>
      </c>
      <c r="T59" s="313">
        <v>39322</v>
      </c>
      <c r="U59" s="313">
        <v>38355</v>
      </c>
      <c r="V59" s="313">
        <v>37400</v>
      </c>
      <c r="W59" s="313">
        <v>36466</v>
      </c>
      <c r="X59" s="313">
        <v>35563</v>
      </c>
      <c r="Y59" s="313">
        <v>34703</v>
      </c>
      <c r="Z59" s="313">
        <v>33895</v>
      </c>
      <c r="AA59" s="313">
        <v>33139</v>
      </c>
      <c r="AB59" s="313">
        <v>32427</v>
      </c>
      <c r="AC59" s="313">
        <v>31760</v>
      </c>
      <c r="AD59" s="313">
        <v>31141</v>
      </c>
      <c r="AE59" s="313">
        <v>30581</v>
      </c>
    </row>
    <row r="60" spans="1:32">
      <c r="A60" t="str">
        <f t="shared" si="1"/>
        <v>MexicoUNPD</v>
      </c>
      <c r="B60" s="528" t="s">
        <v>761</v>
      </c>
      <c r="C60" s="528" t="s">
        <v>874</v>
      </c>
      <c r="D60" s="313">
        <v>2439534</v>
      </c>
      <c r="E60" s="313">
        <v>2423985</v>
      </c>
      <c r="F60" s="313">
        <v>2410124</v>
      </c>
      <c r="G60" s="313">
        <v>2398795</v>
      </c>
      <c r="H60" s="313">
        <v>2389980</v>
      </c>
      <c r="I60" s="313">
        <v>2383391</v>
      </c>
      <c r="J60" s="313">
        <v>2378724</v>
      </c>
      <c r="K60" s="313">
        <v>2375305</v>
      </c>
      <c r="L60" s="313">
        <v>2372212</v>
      </c>
      <c r="M60" s="313">
        <v>2368397</v>
      </c>
      <c r="N60" s="313">
        <v>2362997</v>
      </c>
      <c r="O60" s="313">
        <v>2355540</v>
      </c>
      <c r="P60" s="313">
        <v>2345804</v>
      </c>
      <c r="Q60" s="313">
        <v>2333908</v>
      </c>
      <c r="R60" s="313">
        <v>2320430</v>
      </c>
      <c r="S60" s="313">
        <v>2305862</v>
      </c>
      <c r="T60" s="313">
        <v>2290366</v>
      </c>
      <c r="U60" s="313">
        <v>2274006</v>
      </c>
      <c r="V60" s="313">
        <v>2256763</v>
      </c>
      <c r="W60" s="313">
        <v>2238622</v>
      </c>
      <c r="X60" s="313">
        <v>2219652</v>
      </c>
      <c r="Y60" s="313">
        <v>2200021</v>
      </c>
      <c r="Z60" s="313">
        <v>2179887</v>
      </c>
      <c r="AA60" s="313">
        <v>2159389</v>
      </c>
      <c r="AB60" s="313">
        <v>2138679</v>
      </c>
      <c r="AC60" s="313">
        <v>2117937</v>
      </c>
      <c r="AD60" s="313">
        <v>2097349</v>
      </c>
      <c r="AE60" s="313">
        <v>2077065</v>
      </c>
    </row>
    <row r="61" spans="1:32">
      <c r="A61" t="str">
        <f t="shared" si="1"/>
        <v>MongoliaUNPD</v>
      </c>
      <c r="B61" s="528" t="s">
        <v>178</v>
      </c>
      <c r="C61" s="528" t="s">
        <v>874</v>
      </c>
      <c r="D61" s="221">
        <v>47569</v>
      </c>
      <c r="E61" s="221">
        <v>49172</v>
      </c>
      <c r="F61" s="221">
        <v>51298</v>
      </c>
      <c r="G61" s="221">
        <v>53883</v>
      </c>
      <c r="H61" s="221">
        <v>56761</v>
      </c>
      <c r="I61" s="221">
        <v>59732</v>
      </c>
      <c r="J61" s="221">
        <v>62605</v>
      </c>
      <c r="K61" s="221">
        <v>65152</v>
      </c>
      <c r="L61" s="221">
        <v>67169</v>
      </c>
      <c r="M61" s="221">
        <v>68582</v>
      </c>
      <c r="N61" s="221">
        <v>69366</v>
      </c>
      <c r="O61" s="221">
        <v>69512</v>
      </c>
      <c r="P61" s="221">
        <v>69072</v>
      </c>
      <c r="Q61" s="221">
        <v>68156</v>
      </c>
      <c r="R61" s="313">
        <v>66962</v>
      </c>
      <c r="S61" s="313">
        <v>65665</v>
      </c>
      <c r="T61" s="313">
        <v>64373</v>
      </c>
      <c r="U61" s="313">
        <v>63159</v>
      </c>
      <c r="V61" s="313">
        <v>62045</v>
      </c>
      <c r="W61" s="313">
        <v>60996</v>
      </c>
      <c r="X61" s="313">
        <v>59994</v>
      </c>
      <c r="Y61" s="313">
        <v>59063</v>
      </c>
      <c r="Z61" s="313">
        <v>58226</v>
      </c>
      <c r="AA61" s="313">
        <v>57499</v>
      </c>
      <c r="AB61" s="313">
        <v>56879</v>
      </c>
      <c r="AC61" s="313">
        <v>56366</v>
      </c>
      <c r="AD61" s="313">
        <v>55962</v>
      </c>
      <c r="AE61" s="313">
        <v>55671</v>
      </c>
    </row>
    <row r="62" spans="1:32">
      <c r="A62" t="str">
        <f t="shared" si="1"/>
        <v>MoroccoUNPD</v>
      </c>
      <c r="B62" s="528" t="s">
        <v>931</v>
      </c>
      <c r="C62" s="528" t="s">
        <v>874</v>
      </c>
      <c r="D62">
        <v>613439</v>
      </c>
      <c r="E62">
        <v>616524</v>
      </c>
      <c r="F62">
        <v>622890</v>
      </c>
      <c r="G62">
        <v>632450</v>
      </c>
      <c r="H62">
        <v>644386</v>
      </c>
      <c r="I62">
        <v>657606</v>
      </c>
      <c r="J62">
        <v>671065</v>
      </c>
      <c r="K62">
        <v>683398</v>
      </c>
      <c r="L62">
        <v>693299</v>
      </c>
      <c r="M62">
        <v>700092</v>
      </c>
      <c r="N62">
        <v>703393</v>
      </c>
      <c r="O62">
        <v>703029</v>
      </c>
      <c r="P62" s="744">
        <v>699210</v>
      </c>
      <c r="Q62">
        <v>692566</v>
      </c>
      <c r="R62" s="745">
        <v>684259</v>
      </c>
      <c r="S62">
        <v>675330</v>
      </c>
      <c r="T62">
        <v>666346</v>
      </c>
      <c r="U62">
        <v>657671</v>
      </c>
      <c r="V62">
        <v>649393</v>
      </c>
      <c r="W62">
        <v>641291</v>
      </c>
      <c r="X62">
        <v>633246</v>
      </c>
      <c r="Y62">
        <v>625395</v>
      </c>
      <c r="Z62">
        <v>617868</v>
      </c>
      <c r="AA62">
        <v>610757</v>
      </c>
      <c r="AB62">
        <v>604099</v>
      </c>
      <c r="AC62">
        <v>597933</v>
      </c>
      <c r="AD62">
        <v>592316</v>
      </c>
      <c r="AE62" s="745">
        <v>587308</v>
      </c>
    </row>
    <row r="63" spans="1:32">
      <c r="A63" t="str">
        <f t="shared" si="1"/>
        <v>MozambiqueUNPD</v>
      </c>
      <c r="B63" s="528" t="s">
        <v>138</v>
      </c>
      <c r="C63" s="528" t="s">
        <v>874</v>
      </c>
      <c r="D63" s="221">
        <v>875830</v>
      </c>
      <c r="E63" s="221">
        <v>893562</v>
      </c>
      <c r="F63" s="221">
        <v>911280</v>
      </c>
      <c r="G63" s="221">
        <v>929031</v>
      </c>
      <c r="H63" s="221">
        <v>946813</v>
      </c>
      <c r="I63" s="221">
        <v>964620</v>
      </c>
      <c r="J63" s="221">
        <v>982452</v>
      </c>
      <c r="K63" s="221">
        <v>1000232</v>
      </c>
      <c r="L63" s="221">
        <v>1017853</v>
      </c>
      <c r="M63" s="221">
        <v>1035273</v>
      </c>
      <c r="N63" s="221">
        <v>1052526</v>
      </c>
      <c r="O63" s="221">
        <v>1069709</v>
      </c>
      <c r="P63" s="221">
        <v>1087008</v>
      </c>
      <c r="Q63" s="221">
        <v>1104644</v>
      </c>
      <c r="R63" s="313">
        <v>1122799</v>
      </c>
      <c r="S63" s="313">
        <v>1141595</v>
      </c>
      <c r="T63" s="313">
        <v>1161076</v>
      </c>
      <c r="U63" s="313">
        <v>1181245</v>
      </c>
      <c r="V63" s="313">
        <v>1202039</v>
      </c>
      <c r="W63" s="313">
        <v>1223267</v>
      </c>
      <c r="X63" s="313">
        <v>1244729</v>
      </c>
      <c r="Y63" s="313">
        <v>1266287</v>
      </c>
      <c r="Z63" s="313">
        <v>1287832</v>
      </c>
      <c r="AA63" s="313">
        <v>1309294</v>
      </c>
      <c r="AB63" s="313">
        <v>1330632</v>
      </c>
      <c r="AC63" s="313">
        <v>1351786</v>
      </c>
      <c r="AD63" s="313">
        <v>1372663</v>
      </c>
      <c r="AE63" s="313">
        <v>1393183</v>
      </c>
    </row>
    <row r="64" spans="1:32">
      <c r="A64" t="str">
        <f t="shared" si="1"/>
        <v>MyanmarUNPD</v>
      </c>
      <c r="B64" s="528" t="s">
        <v>932</v>
      </c>
      <c r="C64" s="528" t="s">
        <v>874</v>
      </c>
      <c r="D64">
        <v>1161603</v>
      </c>
      <c r="E64">
        <v>1151898</v>
      </c>
      <c r="F64">
        <v>1136449</v>
      </c>
      <c r="G64">
        <v>1115781</v>
      </c>
      <c r="H64">
        <v>1091646</v>
      </c>
      <c r="I64">
        <v>1065946</v>
      </c>
      <c r="J64">
        <v>1040109</v>
      </c>
      <c r="K64">
        <v>1015740</v>
      </c>
      <c r="L64">
        <v>994196</v>
      </c>
      <c r="M64">
        <v>975979</v>
      </c>
      <c r="N64">
        <v>961364</v>
      </c>
      <c r="O64">
        <v>950592</v>
      </c>
      <c r="P64" s="744">
        <v>943530</v>
      </c>
      <c r="Q64">
        <v>939615</v>
      </c>
      <c r="R64" s="745">
        <v>937697</v>
      </c>
      <c r="S64">
        <v>936736</v>
      </c>
      <c r="T64">
        <v>936159</v>
      </c>
      <c r="U64">
        <v>935592</v>
      </c>
      <c r="V64">
        <v>934917</v>
      </c>
      <c r="W64">
        <v>934292</v>
      </c>
      <c r="X64">
        <v>933761</v>
      </c>
      <c r="Y64">
        <v>933133</v>
      </c>
      <c r="Z64">
        <v>932248</v>
      </c>
      <c r="AA64">
        <v>931002</v>
      </c>
      <c r="AB64">
        <v>929343</v>
      </c>
      <c r="AC64">
        <v>927197</v>
      </c>
      <c r="AD64">
        <v>924445</v>
      </c>
      <c r="AE64" s="745">
        <v>920951</v>
      </c>
    </row>
    <row r="65" spans="1:32">
      <c r="A65" t="str">
        <f t="shared" si="1"/>
        <v>NepalUNPD</v>
      </c>
      <c r="B65" s="528" t="s">
        <v>179</v>
      </c>
      <c r="C65" s="528" t="s">
        <v>874</v>
      </c>
      <c r="D65" s="221">
        <v>726993</v>
      </c>
      <c r="E65" s="221">
        <v>713586</v>
      </c>
      <c r="F65" s="221">
        <v>699359</v>
      </c>
      <c r="G65" s="221">
        <v>684059</v>
      </c>
      <c r="H65" s="221">
        <v>667643</v>
      </c>
      <c r="I65" s="221">
        <v>650424</v>
      </c>
      <c r="J65" s="221">
        <v>633064</v>
      </c>
      <c r="K65" s="221">
        <v>616689</v>
      </c>
      <c r="L65" s="221">
        <v>602537</v>
      </c>
      <c r="M65" s="221">
        <v>591353</v>
      </c>
      <c r="N65" s="221">
        <v>583487</v>
      </c>
      <c r="O65" s="221">
        <v>578913</v>
      </c>
      <c r="P65" s="221">
        <v>577202</v>
      </c>
      <c r="Q65" s="221">
        <v>577535</v>
      </c>
      <c r="R65" s="313">
        <v>578656</v>
      </c>
      <c r="S65" s="313">
        <v>579449</v>
      </c>
      <c r="T65" s="313">
        <v>579279</v>
      </c>
      <c r="U65" s="313">
        <v>577704</v>
      </c>
      <c r="V65" s="313">
        <v>574609</v>
      </c>
      <c r="W65" s="313">
        <v>570351</v>
      </c>
      <c r="X65" s="313">
        <v>565231</v>
      </c>
      <c r="Y65" s="313">
        <v>559275</v>
      </c>
      <c r="Z65" s="313">
        <v>552465</v>
      </c>
      <c r="AA65" s="313">
        <v>544792</v>
      </c>
      <c r="AB65" s="313">
        <v>536374</v>
      </c>
      <c r="AC65" s="313">
        <v>527392</v>
      </c>
      <c r="AD65" s="313">
        <v>518049</v>
      </c>
      <c r="AE65" s="313">
        <v>508558</v>
      </c>
    </row>
    <row r="66" spans="1:32">
      <c r="A66" t="str">
        <f t="shared" si="1"/>
        <v>NicaraguaUNPD</v>
      </c>
      <c r="B66" s="528" t="s">
        <v>359</v>
      </c>
      <c r="C66" s="528" t="s">
        <v>874</v>
      </c>
      <c r="D66" s="313">
        <v>131776</v>
      </c>
      <c r="E66" s="313">
        <v>131132</v>
      </c>
      <c r="F66" s="313">
        <v>130624</v>
      </c>
      <c r="G66" s="313">
        <v>130159</v>
      </c>
      <c r="H66" s="313">
        <v>129634</v>
      </c>
      <c r="I66" s="313">
        <v>128974</v>
      </c>
      <c r="J66" s="313">
        <v>128147</v>
      </c>
      <c r="K66" s="313">
        <v>127150</v>
      </c>
      <c r="L66" s="313">
        <v>126020</v>
      </c>
      <c r="M66" s="313">
        <v>124824</v>
      </c>
      <c r="N66" s="313">
        <v>123619</v>
      </c>
      <c r="O66" s="313">
        <v>122423</v>
      </c>
      <c r="P66" s="313">
        <v>121237</v>
      </c>
      <c r="Q66" s="313">
        <v>120049</v>
      </c>
      <c r="R66" s="313">
        <v>118837</v>
      </c>
      <c r="S66" s="313">
        <v>117587</v>
      </c>
      <c r="T66" s="313">
        <v>116304</v>
      </c>
      <c r="U66" s="313">
        <v>114996</v>
      </c>
      <c r="V66" s="313">
        <v>113675</v>
      </c>
      <c r="W66" s="313">
        <v>112358</v>
      </c>
      <c r="X66" s="313">
        <v>111062</v>
      </c>
      <c r="Y66" s="313">
        <v>109798</v>
      </c>
      <c r="Z66" s="313">
        <v>108575</v>
      </c>
      <c r="AA66" s="313">
        <v>107399</v>
      </c>
      <c r="AB66" s="313">
        <v>106267</v>
      </c>
      <c r="AC66" s="313">
        <v>105174</v>
      </c>
      <c r="AD66" s="313">
        <v>104122</v>
      </c>
      <c r="AE66" s="313">
        <v>103109</v>
      </c>
    </row>
    <row r="67" spans="1:32">
      <c r="A67" t="str">
        <f t="shared" si="1"/>
        <v>NigerUNPD</v>
      </c>
      <c r="B67" s="528" t="s">
        <v>139</v>
      </c>
      <c r="C67" s="528" t="s">
        <v>874</v>
      </c>
      <c r="D67" s="221">
        <v>656083</v>
      </c>
      <c r="E67" s="221">
        <v>676422</v>
      </c>
      <c r="F67" s="221">
        <v>697755</v>
      </c>
      <c r="G67" s="221">
        <v>720257</v>
      </c>
      <c r="H67" s="221">
        <v>744038</v>
      </c>
      <c r="I67" s="221">
        <v>769181</v>
      </c>
      <c r="J67" s="221">
        <v>795752</v>
      </c>
      <c r="K67" s="221">
        <v>823782</v>
      </c>
      <c r="L67" s="221">
        <v>853254</v>
      </c>
      <c r="M67" s="221">
        <v>884039</v>
      </c>
      <c r="N67" s="221">
        <v>916006</v>
      </c>
      <c r="O67" s="221">
        <v>949069</v>
      </c>
      <c r="P67" s="221">
        <v>983164</v>
      </c>
      <c r="Q67" s="221">
        <v>1018244</v>
      </c>
      <c r="R67" s="313">
        <v>1054269</v>
      </c>
      <c r="S67" s="313">
        <v>1091177</v>
      </c>
      <c r="T67" s="313">
        <v>1128887</v>
      </c>
      <c r="U67" s="313">
        <v>1167317</v>
      </c>
      <c r="V67" s="313">
        <v>1206404</v>
      </c>
      <c r="W67" s="313">
        <v>1246130</v>
      </c>
      <c r="X67" s="313">
        <v>1286485</v>
      </c>
      <c r="Y67" s="313">
        <v>1327449</v>
      </c>
      <c r="Z67" s="313">
        <v>1369041</v>
      </c>
      <c r="AA67" s="313">
        <v>1411302</v>
      </c>
      <c r="AB67" s="313">
        <v>1454279</v>
      </c>
      <c r="AC67" s="313">
        <v>1497995</v>
      </c>
      <c r="AD67" s="313">
        <v>1542438</v>
      </c>
      <c r="AE67" s="313">
        <v>1587619</v>
      </c>
    </row>
    <row r="68" spans="1:32">
      <c r="A68" t="str">
        <f t="shared" si="1"/>
        <v>NigeriaUNPD</v>
      </c>
      <c r="B68" s="528" t="s">
        <v>140</v>
      </c>
      <c r="C68" s="528" t="s">
        <v>874</v>
      </c>
      <c r="D68" s="221">
        <v>5670483</v>
      </c>
      <c r="E68" s="221">
        <v>5797331</v>
      </c>
      <c r="F68" s="221">
        <v>5924328</v>
      </c>
      <c r="G68" s="221">
        <v>6052393</v>
      </c>
      <c r="H68" s="221">
        <v>6182016</v>
      </c>
      <c r="I68" s="221">
        <v>6312940</v>
      </c>
      <c r="J68" s="221">
        <v>6444118</v>
      </c>
      <c r="K68" s="221">
        <v>6573388</v>
      </c>
      <c r="L68" s="221">
        <v>6698179</v>
      </c>
      <c r="M68" s="221">
        <v>6816806</v>
      </c>
      <c r="N68" s="221">
        <v>6928494</v>
      </c>
      <c r="O68" s="221">
        <v>7033430</v>
      </c>
      <c r="P68" s="221">
        <v>7132662</v>
      </c>
      <c r="Q68" s="221">
        <v>7228038</v>
      </c>
      <c r="R68" s="313">
        <v>7322279</v>
      </c>
      <c r="S68" s="313">
        <v>7417798</v>
      </c>
      <c r="T68" s="313">
        <v>7516000</v>
      </c>
      <c r="U68" s="313">
        <v>7617902</v>
      </c>
      <c r="V68" s="313">
        <v>7723819</v>
      </c>
      <c r="W68" s="313">
        <v>7832916</v>
      </c>
      <c r="X68" s="313">
        <v>7944423</v>
      </c>
      <c r="Y68" s="313">
        <v>8058149</v>
      </c>
      <c r="Z68" s="313">
        <v>8174033</v>
      </c>
      <c r="AA68" s="313">
        <v>8292020</v>
      </c>
      <c r="AB68" s="313">
        <v>8411686</v>
      </c>
      <c r="AC68" s="313">
        <v>8532397</v>
      </c>
      <c r="AD68" s="313">
        <v>8653450</v>
      </c>
      <c r="AE68" s="313">
        <v>8774196</v>
      </c>
    </row>
    <row r="69" spans="1:32">
      <c r="A69" t="str">
        <f t="shared" si="1"/>
        <v>OmanUNPD</v>
      </c>
      <c r="B69" s="528" t="s">
        <v>933</v>
      </c>
      <c r="C69" s="528" t="s">
        <v>874</v>
      </c>
      <c r="D69">
        <v>53024</v>
      </c>
      <c r="E69">
        <v>53118</v>
      </c>
      <c r="F69">
        <v>53870</v>
      </c>
      <c r="G69">
        <v>55426</v>
      </c>
      <c r="H69">
        <v>57755</v>
      </c>
      <c r="I69">
        <v>60733</v>
      </c>
      <c r="J69">
        <v>64196</v>
      </c>
      <c r="K69">
        <v>67909</v>
      </c>
      <c r="L69">
        <v>71607</v>
      </c>
      <c r="M69">
        <v>75020</v>
      </c>
      <c r="N69">
        <v>77912</v>
      </c>
      <c r="O69">
        <v>80113</v>
      </c>
      <c r="P69" s="744">
        <v>81492</v>
      </c>
      <c r="Q69">
        <v>82009</v>
      </c>
      <c r="R69" s="745">
        <v>81806</v>
      </c>
      <c r="S69">
        <v>81034</v>
      </c>
      <c r="T69">
        <v>79778</v>
      </c>
      <c r="U69">
        <v>78120</v>
      </c>
      <c r="V69">
        <v>76138</v>
      </c>
      <c r="W69">
        <v>73932</v>
      </c>
      <c r="X69">
        <v>71616</v>
      </c>
      <c r="Y69">
        <v>69303</v>
      </c>
      <c r="Z69">
        <v>67081</v>
      </c>
      <c r="AA69">
        <v>65000</v>
      </c>
      <c r="AB69">
        <v>63068</v>
      </c>
      <c r="AC69">
        <v>61310</v>
      </c>
      <c r="AD69">
        <v>59780</v>
      </c>
      <c r="AE69" s="745">
        <v>58540</v>
      </c>
    </row>
    <row r="70" spans="1:32">
      <c r="A70" t="str">
        <f t="shared" si="1"/>
        <v>PanamaUNPD</v>
      </c>
      <c r="B70" s="528" t="s">
        <v>180</v>
      </c>
      <c r="C70" s="528" t="s">
        <v>874</v>
      </c>
      <c r="D70" s="221">
        <v>70498</v>
      </c>
      <c r="E70" s="221">
        <v>70809</v>
      </c>
      <c r="F70" s="221">
        <v>71246</v>
      </c>
      <c r="G70" s="221">
        <v>71786</v>
      </c>
      <c r="H70" s="221">
        <v>72374</v>
      </c>
      <c r="I70" s="221">
        <v>72955</v>
      </c>
      <c r="J70" s="221">
        <v>73501</v>
      </c>
      <c r="K70" s="221">
        <v>73983</v>
      </c>
      <c r="L70" s="221">
        <v>74378</v>
      </c>
      <c r="M70" s="221">
        <v>74687</v>
      </c>
      <c r="N70" s="221">
        <v>74914</v>
      </c>
      <c r="O70" s="221">
        <v>75061</v>
      </c>
      <c r="P70" s="221">
        <v>75134</v>
      </c>
      <c r="Q70" s="221">
        <v>75149</v>
      </c>
      <c r="R70" s="313">
        <v>75127</v>
      </c>
      <c r="S70" s="313">
        <v>75086</v>
      </c>
      <c r="T70" s="313">
        <v>75037</v>
      </c>
      <c r="U70" s="313">
        <v>74986</v>
      </c>
      <c r="V70" s="313">
        <v>74934</v>
      </c>
      <c r="W70" s="313">
        <v>74874</v>
      </c>
      <c r="X70" s="313">
        <v>74801</v>
      </c>
      <c r="Y70" s="313">
        <v>74716</v>
      </c>
      <c r="Z70" s="313">
        <v>74619</v>
      </c>
      <c r="AA70" s="313">
        <v>74510</v>
      </c>
      <c r="AB70" s="313">
        <v>74389</v>
      </c>
      <c r="AC70" s="313">
        <v>74256</v>
      </c>
      <c r="AD70" s="313">
        <v>74113</v>
      </c>
      <c r="AE70" s="313">
        <v>73961</v>
      </c>
    </row>
    <row r="71" spans="1:32">
      <c r="A71" t="str">
        <f t="shared" si="1"/>
        <v>Papua New GuineaUNPD</v>
      </c>
      <c r="B71" s="528" t="s">
        <v>181</v>
      </c>
      <c r="C71" s="528" t="s">
        <v>874</v>
      </c>
      <c r="D71" s="221">
        <v>194259</v>
      </c>
      <c r="E71" s="221">
        <v>196439</v>
      </c>
      <c r="F71" s="221">
        <v>198547</v>
      </c>
      <c r="G71" s="221">
        <v>200545</v>
      </c>
      <c r="H71" s="221">
        <v>202385</v>
      </c>
      <c r="I71" s="221">
        <v>204052</v>
      </c>
      <c r="J71" s="221">
        <v>205576</v>
      </c>
      <c r="K71" s="221">
        <v>207004</v>
      </c>
      <c r="L71" s="221">
        <v>208399</v>
      </c>
      <c r="M71" s="221">
        <v>209823</v>
      </c>
      <c r="N71" s="221">
        <v>211326</v>
      </c>
      <c r="O71" s="221">
        <v>212941</v>
      </c>
      <c r="P71" s="221">
        <v>214684</v>
      </c>
      <c r="Q71" s="221">
        <v>216555</v>
      </c>
      <c r="R71" s="313">
        <v>218515</v>
      </c>
      <c r="S71" s="313">
        <v>220526</v>
      </c>
      <c r="T71" s="313">
        <v>222565</v>
      </c>
      <c r="U71" s="313">
        <v>224616</v>
      </c>
      <c r="V71" s="313">
        <v>226665</v>
      </c>
      <c r="W71" s="313">
        <v>228699</v>
      </c>
      <c r="X71" s="313">
        <v>230701</v>
      </c>
      <c r="Y71" s="313">
        <v>232652</v>
      </c>
      <c r="Z71" s="313">
        <v>234535</v>
      </c>
      <c r="AA71" s="313">
        <v>236339</v>
      </c>
      <c r="AB71" s="313">
        <v>238063</v>
      </c>
      <c r="AC71" s="313">
        <v>239705</v>
      </c>
      <c r="AD71" s="313">
        <v>241257</v>
      </c>
      <c r="AE71" s="313">
        <v>242713</v>
      </c>
    </row>
    <row r="72" spans="1:32">
      <c r="A72" t="str">
        <f t="shared" si="1"/>
        <v>ParaguayUNPD</v>
      </c>
      <c r="B72" s="528" t="s">
        <v>182</v>
      </c>
      <c r="C72" s="528" t="s">
        <v>874</v>
      </c>
      <c r="D72" s="221">
        <v>139683</v>
      </c>
      <c r="E72" s="221">
        <v>139148</v>
      </c>
      <c r="F72" s="221">
        <v>138988</v>
      </c>
      <c r="G72" s="221">
        <v>139088</v>
      </c>
      <c r="H72" s="221">
        <v>139266</v>
      </c>
      <c r="I72" s="221">
        <v>139387</v>
      </c>
      <c r="J72" s="221">
        <v>139417</v>
      </c>
      <c r="K72" s="221">
        <v>139386</v>
      </c>
      <c r="L72" s="221">
        <v>139373</v>
      </c>
      <c r="M72" s="221">
        <v>139468</v>
      </c>
      <c r="N72" s="221">
        <v>139722</v>
      </c>
      <c r="O72" s="221">
        <v>140121</v>
      </c>
      <c r="P72" s="221">
        <v>140617</v>
      </c>
      <c r="Q72" s="221">
        <v>141137</v>
      </c>
      <c r="R72" s="313">
        <v>141588</v>
      </c>
      <c r="S72" s="313">
        <v>141896</v>
      </c>
      <c r="T72" s="313">
        <v>142018</v>
      </c>
      <c r="U72" s="313">
        <v>141929</v>
      </c>
      <c r="V72" s="313">
        <v>141629</v>
      </c>
      <c r="W72" s="313">
        <v>141161</v>
      </c>
      <c r="X72" s="313">
        <v>140568</v>
      </c>
      <c r="Y72" s="313">
        <v>139873</v>
      </c>
      <c r="Z72" s="313">
        <v>139094</v>
      </c>
      <c r="AA72" s="313">
        <v>138247</v>
      </c>
      <c r="AB72" s="313">
        <v>137348</v>
      </c>
      <c r="AC72" s="313">
        <v>136414</v>
      </c>
      <c r="AD72" s="313">
        <v>135466</v>
      </c>
      <c r="AE72" s="313">
        <v>134519</v>
      </c>
      <c r="AF72" s="1"/>
    </row>
    <row r="73" spans="1:32">
      <c r="A73" t="str">
        <f t="shared" si="1"/>
        <v>PeruUNPD</v>
      </c>
      <c r="B73" s="528" t="s">
        <v>360</v>
      </c>
      <c r="C73" s="528" t="s">
        <v>874</v>
      </c>
      <c r="D73" s="313">
        <v>614044</v>
      </c>
      <c r="E73" s="313">
        <v>611569</v>
      </c>
      <c r="F73" s="313">
        <v>609860</v>
      </c>
      <c r="G73" s="313">
        <v>609162</v>
      </c>
      <c r="H73" s="313">
        <v>609481</v>
      </c>
      <c r="I73" s="313">
        <v>610676</v>
      </c>
      <c r="J73" s="313">
        <v>612509</v>
      </c>
      <c r="K73" s="313">
        <v>614573</v>
      </c>
      <c r="L73" s="313">
        <v>616384</v>
      </c>
      <c r="M73" s="313">
        <v>617526</v>
      </c>
      <c r="N73" s="313">
        <v>617694</v>
      </c>
      <c r="O73" s="313">
        <v>616747</v>
      </c>
      <c r="P73" s="313">
        <v>614684</v>
      </c>
      <c r="Q73" s="313">
        <v>611670</v>
      </c>
      <c r="R73" s="313">
        <v>608082</v>
      </c>
      <c r="S73" s="313">
        <v>604251</v>
      </c>
      <c r="T73" s="313">
        <v>600330</v>
      </c>
      <c r="U73" s="313">
        <v>596413</v>
      </c>
      <c r="V73" s="313">
        <v>592516</v>
      </c>
      <c r="W73" s="313">
        <v>588581</v>
      </c>
      <c r="X73" s="313">
        <v>584585</v>
      </c>
      <c r="Y73" s="313">
        <v>580576</v>
      </c>
      <c r="Z73" s="313">
        <v>576605</v>
      </c>
      <c r="AA73" s="313">
        <v>572716</v>
      </c>
      <c r="AB73" s="313">
        <v>568934</v>
      </c>
      <c r="AC73" s="313">
        <v>565281</v>
      </c>
      <c r="AD73" s="313">
        <v>561784</v>
      </c>
      <c r="AE73" s="313">
        <v>558463</v>
      </c>
    </row>
    <row r="74" spans="1:32">
      <c r="A74" t="str">
        <f t="shared" si="1"/>
        <v>Republic of the CongoUNPD</v>
      </c>
      <c r="B74" s="528" t="s">
        <v>934</v>
      </c>
      <c r="C74" s="528" t="s">
        <v>874</v>
      </c>
      <c r="D74">
        <v>130514</v>
      </c>
      <c r="E74">
        <v>133895</v>
      </c>
      <c r="F74">
        <v>137321</v>
      </c>
      <c r="G74">
        <v>140799</v>
      </c>
      <c r="H74">
        <v>144305</v>
      </c>
      <c r="I74">
        <v>147800</v>
      </c>
      <c r="J74">
        <v>151234</v>
      </c>
      <c r="K74">
        <v>154514</v>
      </c>
      <c r="L74">
        <v>157538</v>
      </c>
      <c r="M74">
        <v>160266</v>
      </c>
      <c r="N74">
        <v>162698</v>
      </c>
      <c r="O74">
        <v>164868</v>
      </c>
      <c r="P74" s="744">
        <v>166850</v>
      </c>
      <c r="Q74">
        <v>168746</v>
      </c>
      <c r="R74" s="745">
        <v>170683</v>
      </c>
      <c r="S74">
        <v>172773</v>
      </c>
      <c r="T74">
        <v>175083</v>
      </c>
      <c r="U74">
        <v>177658</v>
      </c>
      <c r="V74">
        <v>180509</v>
      </c>
      <c r="W74">
        <v>183580</v>
      </c>
      <c r="X74">
        <v>186822</v>
      </c>
      <c r="Y74">
        <v>190215</v>
      </c>
      <c r="Z74">
        <v>193748</v>
      </c>
      <c r="AA74">
        <v>197411</v>
      </c>
      <c r="AB74">
        <v>201183</v>
      </c>
      <c r="AC74">
        <v>205034</v>
      </c>
      <c r="AD74">
        <v>208925</v>
      </c>
      <c r="AE74" s="745">
        <v>212825</v>
      </c>
    </row>
    <row r="75" spans="1:32">
      <c r="A75" t="str">
        <f t="shared" si="1"/>
        <v>RwandaUNPD</v>
      </c>
      <c r="B75" s="528" t="s">
        <v>953</v>
      </c>
      <c r="C75" s="528" t="s">
        <v>874</v>
      </c>
      <c r="D75">
        <v>337705</v>
      </c>
      <c r="E75">
        <v>345389</v>
      </c>
      <c r="F75">
        <v>351876</v>
      </c>
      <c r="G75">
        <v>356831</v>
      </c>
      <c r="H75">
        <v>360329</v>
      </c>
      <c r="I75">
        <v>362531</v>
      </c>
      <c r="J75">
        <v>363552</v>
      </c>
      <c r="K75">
        <v>363661</v>
      </c>
      <c r="L75">
        <v>363230</v>
      </c>
      <c r="M75">
        <v>362663</v>
      </c>
      <c r="N75">
        <v>362281</v>
      </c>
      <c r="O75">
        <v>362246</v>
      </c>
      <c r="P75" s="744">
        <v>362559</v>
      </c>
      <c r="Q75">
        <v>363074</v>
      </c>
      <c r="R75" s="745">
        <v>363541</v>
      </c>
      <c r="S75">
        <v>363802</v>
      </c>
      <c r="T75">
        <v>363878</v>
      </c>
      <c r="U75">
        <v>363864</v>
      </c>
      <c r="V75">
        <v>363913</v>
      </c>
      <c r="W75">
        <v>364195</v>
      </c>
      <c r="X75">
        <v>364834</v>
      </c>
      <c r="Y75">
        <v>365876</v>
      </c>
      <c r="Z75">
        <v>367353</v>
      </c>
      <c r="AA75">
        <v>369254</v>
      </c>
      <c r="AB75">
        <v>371456</v>
      </c>
      <c r="AC75">
        <v>373817</v>
      </c>
      <c r="AD75">
        <v>376229</v>
      </c>
      <c r="AE75" s="745">
        <v>378590</v>
      </c>
    </row>
    <row r="76" spans="1:32" ht="15" customHeight="1">
      <c r="A76" t="str">
        <f t="shared" si="1"/>
        <v>Saint Kitts &amp; NevisUNPD</v>
      </c>
      <c r="B76" s="528" t="s">
        <v>361</v>
      </c>
      <c r="C76" s="528" t="s">
        <v>874</v>
      </c>
      <c r="D76" s="221"/>
      <c r="E76" s="221"/>
      <c r="F76" s="221"/>
      <c r="G76" s="221"/>
      <c r="H76" s="221"/>
      <c r="I76" s="221"/>
      <c r="J76" s="221"/>
      <c r="K76" s="221"/>
      <c r="L76" s="221"/>
      <c r="M76" s="221">
        <v>637</v>
      </c>
      <c r="N76" s="221">
        <v>546</v>
      </c>
      <c r="O76" s="221">
        <v>642</v>
      </c>
      <c r="P76" s="221">
        <v>632</v>
      </c>
      <c r="Q76" s="221">
        <v>677</v>
      </c>
      <c r="R76" s="434">
        <v>677</v>
      </c>
      <c r="S76" s="434">
        <v>677</v>
      </c>
      <c r="T76" s="434">
        <v>677</v>
      </c>
      <c r="U76" s="434">
        <v>677</v>
      </c>
      <c r="V76" s="434">
        <v>677</v>
      </c>
      <c r="W76" s="434">
        <v>677</v>
      </c>
      <c r="X76" s="434">
        <v>677</v>
      </c>
      <c r="Y76" s="434">
        <v>677</v>
      </c>
      <c r="Z76" s="434">
        <v>677</v>
      </c>
      <c r="AA76" s="434">
        <v>677</v>
      </c>
      <c r="AB76" s="434">
        <v>677</v>
      </c>
      <c r="AC76" s="434">
        <v>677</v>
      </c>
      <c r="AD76" s="434">
        <v>677</v>
      </c>
      <c r="AE76" s="434">
        <v>677</v>
      </c>
      <c r="AF76" s="435" t="s">
        <v>371</v>
      </c>
    </row>
    <row r="77" spans="1:32">
      <c r="A77" t="str">
        <f t="shared" ref="A77" si="2">B77&amp;C77</f>
        <v>Saint LuciaUNPD</v>
      </c>
      <c r="B77" s="528" t="s">
        <v>362</v>
      </c>
      <c r="C77" s="528" t="s">
        <v>874</v>
      </c>
      <c r="D77" s="313">
        <v>2914</v>
      </c>
      <c r="E77" s="313">
        <v>2900</v>
      </c>
      <c r="F77" s="313">
        <v>2900</v>
      </c>
      <c r="G77" s="313">
        <v>2905</v>
      </c>
      <c r="H77" s="313">
        <v>2911</v>
      </c>
      <c r="I77" s="313">
        <v>2910</v>
      </c>
      <c r="J77" s="313">
        <v>2901</v>
      </c>
      <c r="K77" s="313">
        <v>2884</v>
      </c>
      <c r="L77" s="313">
        <v>2859</v>
      </c>
      <c r="M77" s="313">
        <v>2833</v>
      </c>
      <c r="N77" s="313">
        <v>2808</v>
      </c>
      <c r="O77" s="313">
        <v>2785</v>
      </c>
      <c r="P77" s="313">
        <v>2765</v>
      </c>
      <c r="Q77" s="313">
        <v>2746</v>
      </c>
      <c r="R77" s="313">
        <v>2728</v>
      </c>
      <c r="S77" s="313">
        <v>2708</v>
      </c>
      <c r="T77" s="313">
        <v>2687</v>
      </c>
      <c r="U77" s="313">
        <v>2664</v>
      </c>
      <c r="V77" s="313">
        <v>2640</v>
      </c>
      <c r="W77" s="313">
        <v>2615</v>
      </c>
      <c r="X77" s="313">
        <v>2590</v>
      </c>
      <c r="Y77" s="313">
        <v>2563</v>
      </c>
      <c r="Z77" s="313">
        <v>2537</v>
      </c>
      <c r="AA77" s="313">
        <v>2510</v>
      </c>
      <c r="AB77" s="313">
        <v>2483</v>
      </c>
      <c r="AC77" s="313">
        <v>2456</v>
      </c>
      <c r="AD77" s="313">
        <v>2428</v>
      </c>
      <c r="AE77" s="313">
        <v>2401</v>
      </c>
    </row>
    <row r="78" spans="1:32">
      <c r="A78" t="str">
        <f t="shared" ref="A78:A100" si="3">B78&amp;C78</f>
        <v>Saint Vincent &amp; the GrenadinesUNPD</v>
      </c>
      <c r="B78" s="528" t="s">
        <v>363</v>
      </c>
      <c r="C78" s="528" t="s">
        <v>874</v>
      </c>
      <c r="D78" s="313">
        <v>2014</v>
      </c>
      <c r="E78" s="313">
        <v>1985</v>
      </c>
      <c r="F78" s="313">
        <v>1963</v>
      </c>
      <c r="G78" s="313">
        <v>1945</v>
      </c>
      <c r="H78" s="313">
        <v>1929</v>
      </c>
      <c r="I78" s="313">
        <v>1911</v>
      </c>
      <c r="J78" s="313">
        <v>1890</v>
      </c>
      <c r="K78" s="313">
        <v>1867</v>
      </c>
      <c r="L78" s="313">
        <v>1840</v>
      </c>
      <c r="M78" s="313">
        <v>1813</v>
      </c>
      <c r="N78" s="313">
        <v>1785</v>
      </c>
      <c r="O78" s="313">
        <v>1757</v>
      </c>
      <c r="P78" s="313">
        <v>1731</v>
      </c>
      <c r="Q78" s="313">
        <v>1704</v>
      </c>
      <c r="R78" s="313">
        <v>1679</v>
      </c>
      <c r="S78" s="313">
        <v>1653</v>
      </c>
      <c r="T78" s="313">
        <v>1628</v>
      </c>
      <c r="U78" s="313">
        <v>1604</v>
      </c>
      <c r="V78" s="313">
        <v>1580</v>
      </c>
      <c r="W78" s="313">
        <v>1556</v>
      </c>
      <c r="X78" s="313">
        <v>1533</v>
      </c>
      <c r="Y78" s="313">
        <v>1511</v>
      </c>
      <c r="Z78" s="313">
        <v>1489</v>
      </c>
      <c r="AA78" s="313">
        <v>1467</v>
      </c>
      <c r="AB78" s="313">
        <v>1447</v>
      </c>
      <c r="AC78" s="313">
        <v>1427</v>
      </c>
      <c r="AD78" s="313">
        <v>1409</v>
      </c>
      <c r="AE78" s="313">
        <v>1391</v>
      </c>
    </row>
    <row r="79" spans="1:32">
      <c r="A79" t="str">
        <f t="shared" si="3"/>
        <v>SamoaUNPD</v>
      </c>
      <c r="B79" s="528" t="s">
        <v>183</v>
      </c>
      <c r="C79" s="528" t="s">
        <v>874</v>
      </c>
      <c r="D79" s="221">
        <v>5297</v>
      </c>
      <c r="E79" s="221">
        <v>5302</v>
      </c>
      <c r="F79" s="221">
        <v>5312</v>
      </c>
      <c r="G79" s="221">
        <v>5320</v>
      </c>
      <c r="H79" s="221">
        <v>5317</v>
      </c>
      <c r="I79" s="221">
        <v>5297</v>
      </c>
      <c r="J79" s="221">
        <v>5259</v>
      </c>
      <c r="K79" s="221">
        <v>5203</v>
      </c>
      <c r="L79" s="221">
        <v>5133</v>
      </c>
      <c r="M79" s="221">
        <v>5056</v>
      </c>
      <c r="N79" s="221">
        <v>4980</v>
      </c>
      <c r="O79" s="221">
        <v>4907</v>
      </c>
      <c r="P79" s="221">
        <v>4843</v>
      </c>
      <c r="Q79" s="221">
        <v>4789</v>
      </c>
      <c r="R79" s="313">
        <v>4745</v>
      </c>
      <c r="S79" s="313">
        <v>4710</v>
      </c>
      <c r="T79" s="313">
        <v>4684</v>
      </c>
      <c r="U79" s="313">
        <v>4669</v>
      </c>
      <c r="V79" s="313">
        <v>4663</v>
      </c>
      <c r="W79" s="313">
        <v>4665</v>
      </c>
      <c r="X79" s="313">
        <v>4672</v>
      </c>
      <c r="Y79" s="313">
        <v>4685</v>
      </c>
      <c r="Z79" s="313">
        <v>4702</v>
      </c>
      <c r="AA79" s="313">
        <v>4725</v>
      </c>
      <c r="AB79" s="313">
        <v>4751</v>
      </c>
      <c r="AC79" s="313">
        <v>4782</v>
      </c>
      <c r="AD79" s="313">
        <v>4814</v>
      </c>
      <c r="AE79" s="313">
        <v>4847</v>
      </c>
    </row>
    <row r="80" spans="1:32">
      <c r="A80" t="str">
        <f t="shared" si="3"/>
        <v>Sao Tome &amp; PrincipeUNPD</v>
      </c>
      <c r="B80" s="528" t="s">
        <v>364</v>
      </c>
      <c r="C80" s="528" t="s">
        <v>874</v>
      </c>
      <c r="D80" s="221">
        <v>5609</v>
      </c>
      <c r="E80" s="221">
        <v>5678</v>
      </c>
      <c r="F80" s="221">
        <v>5747</v>
      </c>
      <c r="G80" s="221">
        <v>5817</v>
      </c>
      <c r="H80" s="221">
        <v>5890</v>
      </c>
      <c r="I80" s="221">
        <v>5965</v>
      </c>
      <c r="J80" s="221">
        <v>6042</v>
      </c>
      <c r="K80" s="221">
        <v>6118</v>
      </c>
      <c r="L80" s="221">
        <v>6189</v>
      </c>
      <c r="M80" s="221">
        <v>6251</v>
      </c>
      <c r="N80" s="221">
        <v>6305</v>
      </c>
      <c r="O80" s="221">
        <v>6349</v>
      </c>
      <c r="P80" s="221">
        <v>6385</v>
      </c>
      <c r="Q80" s="221">
        <v>6417</v>
      </c>
      <c r="R80" s="313">
        <v>6448</v>
      </c>
      <c r="S80" s="313">
        <v>6482</v>
      </c>
      <c r="T80" s="313">
        <v>6521</v>
      </c>
      <c r="U80" s="313">
        <v>6566</v>
      </c>
      <c r="V80" s="313">
        <v>6615</v>
      </c>
      <c r="W80" s="313">
        <v>6669</v>
      </c>
      <c r="X80" s="313">
        <v>6725</v>
      </c>
      <c r="Y80" s="313">
        <v>6783</v>
      </c>
      <c r="Z80" s="313">
        <v>6842</v>
      </c>
      <c r="AA80" s="313">
        <v>6901</v>
      </c>
      <c r="AB80" s="313">
        <v>6962</v>
      </c>
      <c r="AC80" s="313">
        <v>7023</v>
      </c>
      <c r="AD80" s="313">
        <v>7084</v>
      </c>
      <c r="AE80" s="313">
        <v>7144</v>
      </c>
    </row>
    <row r="81" spans="1:31">
      <c r="A81" t="str">
        <f t="shared" si="3"/>
        <v>Saudi ArabiaUNPD</v>
      </c>
      <c r="B81" s="528" t="s">
        <v>935</v>
      </c>
      <c r="C81" s="528" t="s">
        <v>874</v>
      </c>
      <c r="D81">
        <v>567847</v>
      </c>
      <c r="E81">
        <v>572157</v>
      </c>
      <c r="F81">
        <v>578068</v>
      </c>
      <c r="G81">
        <v>585192</v>
      </c>
      <c r="H81">
        <v>592825</v>
      </c>
      <c r="I81">
        <v>600269</v>
      </c>
      <c r="J81">
        <v>607033</v>
      </c>
      <c r="K81">
        <v>612632</v>
      </c>
      <c r="L81">
        <v>616729</v>
      </c>
      <c r="M81">
        <v>619359</v>
      </c>
      <c r="N81">
        <v>620609</v>
      </c>
      <c r="O81">
        <v>620500</v>
      </c>
      <c r="P81" s="744">
        <v>619112</v>
      </c>
      <c r="Q81">
        <v>616610</v>
      </c>
      <c r="R81" s="745">
        <v>613336</v>
      </c>
      <c r="S81">
        <v>609641</v>
      </c>
      <c r="T81">
        <v>605789</v>
      </c>
      <c r="U81">
        <v>601999</v>
      </c>
      <c r="V81">
        <v>598409</v>
      </c>
      <c r="W81">
        <v>595047</v>
      </c>
      <c r="X81">
        <v>591967</v>
      </c>
      <c r="Y81">
        <v>589285</v>
      </c>
      <c r="Z81">
        <v>587113</v>
      </c>
      <c r="AA81">
        <v>585518</v>
      </c>
      <c r="AB81">
        <v>584457</v>
      </c>
      <c r="AC81">
        <v>583867</v>
      </c>
      <c r="AD81">
        <v>583708</v>
      </c>
      <c r="AE81" s="745">
        <v>583954</v>
      </c>
    </row>
    <row r="82" spans="1:31">
      <c r="A82" t="str">
        <f t="shared" si="3"/>
        <v>SenegalUNPD</v>
      </c>
      <c r="B82" s="528" t="s">
        <v>141</v>
      </c>
      <c r="C82" s="528" t="s">
        <v>874</v>
      </c>
      <c r="D82" s="221">
        <v>422207</v>
      </c>
      <c r="E82" s="221">
        <v>431929</v>
      </c>
      <c r="F82" s="221">
        <v>442394</v>
      </c>
      <c r="G82" s="221">
        <v>453977</v>
      </c>
      <c r="H82" s="221">
        <v>466777</v>
      </c>
      <c r="I82" s="221">
        <v>480665</v>
      </c>
      <c r="J82" s="221">
        <v>495330</v>
      </c>
      <c r="K82" s="221">
        <v>510170</v>
      </c>
      <c r="L82" s="221">
        <v>524453</v>
      </c>
      <c r="M82" s="221">
        <v>537576</v>
      </c>
      <c r="N82" s="221">
        <v>549145</v>
      </c>
      <c r="O82" s="221">
        <v>559032</v>
      </c>
      <c r="P82" s="221">
        <v>567336</v>
      </c>
      <c r="Q82" s="221">
        <v>574397</v>
      </c>
      <c r="R82" s="313">
        <v>580859</v>
      </c>
      <c r="S82" s="313">
        <v>587285</v>
      </c>
      <c r="T82" s="313">
        <v>593968</v>
      </c>
      <c r="U82" s="313">
        <v>601092</v>
      </c>
      <c r="V82" s="313">
        <v>608697</v>
      </c>
      <c r="W82" s="313">
        <v>616647</v>
      </c>
      <c r="X82" s="313">
        <v>624858</v>
      </c>
      <c r="Y82" s="313">
        <v>633379</v>
      </c>
      <c r="Z82" s="313">
        <v>642274</v>
      </c>
      <c r="AA82" s="313">
        <v>651600</v>
      </c>
      <c r="AB82" s="313">
        <v>661364</v>
      </c>
      <c r="AC82" s="313">
        <v>671556</v>
      </c>
      <c r="AD82" s="313">
        <v>682158</v>
      </c>
      <c r="AE82" s="313">
        <v>693166</v>
      </c>
    </row>
    <row r="83" spans="1:31">
      <c r="A83" t="str">
        <f t="shared" si="3"/>
        <v>SeychellesUNPD</v>
      </c>
      <c r="B83" s="528" t="s">
        <v>151</v>
      </c>
      <c r="C83" s="528" t="s">
        <v>874</v>
      </c>
      <c r="D83" s="221">
        <v>1646</v>
      </c>
      <c r="E83" s="221">
        <v>1680</v>
      </c>
      <c r="F83" s="221">
        <v>1710</v>
      </c>
      <c r="G83" s="221">
        <v>1734</v>
      </c>
      <c r="H83" s="221">
        <v>1751</v>
      </c>
      <c r="I83" s="221">
        <v>1760</v>
      </c>
      <c r="J83" s="221">
        <v>1762</v>
      </c>
      <c r="K83" s="221">
        <v>1756</v>
      </c>
      <c r="L83" s="221">
        <v>1741</v>
      </c>
      <c r="M83" s="221">
        <v>1719</v>
      </c>
      <c r="N83" s="221">
        <v>1692</v>
      </c>
      <c r="O83" s="221">
        <v>1662</v>
      </c>
      <c r="P83" s="221">
        <v>1628</v>
      </c>
      <c r="Q83" s="221">
        <v>1593</v>
      </c>
      <c r="R83" s="313">
        <v>1558</v>
      </c>
      <c r="S83" s="313">
        <v>1522</v>
      </c>
      <c r="T83" s="313">
        <v>1489</v>
      </c>
      <c r="U83" s="313">
        <v>1458</v>
      </c>
      <c r="V83" s="313">
        <v>1429</v>
      </c>
      <c r="W83" s="313">
        <v>1403</v>
      </c>
      <c r="X83" s="313">
        <v>1380</v>
      </c>
      <c r="Y83" s="313">
        <v>1359</v>
      </c>
      <c r="Z83" s="313">
        <v>1341</v>
      </c>
      <c r="AA83" s="313">
        <v>1326</v>
      </c>
      <c r="AB83" s="313">
        <v>1315</v>
      </c>
      <c r="AC83" s="313">
        <v>1305</v>
      </c>
      <c r="AD83" s="313">
        <v>1299</v>
      </c>
      <c r="AE83" s="313">
        <v>1295</v>
      </c>
    </row>
    <row r="84" spans="1:31">
      <c r="A84" t="str">
        <f t="shared" si="3"/>
        <v>Sierra LeoneUNPD</v>
      </c>
      <c r="B84" s="737" t="s">
        <v>936</v>
      </c>
      <c r="C84" s="528" t="s">
        <v>874</v>
      </c>
      <c r="D84">
        <v>203018</v>
      </c>
      <c r="E84">
        <v>208453</v>
      </c>
      <c r="F84">
        <v>213466</v>
      </c>
      <c r="G84">
        <v>217728</v>
      </c>
      <c r="H84">
        <v>221123</v>
      </c>
      <c r="I84">
        <v>223624</v>
      </c>
      <c r="J84">
        <v>225250</v>
      </c>
      <c r="K84">
        <v>226159</v>
      </c>
      <c r="L84">
        <v>226614</v>
      </c>
      <c r="M84">
        <v>226953</v>
      </c>
      <c r="N84">
        <v>227439</v>
      </c>
      <c r="O84">
        <v>228187</v>
      </c>
      <c r="P84" s="744">
        <v>229224</v>
      </c>
      <c r="Q84">
        <v>230476</v>
      </c>
      <c r="R84" s="745">
        <v>231757</v>
      </c>
      <c r="S84">
        <v>232927</v>
      </c>
      <c r="T84">
        <v>233948</v>
      </c>
      <c r="U84">
        <v>234810</v>
      </c>
      <c r="V84">
        <v>235532</v>
      </c>
      <c r="W84">
        <v>236169</v>
      </c>
      <c r="X84">
        <v>236764</v>
      </c>
      <c r="Y84">
        <v>237332</v>
      </c>
      <c r="Z84">
        <v>237882</v>
      </c>
      <c r="AA84">
        <v>238418</v>
      </c>
      <c r="AB84">
        <v>238929</v>
      </c>
      <c r="AC84">
        <v>239403</v>
      </c>
      <c r="AD84">
        <v>239838</v>
      </c>
      <c r="AE84" s="745">
        <v>240225</v>
      </c>
    </row>
    <row r="85" spans="1:31">
      <c r="A85" t="str">
        <f t="shared" si="3"/>
        <v>Solomon IslandsUNPD</v>
      </c>
      <c r="B85" s="528" t="s">
        <v>950</v>
      </c>
      <c r="C85" s="528" t="s">
        <v>874</v>
      </c>
      <c r="D85">
        <v>15670</v>
      </c>
      <c r="E85">
        <v>15989</v>
      </c>
      <c r="F85">
        <v>16287</v>
      </c>
      <c r="G85">
        <v>16550</v>
      </c>
      <c r="H85">
        <v>16768</v>
      </c>
      <c r="I85">
        <v>16938</v>
      </c>
      <c r="J85">
        <v>17059</v>
      </c>
      <c r="K85">
        <v>17131</v>
      </c>
      <c r="L85">
        <v>17159</v>
      </c>
      <c r="M85">
        <v>17157</v>
      </c>
      <c r="N85">
        <v>17139</v>
      </c>
      <c r="O85">
        <v>17115</v>
      </c>
      <c r="P85" s="744">
        <v>17095</v>
      </c>
      <c r="Q85">
        <v>17087</v>
      </c>
      <c r="R85" s="745">
        <v>17093</v>
      </c>
      <c r="S85">
        <v>17116</v>
      </c>
      <c r="T85">
        <v>17158</v>
      </c>
      <c r="U85">
        <v>17222</v>
      </c>
      <c r="V85">
        <v>17308</v>
      </c>
      <c r="W85">
        <v>17410</v>
      </c>
      <c r="X85">
        <v>17524</v>
      </c>
      <c r="Y85">
        <v>17647</v>
      </c>
      <c r="Z85">
        <v>17778</v>
      </c>
      <c r="AA85">
        <v>17914</v>
      </c>
      <c r="AB85">
        <v>18054</v>
      </c>
      <c r="AC85">
        <v>18197</v>
      </c>
      <c r="AD85">
        <v>18338</v>
      </c>
      <c r="AE85" s="745">
        <v>18475</v>
      </c>
    </row>
    <row r="86" spans="1:31">
      <c r="A86" t="str">
        <f t="shared" si="3"/>
        <v>SomaliaUNPD</v>
      </c>
      <c r="B86" s="528" t="s">
        <v>937</v>
      </c>
      <c r="C86" s="528" t="s">
        <v>874</v>
      </c>
      <c r="D86">
        <v>380023</v>
      </c>
      <c r="E86">
        <v>388145</v>
      </c>
      <c r="F86">
        <v>396272</v>
      </c>
      <c r="G86">
        <v>404109</v>
      </c>
      <c r="H86">
        <v>411496</v>
      </c>
      <c r="I86">
        <v>418392</v>
      </c>
      <c r="J86">
        <v>424880</v>
      </c>
      <c r="K86">
        <v>431206</v>
      </c>
      <c r="L86">
        <v>437718</v>
      </c>
      <c r="M86">
        <v>444768</v>
      </c>
      <c r="N86">
        <v>452604</v>
      </c>
      <c r="O86">
        <v>461310</v>
      </c>
      <c r="P86" s="744">
        <v>470875</v>
      </c>
      <c r="Q86">
        <v>481167</v>
      </c>
      <c r="R86" s="745">
        <v>491898</v>
      </c>
      <c r="S86">
        <v>502805</v>
      </c>
      <c r="T86">
        <v>513751</v>
      </c>
      <c r="U86">
        <v>524646</v>
      </c>
      <c r="V86">
        <v>535459</v>
      </c>
      <c r="W86">
        <v>546223</v>
      </c>
      <c r="X86">
        <v>556942</v>
      </c>
      <c r="Y86">
        <v>567565</v>
      </c>
      <c r="Z86">
        <v>578027</v>
      </c>
      <c r="AA86">
        <v>588275</v>
      </c>
      <c r="AB86">
        <v>598293</v>
      </c>
      <c r="AC86">
        <v>608083</v>
      </c>
      <c r="AD86">
        <v>617648</v>
      </c>
      <c r="AE86" s="745">
        <v>627005</v>
      </c>
    </row>
    <row r="87" spans="1:31">
      <c r="A87" t="str">
        <f t="shared" si="3"/>
        <v>South AfricaUNPD</v>
      </c>
      <c r="B87" s="528" t="s">
        <v>0</v>
      </c>
      <c r="C87" s="528" t="s">
        <v>874</v>
      </c>
      <c r="D87" s="221">
        <v>1112165</v>
      </c>
      <c r="E87" s="221">
        <v>1113421</v>
      </c>
      <c r="F87" s="221">
        <v>1112998</v>
      </c>
      <c r="G87" s="221">
        <v>1111680</v>
      </c>
      <c r="H87" s="221">
        <v>1110433</v>
      </c>
      <c r="I87" s="221">
        <v>1109924</v>
      </c>
      <c r="J87" s="221">
        <v>1110293</v>
      </c>
      <c r="K87" s="221">
        <v>1111426</v>
      </c>
      <c r="L87" s="221">
        <v>1112938</v>
      </c>
      <c r="M87" s="221">
        <v>1114128</v>
      </c>
      <c r="N87" s="221">
        <v>1114387</v>
      </c>
      <c r="O87" s="221">
        <v>1113414</v>
      </c>
      <c r="P87" s="221">
        <v>1110883</v>
      </c>
      <c r="Q87" s="221">
        <v>1106584</v>
      </c>
      <c r="R87" s="313">
        <v>1100699</v>
      </c>
      <c r="S87" s="313">
        <v>1093512</v>
      </c>
      <c r="T87" s="313">
        <v>1085263</v>
      </c>
      <c r="U87" s="313">
        <v>1076273</v>
      </c>
      <c r="V87" s="313">
        <v>1066902</v>
      </c>
      <c r="W87" s="313">
        <v>1057530</v>
      </c>
      <c r="X87" s="313">
        <v>1048515</v>
      </c>
      <c r="Y87" s="313">
        <v>1040132</v>
      </c>
      <c r="Z87" s="313">
        <v>1032594</v>
      </c>
      <c r="AA87" s="313">
        <v>1025988</v>
      </c>
      <c r="AB87" s="313">
        <v>1020159</v>
      </c>
      <c r="AC87" s="313">
        <v>1014950</v>
      </c>
      <c r="AD87" s="313">
        <v>1010306</v>
      </c>
      <c r="AE87" s="313">
        <v>1006168</v>
      </c>
    </row>
    <row r="88" spans="1:31">
      <c r="A88" t="str">
        <f t="shared" si="3"/>
        <v>South SudanUNPD</v>
      </c>
      <c r="B88" s="528" t="s">
        <v>938</v>
      </c>
      <c r="C88" s="528" t="s">
        <v>874</v>
      </c>
      <c r="D88">
        <v>310986</v>
      </c>
      <c r="E88">
        <v>320576</v>
      </c>
      <c r="F88">
        <v>330651</v>
      </c>
      <c r="G88">
        <v>341227</v>
      </c>
      <c r="H88">
        <v>352298</v>
      </c>
      <c r="I88">
        <v>363800</v>
      </c>
      <c r="J88">
        <v>375595</v>
      </c>
      <c r="K88">
        <v>387568</v>
      </c>
      <c r="L88">
        <v>399623</v>
      </c>
      <c r="M88">
        <v>411637</v>
      </c>
      <c r="N88">
        <v>423451</v>
      </c>
      <c r="O88">
        <v>434893</v>
      </c>
      <c r="P88" s="744">
        <v>445773</v>
      </c>
      <c r="Q88">
        <v>455937</v>
      </c>
      <c r="R88" s="745">
        <v>465352</v>
      </c>
      <c r="S88">
        <v>474013</v>
      </c>
      <c r="T88">
        <v>481913</v>
      </c>
      <c r="U88">
        <v>489085</v>
      </c>
      <c r="V88">
        <v>495608</v>
      </c>
      <c r="W88">
        <v>501627</v>
      </c>
      <c r="X88">
        <v>507276</v>
      </c>
      <c r="Y88">
        <v>512637</v>
      </c>
      <c r="Z88">
        <v>517758</v>
      </c>
      <c r="AA88">
        <v>522647</v>
      </c>
      <c r="AB88">
        <v>527288</v>
      </c>
      <c r="AC88">
        <v>531684</v>
      </c>
      <c r="AD88">
        <v>535881</v>
      </c>
      <c r="AE88" s="745">
        <v>539925</v>
      </c>
    </row>
    <row r="89" spans="1:31">
      <c r="A89" t="str">
        <f t="shared" si="3"/>
        <v>Sri LankaUNPD</v>
      </c>
      <c r="B89" s="528" t="s">
        <v>374</v>
      </c>
      <c r="C89" s="528" t="s">
        <v>874</v>
      </c>
      <c r="D89">
        <v>358447</v>
      </c>
      <c r="E89">
        <v>361735</v>
      </c>
      <c r="F89">
        <v>364125</v>
      </c>
      <c r="G89">
        <v>365103</v>
      </c>
      <c r="H89">
        <v>364479</v>
      </c>
      <c r="I89">
        <v>362220</v>
      </c>
      <c r="J89">
        <v>358391</v>
      </c>
      <c r="K89">
        <v>353245</v>
      </c>
      <c r="L89">
        <v>347196</v>
      </c>
      <c r="M89">
        <v>340799</v>
      </c>
      <c r="N89">
        <v>334529</v>
      </c>
      <c r="O89">
        <v>328646</v>
      </c>
      <c r="P89" s="744">
        <v>323265</v>
      </c>
      <c r="Q89">
        <v>318334</v>
      </c>
      <c r="R89" s="745">
        <v>313630</v>
      </c>
      <c r="S89">
        <v>309002</v>
      </c>
      <c r="T89">
        <v>304471</v>
      </c>
      <c r="U89">
        <v>300088</v>
      </c>
      <c r="V89">
        <v>295924</v>
      </c>
      <c r="W89">
        <v>292058</v>
      </c>
      <c r="X89">
        <v>288553</v>
      </c>
      <c r="Y89">
        <v>285443</v>
      </c>
      <c r="Z89">
        <v>282769</v>
      </c>
      <c r="AA89">
        <v>280557</v>
      </c>
      <c r="AB89">
        <v>278758</v>
      </c>
      <c r="AC89">
        <v>277296</v>
      </c>
      <c r="AD89">
        <v>276100</v>
      </c>
      <c r="AE89" s="745">
        <v>275103</v>
      </c>
    </row>
    <row r="90" spans="1:31">
      <c r="A90" t="str">
        <f t="shared" si="3"/>
        <v>SurinameUNPD</v>
      </c>
      <c r="B90" s="528" t="s">
        <v>365</v>
      </c>
      <c r="C90" s="528" t="s">
        <v>874</v>
      </c>
      <c r="D90" s="313">
        <v>10321</v>
      </c>
      <c r="E90" s="313">
        <v>10253</v>
      </c>
      <c r="F90" s="313">
        <v>10192</v>
      </c>
      <c r="G90" s="313">
        <v>10139</v>
      </c>
      <c r="H90" s="313">
        <v>10092</v>
      </c>
      <c r="I90" s="313">
        <v>10048</v>
      </c>
      <c r="J90" s="313">
        <v>10006</v>
      </c>
      <c r="K90" s="313">
        <v>9964</v>
      </c>
      <c r="L90" s="313">
        <v>9922</v>
      </c>
      <c r="M90" s="313">
        <v>9879</v>
      </c>
      <c r="N90" s="313">
        <v>9834</v>
      </c>
      <c r="O90" s="313">
        <v>9788</v>
      </c>
      <c r="P90" s="313">
        <v>9739</v>
      </c>
      <c r="Q90" s="313">
        <v>9690</v>
      </c>
      <c r="R90" s="313">
        <v>9640</v>
      </c>
      <c r="S90" s="313">
        <v>9590</v>
      </c>
      <c r="T90" s="313">
        <v>9541</v>
      </c>
      <c r="U90" s="313">
        <v>9491</v>
      </c>
      <c r="V90" s="313">
        <v>9441</v>
      </c>
      <c r="W90" s="313">
        <v>9389</v>
      </c>
      <c r="X90" s="313">
        <v>9336</v>
      </c>
      <c r="Y90" s="313">
        <v>9281</v>
      </c>
      <c r="Z90" s="313">
        <v>9224</v>
      </c>
      <c r="AA90" s="313">
        <v>9165</v>
      </c>
      <c r="AB90" s="313">
        <v>9105</v>
      </c>
      <c r="AC90" s="313">
        <v>9044</v>
      </c>
      <c r="AD90" s="313">
        <v>8982</v>
      </c>
      <c r="AE90" s="313">
        <v>8919</v>
      </c>
    </row>
    <row r="91" spans="1:31">
      <c r="A91" t="str">
        <f t="shared" si="3"/>
        <v>TanzaniaUNPD</v>
      </c>
      <c r="B91" s="528" t="s">
        <v>143</v>
      </c>
      <c r="C91" s="528" t="s">
        <v>874</v>
      </c>
      <c r="D91" s="221">
        <v>1562063</v>
      </c>
      <c r="E91" s="221">
        <v>1610062</v>
      </c>
      <c r="F91" s="221">
        <v>1658608</v>
      </c>
      <c r="G91" s="221">
        <v>1706422</v>
      </c>
      <c r="H91" s="221">
        <v>1752555</v>
      </c>
      <c r="I91" s="221">
        <v>1796390</v>
      </c>
      <c r="J91" s="221">
        <v>1837701</v>
      </c>
      <c r="K91" s="221">
        <v>1876688</v>
      </c>
      <c r="L91" s="221">
        <v>1913982</v>
      </c>
      <c r="M91" s="221">
        <v>1950692</v>
      </c>
      <c r="N91" s="221">
        <v>1987752</v>
      </c>
      <c r="O91" s="221">
        <v>2025593</v>
      </c>
      <c r="P91" s="221">
        <v>2064371</v>
      </c>
      <c r="Q91" s="221">
        <v>2103963</v>
      </c>
      <c r="R91" s="313">
        <v>2144042</v>
      </c>
      <c r="S91" s="313">
        <v>2184450</v>
      </c>
      <c r="T91" s="313">
        <v>2225339</v>
      </c>
      <c r="U91" s="313">
        <v>2266979</v>
      </c>
      <c r="V91" s="313">
        <v>2309688</v>
      </c>
      <c r="W91" s="313">
        <v>2353720</v>
      </c>
      <c r="X91" s="313">
        <v>2399241</v>
      </c>
      <c r="Y91" s="313">
        <v>2446305</v>
      </c>
      <c r="Z91" s="313">
        <v>2494960</v>
      </c>
      <c r="AA91" s="313">
        <v>2545171</v>
      </c>
      <c r="AB91" s="313">
        <v>2596654</v>
      </c>
      <c r="AC91" s="313">
        <v>2649065</v>
      </c>
      <c r="AD91" s="313">
        <v>2702114</v>
      </c>
      <c r="AE91" s="313">
        <v>2755559</v>
      </c>
    </row>
    <row r="92" spans="1:31">
      <c r="A92" t="str">
        <f t="shared" si="3"/>
        <v>ThailandUNPD</v>
      </c>
      <c r="B92" s="528" t="s">
        <v>185</v>
      </c>
      <c r="C92" s="528" t="s">
        <v>874</v>
      </c>
      <c r="D92" s="221">
        <v>859659</v>
      </c>
      <c r="E92" s="221">
        <v>847214</v>
      </c>
      <c r="F92" s="221">
        <v>835924</v>
      </c>
      <c r="G92" s="221">
        <v>825536</v>
      </c>
      <c r="H92" s="221">
        <v>815614</v>
      </c>
      <c r="I92" s="221">
        <v>805712</v>
      </c>
      <c r="J92" s="221">
        <v>795483</v>
      </c>
      <c r="K92" s="221">
        <v>784505</v>
      </c>
      <c r="L92" s="221">
        <v>772426</v>
      </c>
      <c r="M92" s="221">
        <v>759253</v>
      </c>
      <c r="N92" s="221">
        <v>745114</v>
      </c>
      <c r="O92" s="221">
        <v>730159</v>
      </c>
      <c r="P92" s="221">
        <v>714641</v>
      </c>
      <c r="Q92" s="221">
        <v>698898</v>
      </c>
      <c r="R92" s="313">
        <v>683386</v>
      </c>
      <c r="S92" s="313">
        <v>668541</v>
      </c>
      <c r="T92" s="313">
        <v>654675</v>
      </c>
      <c r="U92" s="313">
        <v>642079</v>
      </c>
      <c r="V92" s="313">
        <v>630920</v>
      </c>
      <c r="W92" s="313">
        <v>621088</v>
      </c>
      <c r="X92" s="313">
        <v>612439</v>
      </c>
      <c r="Y92" s="313">
        <v>604895</v>
      </c>
      <c r="Z92" s="313">
        <v>598354</v>
      </c>
      <c r="AA92" s="313">
        <v>592677</v>
      </c>
      <c r="AB92" s="313">
        <v>587647</v>
      </c>
      <c r="AC92" s="313">
        <v>583035</v>
      </c>
      <c r="AD92" s="313">
        <v>578655</v>
      </c>
      <c r="AE92" s="313">
        <v>574349</v>
      </c>
    </row>
    <row r="93" spans="1:31">
      <c r="A93" t="str">
        <f t="shared" si="3"/>
        <v>TogoUNPD</v>
      </c>
      <c r="B93" s="528" t="s">
        <v>142</v>
      </c>
      <c r="C93" s="528" t="s">
        <v>874</v>
      </c>
      <c r="D93" s="221">
        <v>210002</v>
      </c>
      <c r="E93" s="221">
        <v>215155</v>
      </c>
      <c r="F93" s="221">
        <v>220086</v>
      </c>
      <c r="G93" s="221">
        <v>224729</v>
      </c>
      <c r="H93" s="221">
        <v>229089</v>
      </c>
      <c r="I93" s="221">
        <v>233180</v>
      </c>
      <c r="J93" s="221">
        <v>237005</v>
      </c>
      <c r="K93" s="221">
        <v>240580</v>
      </c>
      <c r="L93" s="221">
        <v>243944</v>
      </c>
      <c r="M93" s="221">
        <v>247164</v>
      </c>
      <c r="N93" s="221">
        <v>250302</v>
      </c>
      <c r="O93" s="221">
        <v>253398</v>
      </c>
      <c r="P93" s="221">
        <v>256472</v>
      </c>
      <c r="Q93" s="221">
        <v>259525</v>
      </c>
      <c r="R93" s="313">
        <v>262548</v>
      </c>
      <c r="S93" s="313">
        <v>265547</v>
      </c>
      <c r="T93" s="313">
        <v>268550</v>
      </c>
      <c r="U93" s="313">
        <v>271590</v>
      </c>
      <c r="V93" s="313">
        <v>274704</v>
      </c>
      <c r="W93" s="313">
        <v>277911</v>
      </c>
      <c r="X93" s="313">
        <v>281226</v>
      </c>
      <c r="Y93" s="313">
        <v>284656</v>
      </c>
      <c r="Z93" s="313">
        <v>288206</v>
      </c>
      <c r="AA93" s="313">
        <v>291870</v>
      </c>
      <c r="AB93" s="313">
        <v>295621</v>
      </c>
      <c r="AC93" s="313">
        <v>299424</v>
      </c>
      <c r="AD93" s="313">
        <v>303255</v>
      </c>
      <c r="AE93" s="313">
        <v>307094</v>
      </c>
    </row>
    <row r="94" spans="1:31">
      <c r="A94" t="str">
        <f t="shared" si="3"/>
        <v>Trinidad &amp; TobagoUNPD</v>
      </c>
      <c r="B94" s="528" t="s">
        <v>366</v>
      </c>
      <c r="C94" s="528" t="s">
        <v>874</v>
      </c>
      <c r="D94" s="313">
        <v>19188</v>
      </c>
      <c r="E94" s="313">
        <v>19428</v>
      </c>
      <c r="F94" s="313">
        <v>19660</v>
      </c>
      <c r="G94" s="313">
        <v>19866</v>
      </c>
      <c r="H94" s="313">
        <v>20034</v>
      </c>
      <c r="I94" s="313">
        <v>20156</v>
      </c>
      <c r="J94" s="313">
        <v>20214</v>
      </c>
      <c r="K94" s="313">
        <v>20195</v>
      </c>
      <c r="L94" s="313">
        <v>20089</v>
      </c>
      <c r="M94" s="313">
        <v>19905</v>
      </c>
      <c r="N94" s="313">
        <v>19653</v>
      </c>
      <c r="O94" s="313">
        <v>19343</v>
      </c>
      <c r="P94" s="313">
        <v>18984</v>
      </c>
      <c r="Q94" s="313">
        <v>18584</v>
      </c>
      <c r="R94" s="313">
        <v>18158</v>
      </c>
      <c r="S94" s="313">
        <v>17724</v>
      </c>
      <c r="T94" s="313">
        <v>17295</v>
      </c>
      <c r="U94" s="313">
        <v>16887</v>
      </c>
      <c r="V94" s="313">
        <v>16506</v>
      </c>
      <c r="W94" s="313">
        <v>16155</v>
      </c>
      <c r="X94" s="313">
        <v>15836</v>
      </c>
      <c r="Y94" s="313">
        <v>15554</v>
      </c>
      <c r="Z94" s="313">
        <v>15316</v>
      </c>
      <c r="AA94" s="313">
        <v>15122</v>
      </c>
      <c r="AB94" s="313">
        <v>14969</v>
      </c>
      <c r="AC94" s="313">
        <v>14852</v>
      </c>
      <c r="AD94" s="313">
        <v>14766</v>
      </c>
      <c r="AE94" s="313">
        <v>14710</v>
      </c>
    </row>
    <row r="95" spans="1:31">
      <c r="A95" t="str">
        <f t="shared" si="3"/>
        <v>UgandaUNPD</v>
      </c>
      <c r="B95" s="528" t="s">
        <v>144</v>
      </c>
      <c r="C95" s="528" t="s">
        <v>874</v>
      </c>
      <c r="D95" s="221">
        <v>1255570</v>
      </c>
      <c r="E95" s="221">
        <v>1289999</v>
      </c>
      <c r="F95" s="221">
        <v>1324476</v>
      </c>
      <c r="G95" s="221">
        <v>1358744</v>
      </c>
      <c r="H95" s="221">
        <v>1392711</v>
      </c>
      <c r="I95" s="221">
        <v>1426367</v>
      </c>
      <c r="J95" s="221">
        <v>1459741</v>
      </c>
      <c r="K95" s="221">
        <v>1492990</v>
      </c>
      <c r="L95" s="221">
        <v>1526363</v>
      </c>
      <c r="M95" s="221">
        <v>1560133</v>
      </c>
      <c r="N95" s="221">
        <v>1594500</v>
      </c>
      <c r="O95" s="221">
        <v>1629532</v>
      </c>
      <c r="P95" s="221">
        <v>1665238</v>
      </c>
      <c r="Q95" s="221">
        <v>1701549</v>
      </c>
      <c r="R95" s="313">
        <v>1738263</v>
      </c>
      <c r="S95" s="313">
        <v>1775183</v>
      </c>
      <c r="T95" s="313">
        <v>1812193</v>
      </c>
      <c r="U95" s="313">
        <v>1849227</v>
      </c>
      <c r="V95" s="313">
        <v>1886264</v>
      </c>
      <c r="W95" s="313">
        <v>1923288</v>
      </c>
      <c r="X95" s="313">
        <v>1960240</v>
      </c>
      <c r="Y95" s="313">
        <v>1997010</v>
      </c>
      <c r="Z95" s="313">
        <v>2033494</v>
      </c>
      <c r="AA95" s="313">
        <v>2069604</v>
      </c>
      <c r="AB95" s="313">
        <v>2105274</v>
      </c>
      <c r="AC95" s="313">
        <v>2140430</v>
      </c>
      <c r="AD95" s="313">
        <v>2174991</v>
      </c>
      <c r="AE95" s="313">
        <v>2208905</v>
      </c>
    </row>
    <row r="96" spans="1:31">
      <c r="A96" t="str">
        <f t="shared" si="3"/>
        <v>UkraineUNPD</v>
      </c>
      <c r="B96" s="528" t="s">
        <v>186</v>
      </c>
      <c r="C96" s="528" t="s">
        <v>874</v>
      </c>
      <c r="D96" s="221">
        <v>410277</v>
      </c>
      <c r="E96" s="221">
        <v>421857</v>
      </c>
      <c r="F96" s="221">
        <v>435883</v>
      </c>
      <c r="G96" s="221">
        <v>450610</v>
      </c>
      <c r="H96" s="221">
        <v>464419</v>
      </c>
      <c r="I96" s="221">
        <v>475968</v>
      </c>
      <c r="J96" s="221">
        <v>484402</v>
      </c>
      <c r="K96" s="221">
        <v>489391</v>
      </c>
      <c r="L96" s="221">
        <v>491247</v>
      </c>
      <c r="M96" s="221">
        <v>491069</v>
      </c>
      <c r="N96" s="221">
        <v>489744</v>
      </c>
      <c r="O96" s="221">
        <v>487502</v>
      </c>
      <c r="P96" s="221">
        <v>484392</v>
      </c>
      <c r="Q96" s="221">
        <v>480301</v>
      </c>
      <c r="R96" s="313">
        <v>475052</v>
      </c>
      <c r="S96" s="313">
        <v>468597</v>
      </c>
      <c r="T96" s="313">
        <v>461084</v>
      </c>
      <c r="U96" s="313">
        <v>452630</v>
      </c>
      <c r="V96" s="313">
        <v>443356</v>
      </c>
      <c r="W96" s="313">
        <v>433504</v>
      </c>
      <c r="X96" s="313">
        <v>423382</v>
      </c>
      <c r="Y96" s="313">
        <v>413305</v>
      </c>
      <c r="Z96" s="313">
        <v>403548</v>
      </c>
      <c r="AA96" s="313">
        <v>394306</v>
      </c>
      <c r="AB96" s="313">
        <v>385702</v>
      </c>
      <c r="AC96" s="313">
        <v>377894</v>
      </c>
      <c r="AD96" s="313">
        <v>371095</v>
      </c>
      <c r="AE96" s="313">
        <v>365542</v>
      </c>
    </row>
    <row r="97" spans="1:31">
      <c r="A97" t="str">
        <f t="shared" si="3"/>
        <v>UruguayUNPD</v>
      </c>
      <c r="B97" s="528" t="s">
        <v>187</v>
      </c>
      <c r="C97" s="528" t="s">
        <v>874</v>
      </c>
      <c r="D97" s="221">
        <v>52689</v>
      </c>
      <c r="E97" s="221">
        <v>52202</v>
      </c>
      <c r="F97" s="221">
        <v>51731</v>
      </c>
      <c r="G97" s="221">
        <v>51282</v>
      </c>
      <c r="H97" s="221">
        <v>50861</v>
      </c>
      <c r="I97" s="221">
        <v>50470</v>
      </c>
      <c r="J97" s="221">
        <v>50111</v>
      </c>
      <c r="K97" s="221">
        <v>49786</v>
      </c>
      <c r="L97" s="221">
        <v>49495</v>
      </c>
      <c r="M97" s="221">
        <v>49232</v>
      </c>
      <c r="N97" s="221">
        <v>48993</v>
      </c>
      <c r="O97" s="221">
        <v>48771</v>
      </c>
      <c r="P97" s="221">
        <v>48565</v>
      </c>
      <c r="Q97" s="221">
        <v>48371</v>
      </c>
      <c r="R97" s="313">
        <v>48187</v>
      </c>
      <c r="S97" s="313">
        <v>48007</v>
      </c>
      <c r="T97" s="313">
        <v>47826</v>
      </c>
      <c r="U97" s="313">
        <v>47640</v>
      </c>
      <c r="V97" s="313">
        <v>47444</v>
      </c>
      <c r="W97" s="313">
        <v>47236</v>
      </c>
      <c r="X97" s="313">
        <v>47016</v>
      </c>
      <c r="Y97" s="313">
        <v>46780</v>
      </c>
      <c r="Z97" s="313">
        <v>46527</v>
      </c>
      <c r="AA97" s="313">
        <v>46256</v>
      </c>
      <c r="AB97" s="313">
        <v>45968</v>
      </c>
      <c r="AC97" s="313">
        <v>45668</v>
      </c>
      <c r="AD97" s="313">
        <v>45358</v>
      </c>
      <c r="AE97" s="313">
        <v>45040</v>
      </c>
    </row>
    <row r="98" spans="1:31">
      <c r="A98" t="str">
        <f t="shared" si="3"/>
        <v>VenezuelaUNPD</v>
      </c>
      <c r="B98" s="528" t="s">
        <v>188</v>
      </c>
      <c r="C98" s="528" t="s">
        <v>874</v>
      </c>
      <c r="D98" s="221">
        <v>587952</v>
      </c>
      <c r="E98" s="221">
        <v>590172</v>
      </c>
      <c r="F98" s="221">
        <v>592242</v>
      </c>
      <c r="G98" s="221">
        <v>594141</v>
      </c>
      <c r="H98" s="221">
        <v>595878</v>
      </c>
      <c r="I98" s="221">
        <v>597438</v>
      </c>
      <c r="J98" s="221">
        <v>598768</v>
      </c>
      <c r="K98" s="221">
        <v>599805</v>
      </c>
      <c r="L98" s="221">
        <v>600493</v>
      </c>
      <c r="M98" s="221">
        <v>600811</v>
      </c>
      <c r="N98" s="221">
        <v>600744</v>
      </c>
      <c r="O98" s="221">
        <v>600284</v>
      </c>
      <c r="P98" s="221">
        <v>599425</v>
      </c>
      <c r="Q98" s="221">
        <v>598173</v>
      </c>
      <c r="R98" s="313">
        <v>596577</v>
      </c>
      <c r="S98" s="313">
        <v>594696</v>
      </c>
      <c r="T98" s="313">
        <v>592580</v>
      </c>
      <c r="U98" s="313">
        <v>590276</v>
      </c>
      <c r="V98" s="313">
        <v>587820</v>
      </c>
      <c r="W98" s="313">
        <v>585244</v>
      </c>
      <c r="X98" s="313">
        <v>582584</v>
      </c>
      <c r="Y98" s="313">
        <v>579881</v>
      </c>
      <c r="Z98" s="313">
        <v>577169</v>
      </c>
      <c r="AA98" s="313">
        <v>574465</v>
      </c>
      <c r="AB98" s="313">
        <v>571763</v>
      </c>
      <c r="AC98" s="313">
        <v>569063</v>
      </c>
      <c r="AD98" s="313">
        <v>566375</v>
      </c>
      <c r="AE98" s="313">
        <v>563709</v>
      </c>
    </row>
    <row r="99" spans="1:31">
      <c r="A99" t="str">
        <f t="shared" si="3"/>
        <v>ZambiaUNPD</v>
      </c>
      <c r="B99" s="528" t="s">
        <v>124</v>
      </c>
      <c r="C99" s="528" t="s">
        <v>874</v>
      </c>
      <c r="D99" s="221">
        <v>503668</v>
      </c>
      <c r="E99" s="221">
        <v>516207</v>
      </c>
      <c r="F99" s="221">
        <v>528646</v>
      </c>
      <c r="G99" s="221">
        <v>540717</v>
      </c>
      <c r="H99" s="221">
        <v>552311</v>
      </c>
      <c r="I99" s="221">
        <v>563429</v>
      </c>
      <c r="J99" s="221">
        <v>574155</v>
      </c>
      <c r="K99" s="221">
        <v>584722</v>
      </c>
      <c r="L99" s="221">
        <v>595458</v>
      </c>
      <c r="M99" s="221">
        <v>606690</v>
      </c>
      <c r="N99" s="221">
        <v>618651</v>
      </c>
      <c r="O99" s="221">
        <v>631426</v>
      </c>
      <c r="P99" s="221">
        <v>644972</v>
      </c>
      <c r="Q99" s="221">
        <v>659126</v>
      </c>
      <c r="R99" s="313">
        <v>673622</v>
      </c>
      <c r="S99" s="313">
        <v>688257</v>
      </c>
      <c r="T99" s="313">
        <v>702971</v>
      </c>
      <c r="U99" s="313">
        <v>717771</v>
      </c>
      <c r="V99" s="313">
        <v>732729</v>
      </c>
      <c r="W99" s="313">
        <v>747970</v>
      </c>
      <c r="X99" s="313">
        <v>763579</v>
      </c>
      <c r="Y99" s="313">
        <v>779569</v>
      </c>
      <c r="Z99" s="313">
        <v>795935</v>
      </c>
      <c r="AA99" s="313">
        <v>812654</v>
      </c>
      <c r="AB99" s="313">
        <v>829655</v>
      </c>
      <c r="AC99" s="313">
        <v>846869</v>
      </c>
      <c r="AD99" s="313">
        <v>864247</v>
      </c>
      <c r="AE99" s="313">
        <v>881745</v>
      </c>
    </row>
    <row r="100" spans="1:31">
      <c r="A100" t="str">
        <f t="shared" si="3"/>
        <v>ZimbabweUNPD</v>
      </c>
      <c r="B100" s="528" t="s">
        <v>125</v>
      </c>
      <c r="C100" s="528" t="s">
        <v>874</v>
      </c>
      <c r="D100" s="221">
        <v>431086</v>
      </c>
      <c r="E100" s="221">
        <v>440442</v>
      </c>
      <c r="F100" s="221">
        <v>450851</v>
      </c>
      <c r="G100" s="221">
        <v>462289</v>
      </c>
      <c r="H100" s="221">
        <v>474454</v>
      </c>
      <c r="I100" s="221">
        <v>486890</v>
      </c>
      <c r="J100" s="221">
        <v>499097</v>
      </c>
      <c r="K100" s="221">
        <v>510390</v>
      </c>
      <c r="L100" s="221">
        <v>520093</v>
      </c>
      <c r="M100" s="221">
        <v>527864</v>
      </c>
      <c r="N100" s="221">
        <v>533537</v>
      </c>
      <c r="O100" s="221">
        <v>537075</v>
      </c>
      <c r="P100" s="221">
        <v>538616</v>
      </c>
      <c r="Q100" s="221">
        <v>538497</v>
      </c>
      <c r="R100" s="313">
        <v>537364</v>
      </c>
      <c r="S100" s="313">
        <v>535834</v>
      </c>
      <c r="T100" s="313">
        <v>534302</v>
      </c>
      <c r="U100" s="313">
        <v>533081</v>
      </c>
      <c r="V100" s="313">
        <v>532330</v>
      </c>
      <c r="W100" s="313">
        <v>532000</v>
      </c>
      <c r="X100" s="313">
        <v>532074</v>
      </c>
      <c r="Y100" s="313">
        <v>532651</v>
      </c>
      <c r="Z100" s="313">
        <v>533828</v>
      </c>
      <c r="AA100" s="313">
        <v>535652</v>
      </c>
      <c r="AB100" s="313">
        <v>538049</v>
      </c>
      <c r="AC100" s="313">
        <v>540919</v>
      </c>
      <c r="AD100" s="313">
        <v>544188</v>
      </c>
      <c r="AE100" s="313">
        <v>547791</v>
      </c>
    </row>
  </sheetData>
  <customSheetViews>
    <customSheetView guid="{8967CA62-3554-8A40-ACFF-3515F2B518C8}" scale="84" topLeftCell="A52">
      <selection activeCell="D33" sqref="D33"/>
      <pageMargins left="0.7" right="0.7" top="0.75" bottom="0.75" header="0.3" footer="0.3"/>
    </customSheetView>
    <customSheetView guid="{EB877D66-0749-4C48-89AA-FFA94A34014C}" scale="84" state="hidden" topLeftCell="A52">
      <selection activeCell="N48" sqref="N48"/>
      <pageMargins left="0.7" right="0.7" top="0.75" bottom="0.75" header="0.3" footer="0.3"/>
    </customSheetView>
  </customSheetView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X199"/>
  <sheetViews>
    <sheetView topLeftCell="A72" zoomScale="89" zoomScaleNormal="110" zoomScalePageLayoutView="110" workbookViewId="0">
      <selection activeCell="N48" sqref="N48"/>
    </sheetView>
  </sheetViews>
  <sheetFormatPr baseColWidth="10" defaultRowHeight="16"/>
  <cols>
    <col min="2" max="3" width="10.83203125" style="528"/>
    <col min="4" max="20" width="8.83203125" style="508" customWidth="1"/>
  </cols>
  <sheetData>
    <row r="1" spans="1:21" s="540" customFormat="1">
      <c r="A1" s="540" t="s">
        <v>875</v>
      </c>
      <c r="B1" s="540" t="s">
        <v>871</v>
      </c>
      <c r="C1" s="540" t="s">
        <v>872</v>
      </c>
      <c r="D1" s="541">
        <v>2003</v>
      </c>
      <c r="E1" s="541">
        <v>2004</v>
      </c>
      <c r="F1" s="541">
        <v>2005</v>
      </c>
      <c r="G1" s="541">
        <v>2006</v>
      </c>
      <c r="H1" s="541">
        <v>2007</v>
      </c>
      <c r="I1" s="541">
        <v>2008</v>
      </c>
      <c r="J1" s="541">
        <v>2009</v>
      </c>
      <c r="K1" s="541">
        <v>2010</v>
      </c>
      <c r="L1" s="541">
        <v>2011</v>
      </c>
      <c r="M1" s="541">
        <v>2012</v>
      </c>
      <c r="N1" s="541">
        <v>2013</v>
      </c>
      <c r="O1" s="541">
        <v>2014</v>
      </c>
      <c r="P1" s="541">
        <v>2015</v>
      </c>
      <c r="Q1" s="541">
        <v>2016</v>
      </c>
      <c r="R1" s="541">
        <v>2017</v>
      </c>
      <c r="S1" s="541">
        <v>2018</v>
      </c>
      <c r="T1" s="541">
        <v>2019</v>
      </c>
      <c r="U1" s="540">
        <v>2020</v>
      </c>
    </row>
    <row r="2" spans="1:21" s="540" customFormat="1">
      <c r="A2" t="str">
        <f>B2&amp;C2</f>
        <v>AfghanistanGAM</v>
      </c>
      <c r="B2" s="540" t="s">
        <v>928</v>
      </c>
      <c r="C2" s="528" t="s">
        <v>873</v>
      </c>
      <c r="D2" s="541"/>
      <c r="E2" s="541"/>
      <c r="F2" s="541"/>
      <c r="G2" s="541"/>
      <c r="H2" s="541"/>
      <c r="I2" s="541"/>
      <c r="J2" s="541"/>
      <c r="K2" s="541"/>
      <c r="L2" s="541"/>
      <c r="M2" s="541"/>
      <c r="N2" s="541"/>
      <c r="O2" s="541"/>
      <c r="P2" s="541"/>
      <c r="Q2" s="536">
        <f>4030/VLOOKUP($B2,'Live births'!$B$1:'Live births'!$AE$154,MATCH(Q$1,'Live births'!$B$1:'Live births'!$AE$1,0),0)</f>
        <v>3.7252382581044732E-3</v>
      </c>
      <c r="R2" s="536">
        <f>8281/VLOOKUP($B2,'Live births'!$B$1:'Live births'!$AE$154,MATCH(R$1,'Live births'!$B$1:'Live births'!$AE$1,0),0)</f>
        <v>7.6452232357177149E-3</v>
      </c>
      <c r="S2" s="536"/>
      <c r="T2" s="536">
        <v>1</v>
      </c>
    </row>
    <row r="3" spans="1:21" s="540" customFormat="1">
      <c r="A3" t="str">
        <f>B3&amp;C3</f>
        <v>AngolaGAM</v>
      </c>
      <c r="B3" s="540" t="s">
        <v>929</v>
      </c>
      <c r="C3" s="528" t="s">
        <v>873</v>
      </c>
      <c r="D3" s="541"/>
      <c r="E3" s="541"/>
      <c r="F3" s="541"/>
      <c r="G3" s="541"/>
      <c r="H3" s="541"/>
      <c r="I3" s="541"/>
      <c r="J3" s="541"/>
      <c r="K3" s="541"/>
      <c r="L3" s="541"/>
      <c r="M3" s="541"/>
      <c r="N3" s="541"/>
      <c r="O3" s="541"/>
      <c r="P3" s="541"/>
      <c r="Q3" s="541"/>
      <c r="R3" s="536"/>
      <c r="S3" s="536">
        <f>1116444/VLOOKUP($B3,'Live births'!$B$1:'Live births'!$AE$154,MATCH(S$1,'Live births'!$B$1:'Live births'!$AE$1,0),0)</f>
        <v>0.92878332848051248</v>
      </c>
      <c r="T3" s="536"/>
    </row>
    <row r="4" spans="1:21">
      <c r="A4" t="str">
        <f>B4&amp;C4</f>
        <v>Antigua &amp; BarbudaGAM</v>
      </c>
      <c r="B4" s="528" t="s">
        <v>343</v>
      </c>
      <c r="C4" s="528" t="s">
        <v>873</v>
      </c>
      <c r="J4" s="508">
        <f>1440/'Live births'!J4</f>
        <v>0.96839273705447204</v>
      </c>
      <c r="K4" s="508">
        <f>1440/'Live births'!K4</f>
        <v>0.97231600270087781</v>
      </c>
      <c r="L4" s="508">
        <f>1440/'Live births'!L4</f>
        <v>0.97428958051420844</v>
      </c>
      <c r="M4" s="508">
        <f>1440/'Live births'!M4</f>
        <v>0.97363083164300201</v>
      </c>
      <c r="N4" s="508">
        <f>1440/'Live births'!N4</f>
        <v>0.97231600270087781</v>
      </c>
      <c r="O4" s="508">
        <f>897/'Live births'!O4</f>
        <v>0.60444743935309975</v>
      </c>
      <c r="P4" s="508">
        <f>942/'Live births'!P4</f>
        <v>0.63306451612903225</v>
      </c>
      <c r="Q4" s="508">
        <f>1006/'Live births'!Q4</f>
        <v>0.67381111855324849</v>
      </c>
      <c r="R4" s="508">
        <f>1006/'Live births'!R4</f>
        <v>0.671562082777036</v>
      </c>
      <c r="S4" s="508">
        <f>970/VLOOKUP($B4,'Live births'!$B$1:'Live births'!$AE$154,MATCH(S$1,'Live births'!$B$1:'Live births'!$AE$1,0),0)</f>
        <v>0.64537591483699264</v>
      </c>
      <c r="T4" s="508">
        <f>1082/VLOOKUP($B4,'Live births'!$B$1:'Live births'!$AE$154,MATCH(T$1,'Live births'!$B$1:'Live births'!$AE$1,0),0)</f>
        <v>0.71798274717982746</v>
      </c>
    </row>
    <row r="5" spans="1:21">
      <c r="A5" t="str">
        <f>B5&amp;C5</f>
        <v>ArgentinaGAM</v>
      </c>
      <c r="B5" s="528" t="s">
        <v>344</v>
      </c>
      <c r="C5" s="528" t="s">
        <v>873</v>
      </c>
      <c r="N5" s="508">
        <f>255364/'Live births'!N5</f>
        <v>0.33881609935053303</v>
      </c>
      <c r="O5" s="508">
        <f>302425/'Live births'!O5</f>
        <v>0.40113991781555985</v>
      </c>
      <c r="P5" s="508">
        <f>335374/'Live births'!P5</f>
        <v>0.44513019806776749</v>
      </c>
      <c r="Q5" s="508">
        <f>326322/'Live births'!Q5</f>
        <v>0.43374214618105356</v>
      </c>
      <c r="R5" s="508">
        <f>310621/'Live births'!R5</f>
        <v>0.41368421753577539</v>
      </c>
      <c r="S5" s="508">
        <f>308066/'Live births'!S5</f>
        <v>0.41119546820858627</v>
      </c>
      <c r="T5" s="508">
        <f>302131/'Live births'!T5</f>
        <v>0.40421782978302112</v>
      </c>
    </row>
    <row r="6" spans="1:21">
      <c r="A6" t="str">
        <f>B6&amp;C6</f>
        <v>BahamasGAM</v>
      </c>
      <c r="B6" s="528" t="s">
        <v>345</v>
      </c>
      <c r="C6" s="528" t="s">
        <v>873</v>
      </c>
      <c r="N6" s="508">
        <f>4029/'Live births'!N6</f>
        <v>0.69645635263612793</v>
      </c>
    </row>
    <row r="7" spans="1:21">
      <c r="A7" t="str">
        <f>B7&amp;C7</f>
        <v>BangladeshGAM</v>
      </c>
      <c r="B7" s="528" t="s">
        <v>865</v>
      </c>
      <c r="C7" s="528" t="s">
        <v>873</v>
      </c>
      <c r="N7" s="508">
        <f>10912/'Live births'!N7</f>
        <v>3.4414158247098197E-3</v>
      </c>
      <c r="Q7" s="508">
        <f>13305/'Live births'!Q7</f>
        <v>4.2705099223155569E-3</v>
      </c>
      <c r="R7" s="508">
        <f>13885/'Live births'!R7</f>
        <v>4.4856145356524787E-3</v>
      </c>
      <c r="S7" s="508">
        <f>23069/VLOOKUP($B7,'Live births'!$B$1:'Live births'!$AE$154,MATCH(S$1,'Live births'!$B$1:'Live births'!$AE$1,0),0)</f>
        <v>7.5052941132453853E-3</v>
      </c>
    </row>
    <row r="8" spans="1:21">
      <c r="A8" t="str">
        <f>B8&amp;C8</f>
        <v>BarbadosGAM</v>
      </c>
      <c r="B8" s="528" t="s">
        <v>346</v>
      </c>
      <c r="C8" s="528" t="s">
        <v>873</v>
      </c>
      <c r="N8" s="749">
        <f>1698/'Live births'!N8</f>
        <v>0.49346120313862252</v>
      </c>
      <c r="O8" s="749">
        <f>1646/'Live births'!O8</f>
        <v>0.48030347242486138</v>
      </c>
      <c r="P8" s="749">
        <f>1297/'Live births'!P8</f>
        <v>0.38012895662368112</v>
      </c>
      <c r="Q8" s="749">
        <f>1060/'Live births'!Q8</f>
        <v>0.31194820482636842</v>
      </c>
      <c r="R8" s="749">
        <f>1127/'Live births'!R8</f>
        <v>0.33313626958321019</v>
      </c>
    </row>
    <row r="9" spans="1:21">
      <c r="A9" t="str">
        <f>B9&amp;C9</f>
        <v>BelarusGAM</v>
      </c>
      <c r="B9" s="528" t="s">
        <v>166</v>
      </c>
      <c r="C9" s="528" t="s">
        <v>873</v>
      </c>
      <c r="N9" s="508">
        <v>1</v>
      </c>
      <c r="O9" s="508">
        <v>1</v>
      </c>
      <c r="P9" s="508">
        <v>1</v>
      </c>
      <c r="Q9" s="508">
        <f>IF(126862/VLOOKUP($B9,'Live births'!$B$1:'Live births'!$AE$154,MATCH(Q$1,'Live births'!$B$1:'Live births'!$AE$1,0),0)&gt;1,1,126862/VLOOKUP($B9,'Live births'!$B$1:'Live births'!$AE$154,MATCH(Q$1,'Live births'!$B$1:'Live births'!$AE$1,0),0))</f>
        <v>1</v>
      </c>
      <c r="R9" s="508">
        <f>IF(116941/VLOOKUP($B9,'Live births'!$B$1:'Live births'!$AE$154,MATCH(R$1,'Live births'!$B$1:'Live births'!$AE$1,0),0)&gt;1,1,116941/VLOOKUP($B9,'Live births'!$B$1:'Live births'!$AE$154,MATCH(R$1,'Live births'!$B$1:'Live births'!$AE$1,0),0))</f>
        <v>1</v>
      </c>
      <c r="S9" s="508">
        <f>105192/VLOOKUP($B9,'Live births'!$B$1:'Live births'!$AE$154,MATCH(S$1,'Live births'!$B$1:'Live births'!$AE$1,0),0)</f>
        <v>0.96680269107753392</v>
      </c>
      <c r="T9" s="508">
        <f>88831/VLOOKUP($B9,'Live births'!$B$1:'Live births'!$AE$154,MATCH(T$1,'Live births'!$B$1:'Live births'!$AE$1,0),0)</f>
        <v>0.81642387757915535</v>
      </c>
    </row>
    <row r="10" spans="1:21">
      <c r="A10" t="str">
        <f>B10&amp;C10</f>
        <v>BelizeGAM</v>
      </c>
      <c r="B10" s="528" t="s">
        <v>368</v>
      </c>
      <c r="C10" s="528" t="s">
        <v>873</v>
      </c>
    </row>
    <row r="11" spans="1:21">
      <c r="A11" t="str">
        <f>B11&amp;C11</f>
        <v>BeninGAM</v>
      </c>
      <c r="B11" s="528" t="s">
        <v>126</v>
      </c>
      <c r="C11" s="528" t="s">
        <v>873</v>
      </c>
      <c r="I11" s="375"/>
      <c r="J11" s="375"/>
      <c r="K11" s="375"/>
      <c r="L11" s="375"/>
      <c r="M11" s="537"/>
      <c r="N11" s="508">
        <f>IF(14343/VLOOKUP($B11,'Live births'!$B$1:'Live births'!$AE$154,MATCH(N$1,'Live births'!$B$1:'Live births'!$AE$1,0),0)&gt;1,1,14343/VLOOKUP($B11,'Live births'!$B$1:'Live births'!$AE$154,MATCH(N$1,'Live births'!$B$1:'Live births'!$AE$1,0),0))</f>
        <v>3.807852517727766E-2</v>
      </c>
      <c r="O11" s="508">
        <f>IF(448001/VLOOKUP($B11,'Live births'!$B$1:'Live births'!$AE$154,MATCH(O$1,'Live births'!$B$1:'Live births'!$AE$1,0),0)&gt;1,1,448001/VLOOKUP($B11,'Live births'!$B$1:'Live births'!$AE$154,MATCH(O$1,'Live births'!$B$1:'Live births'!$AE$1,0),0))</f>
        <v>1</v>
      </c>
      <c r="P11" s="508">
        <f>IF(398626/VLOOKUP($B11,'Live births'!$B$1:'Live births'!$AE$154,MATCH(P$1,'Live births'!$B$1:'Live births'!$AE$1,0),0)&gt;1,1,398626/VLOOKUP($B11,'Live births'!$B$1:'Live births'!$AE$154,MATCH(P$1,'Live births'!$B$1:'Live births'!$AE$1,0),0))</f>
        <v>1</v>
      </c>
      <c r="Q11" s="508">
        <f>IF(434127/VLOOKUP($B11,'Live births'!$B$1:'Live births'!$AE$154,MATCH(Q$1,'Live births'!$B$1:'Live births'!$AE$1,0),0)&gt;1,1,434127/VLOOKUP($B11,'Live births'!$B$1:'Live births'!$AE$154,MATCH(Q$1,'Live births'!$B$1:'Live births'!$AE$1,0),0))</f>
        <v>1</v>
      </c>
      <c r="R11" s="508">
        <f>IF(456602/VLOOKUP($B11,'Live births'!$B$1:'Live births'!$AE$154,MATCH(R$1,'Live births'!$B$1:'Live births'!$AE$1,0),0)&gt;1,1,456602/VLOOKUP($B11,'Live births'!$B$1:'Live births'!$AE$154,MATCH(R$1,'Live births'!$B$1:'Live births'!$AE$1,0),0))</f>
        <v>1</v>
      </c>
    </row>
    <row r="12" spans="1:21">
      <c r="A12" t="str">
        <f>B12&amp;C12</f>
        <v>BhutanGAM</v>
      </c>
      <c r="B12" s="528" t="s">
        <v>951</v>
      </c>
      <c r="C12" s="528" t="s">
        <v>873</v>
      </c>
      <c r="T12" s="508">
        <f>9968/VLOOKUP($B12,'Live births'!$B$1:'Live births'!$AE$154,MATCH(T$1,'Live births'!$B$1:'Live births'!$AE$1,0),0)</f>
        <v>0.75060240963855418</v>
      </c>
    </row>
    <row r="13" spans="1:21">
      <c r="A13" t="str">
        <f>B13&amp;C13</f>
        <v>BoliviaGAM</v>
      </c>
      <c r="B13" s="528" t="s">
        <v>798</v>
      </c>
      <c r="C13" s="528" t="s">
        <v>873</v>
      </c>
      <c r="N13" s="508">
        <f>IF(381089/VLOOKUP($B13,'Live births'!$B$1:'Live births'!$AE$154,MATCH(N$1,'Live births'!$B$1:'Live births'!$AE$1,0),0)&gt;1,1,381089/VLOOKUP($B13,'Live births'!$B$1:'Live births'!$AE$154,MATCH(N$1,'Live births'!$B$1:'Live births'!$AE$1,0),0))</f>
        <v>1</v>
      </c>
      <c r="O13" s="508">
        <f>IF(386805/VLOOKUP($B13,'Live births'!$B$1:'Live births'!$AE$154,MATCH(O$1,'Live births'!$B$1:'Live births'!$AE$1,0),0)&gt;1,1,386805/VLOOKUP($B13,'Live births'!$B$1:'Live births'!$AE$154,MATCH(O$1,'Live births'!$B$1:'Live births'!$AE$1,0),0))</f>
        <v>1</v>
      </c>
      <c r="P13" s="508">
        <f>5825/VLOOKUP($B13,'Live births'!$B$1:'Live births'!$AE$154,MATCH(P$1,'Live births'!$B$1:'Live births'!$AE$1,0),0)</f>
        <v>2.3001441292029457E-2</v>
      </c>
      <c r="Q13" s="508">
        <f>5998/VLOOKUP($B13,'Live births'!$B$1:'Live births'!$AE$154,MATCH(Q$1,'Live births'!$B$1:'Live births'!$AE$1,0),0)</f>
        <v>2.3610640927735221E-2</v>
      </c>
      <c r="R13" s="508">
        <f>6002/VLOOKUP($B13,'Live births'!$B$1:'Live births'!$AE$154,MATCH(R$1,'Live births'!$B$1:'Live births'!$AE$1,0),0)</f>
        <v>2.3549445203007047E-2</v>
      </c>
    </row>
    <row r="14" spans="1:21">
      <c r="A14" t="str">
        <f>B14&amp;C14</f>
        <v>BotswanaGAM</v>
      </c>
      <c r="B14" s="528" t="s">
        <v>834</v>
      </c>
      <c r="C14" s="528" t="s">
        <v>873</v>
      </c>
      <c r="T14" s="508">
        <f>IF(55841/VLOOKUP($B14,'Live births'!$B$1:'Live births'!$AE$154,MATCH(T$1,'Live births'!$B$1:'Live births'!$AE$1,0),0)&gt;1,1,55841/VLOOKUP($B14,'Live births'!$B$1:'Live births'!$AE$154,MATCH(T$1,'Live births'!$B$1:'Live births'!$AE$1,0),0))</f>
        <v>1</v>
      </c>
    </row>
    <row r="15" spans="1:21">
      <c r="A15" t="str">
        <f>B15&amp;C15</f>
        <v>BrazilGAM</v>
      </c>
      <c r="B15" s="528" t="s">
        <v>167</v>
      </c>
      <c r="C15" s="528" t="s">
        <v>873</v>
      </c>
      <c r="I15" s="375"/>
      <c r="J15" s="375"/>
      <c r="K15" s="375"/>
      <c r="L15" s="375"/>
      <c r="M15" s="375"/>
      <c r="N15" s="508">
        <f>35024/VLOOKUP($B15,'Live births'!$B$1:'Live births'!$AE$154,MATCH(N$1,'Live births'!$B$1:'Live births'!$AE$1,0))</f>
        <v>1.1478487831144574E-2</v>
      </c>
      <c r="P15" s="430">
        <f>35559/VLOOKUP($B15,'Live births'!$B$1:'Live births'!$AE$154,MATCH(P$1,'Live births'!$B$1:'Live births'!$AE$1,0),0)</f>
        <v>1.179031873549586E-2</v>
      </c>
      <c r="Q15" s="430">
        <f>36162/VLOOKUP($B15,'Live births'!$B$1:'Live births'!$AE$154,MATCH(Q$1,'Live births'!$B$1:'Live births'!$AE$1,0),0)</f>
        <v>1.2079120544358751E-2</v>
      </c>
    </row>
    <row r="16" spans="1:21">
      <c r="A16" t="str">
        <f>B16&amp;C16</f>
        <v>BruneiGAM</v>
      </c>
      <c r="B16" s="528" t="s">
        <v>952</v>
      </c>
      <c r="C16" s="528" t="s">
        <v>873</v>
      </c>
      <c r="T16" s="508">
        <f>1</f>
        <v>1</v>
      </c>
    </row>
    <row r="17" spans="1:20">
      <c r="A17" t="str">
        <f>B17&amp;C17</f>
        <v>Burkina FasoGAM</v>
      </c>
      <c r="B17" s="528" t="s">
        <v>168</v>
      </c>
      <c r="C17" s="528" t="s">
        <v>873</v>
      </c>
      <c r="I17" s="375"/>
      <c r="J17" s="375"/>
      <c r="K17" s="375"/>
      <c r="L17" s="375"/>
      <c r="M17" s="375"/>
      <c r="N17" s="508">
        <f>7363/VLOOKUP($B17,'Live births'!$B$1:'Live births'!$AE$154,MATCH(N$1,'Live births'!$B$1:'Live births'!$AE$1,0))</f>
        <v>1.0610503865635831E-2</v>
      </c>
      <c r="O17" s="508">
        <f>6095/VLOOKUP($B17,'Live births'!$B$1:'Live births'!$AE$154,MATCH(O$1,'Live births'!$B$1:'Live births'!$AE$1,0))</f>
        <v>8.6406224083448984E-3</v>
      </c>
      <c r="P17" s="430"/>
      <c r="Q17" s="508">
        <v>1</v>
      </c>
      <c r="R17" s="508">
        <v>1</v>
      </c>
      <c r="S17" s="508">
        <v>1</v>
      </c>
      <c r="T17" s="508">
        <f>494006/'Live births'!T17</f>
        <v>0.64411340952207108</v>
      </c>
    </row>
    <row r="18" spans="1:20">
      <c r="A18" t="str">
        <f>B18&amp;C18</f>
        <v>BurundiGAM</v>
      </c>
      <c r="B18" s="528" t="s">
        <v>165</v>
      </c>
      <c r="C18" s="528" t="s">
        <v>873</v>
      </c>
      <c r="I18" s="375"/>
      <c r="J18" s="537"/>
      <c r="K18" s="375"/>
      <c r="P18" s="430">
        <f>385863/VLOOKUP($B18,'Live births'!$B$1:'Live births'!$AE$154,MATCH(P$1,'Live births'!$B$1:'Live births'!$AE$1,0),0)</f>
        <v>0.79113896799670314</v>
      </c>
    </row>
    <row r="19" spans="1:20">
      <c r="A19" t="str">
        <f>B19&amp;C19</f>
        <v>Cabo VerdeGAM</v>
      </c>
      <c r="B19" s="528" t="s">
        <v>149</v>
      </c>
      <c r="C19" s="528" t="s">
        <v>873</v>
      </c>
      <c r="M19" s="508">
        <f>10078/VLOOKUP($B19,'Live births'!$B$1:'Live births'!$AE$154,MATCH(M$1,'Live births'!$B$1:'Live births'!$AE$1,0))</f>
        <v>0.91643175411475852</v>
      </c>
      <c r="N19" s="508">
        <f>10078/VLOOKUP($B19,'Live births'!$B$1:'Live births'!$AE$154,MATCH(N$1,'Live births'!$B$1:'Live births'!$AE$1,0))</f>
        <v>0.9155991641682566</v>
      </c>
      <c r="O19" s="508">
        <f>10694/VLOOKUP($B19,'Live births'!$B$1:'Live births'!$AE$154,MATCH(O$1,'Live births'!$B$1:'Live births'!$AE$1,0))</f>
        <v>0.97165182627657642</v>
      </c>
      <c r="P19" s="508">
        <f>9430/VLOOKUP($B19,'Live births'!$B$1:'Live births'!$AE$154,MATCH(P$1,'Live births'!$B$1:'Live births'!$AE$1,0))</f>
        <v>0.85820895522388063</v>
      </c>
    </row>
    <row r="20" spans="1:20">
      <c r="A20" t="str">
        <f>B20&amp;C20</f>
        <v>CambodiaGAM</v>
      </c>
      <c r="B20" s="528" t="s">
        <v>169</v>
      </c>
      <c r="C20" s="528" t="s">
        <v>873</v>
      </c>
      <c r="D20" s="306"/>
      <c r="E20" s="306"/>
      <c r="F20" s="306"/>
      <c r="G20" s="306"/>
      <c r="H20" s="306"/>
      <c r="I20" s="375">
        <v>1</v>
      </c>
      <c r="J20" s="537"/>
      <c r="K20" s="537"/>
      <c r="L20" s="306">
        <v>0.98468324260863183</v>
      </c>
      <c r="M20" s="306">
        <v>1</v>
      </c>
      <c r="N20" s="306">
        <v>0.89436350887072535</v>
      </c>
      <c r="O20" s="306">
        <v>1</v>
      </c>
      <c r="P20" s="306">
        <v>1</v>
      </c>
      <c r="Q20" s="306">
        <v>0.99007051257842971</v>
      </c>
      <c r="R20" s="306">
        <v>1</v>
      </c>
      <c r="S20" s="538">
        <v>1</v>
      </c>
      <c r="T20" s="508">
        <f>IF(383222/'Live births'!T20&gt;1,1,383222/'Live births'!T20)</f>
        <v>1</v>
      </c>
    </row>
    <row r="21" spans="1:20">
      <c r="A21" t="str">
        <f>B21&amp;C21</f>
        <v>Central African RepublicGAM</v>
      </c>
      <c r="B21" s="528" t="s">
        <v>153</v>
      </c>
      <c r="C21" s="528" t="s">
        <v>873</v>
      </c>
      <c r="I21" s="508">
        <v>0.26042172071493203</v>
      </c>
      <c r="K21" s="508">
        <v>0.21864119907070734</v>
      </c>
      <c r="L21" s="508">
        <v>0.33947306471213251</v>
      </c>
      <c r="N21" s="508">
        <v>0.27186989039409631</v>
      </c>
      <c r="P21" s="508">
        <v>0.52073836628232939</v>
      </c>
      <c r="Q21" s="508">
        <v>0.83003028050262007</v>
      </c>
      <c r="R21" s="508">
        <v>0.46577380952380953</v>
      </c>
      <c r="S21" s="508">
        <v>0.5326780913978495</v>
      </c>
      <c r="T21" s="508">
        <f>111398/'Live births'!T21</f>
        <v>0.66053163671293635</v>
      </c>
    </row>
    <row r="22" spans="1:20">
      <c r="A22" t="str">
        <f>B22&amp;C22</f>
        <v>ChileGAM</v>
      </c>
      <c r="B22" s="528" t="s">
        <v>170</v>
      </c>
      <c r="C22" s="528" t="s">
        <v>873</v>
      </c>
      <c r="D22" s="112"/>
      <c r="E22" s="112"/>
      <c r="F22" s="112"/>
      <c r="G22" s="112"/>
      <c r="H22" s="112"/>
      <c r="I22" s="351">
        <v>0.84556317907864276</v>
      </c>
      <c r="J22" s="391"/>
      <c r="K22" s="344">
        <v>0.83270358744771988</v>
      </c>
      <c r="L22" s="344">
        <v>0.83315242869752881</v>
      </c>
      <c r="M22" s="344">
        <v>0.66949716314761376</v>
      </c>
      <c r="N22" s="344">
        <v>0.68540591072301182</v>
      </c>
      <c r="O22" s="344">
        <v>0.69921577147043912</v>
      </c>
      <c r="P22" s="351">
        <v>0.78013134532697281</v>
      </c>
      <c r="Q22" s="508">
        <f>182344/'Live births'!Q22</f>
        <v>0.78013134532697281</v>
      </c>
      <c r="R22" s="508">
        <f>169360/'Live births'!R22</f>
        <v>0.72610345345023475</v>
      </c>
      <c r="S22" s="508">
        <f>169764/'Live births'!S22</f>
        <v>0.72946494560079755</v>
      </c>
      <c r="T22" s="508">
        <f>176086/'Live births'!T22</f>
        <v>0.75852710840778492</v>
      </c>
    </row>
    <row r="23" spans="1:20">
      <c r="A23" t="str">
        <f>B23&amp;C23</f>
        <v>ChinaGAM</v>
      </c>
      <c r="B23" s="528" t="s">
        <v>349</v>
      </c>
      <c r="C23" s="528" t="s">
        <v>873</v>
      </c>
    </row>
    <row r="24" spans="1:20">
      <c r="A24" t="str">
        <f>B24&amp;C24</f>
        <v>ColombiaGAM</v>
      </c>
      <c r="B24" s="528" t="s">
        <v>171</v>
      </c>
      <c r="C24" s="528" t="s">
        <v>873</v>
      </c>
      <c r="D24" s="112"/>
      <c r="E24" s="112"/>
      <c r="F24" s="112"/>
      <c r="G24" s="112"/>
      <c r="H24" s="112"/>
      <c r="I24" s="344"/>
      <c r="J24" s="344"/>
      <c r="K24" s="344"/>
      <c r="L24" s="344">
        <v>0.89192609335494832</v>
      </c>
      <c r="M24" s="344">
        <v>0.23630040710931563</v>
      </c>
      <c r="N24" s="391"/>
      <c r="O24" s="344">
        <v>0.81988372062167802</v>
      </c>
      <c r="P24" s="344">
        <v>0.82764846356500066</v>
      </c>
      <c r="Q24" s="344">
        <v>0.89846385578822552</v>
      </c>
      <c r="R24" s="344">
        <v>0.91990289936595138</v>
      </c>
      <c r="S24" s="344">
        <v>0.97176663655733075</v>
      </c>
      <c r="T24" s="508">
        <f>691394/'Live births'!T24</f>
        <v>0.96337633311875237</v>
      </c>
    </row>
    <row r="25" spans="1:20">
      <c r="A25" t="str">
        <f>B25&amp;C25</f>
        <v>Costa RicaGAM</v>
      </c>
      <c r="B25" s="528" t="s">
        <v>350</v>
      </c>
      <c r="C25" s="528" t="s">
        <v>873</v>
      </c>
      <c r="D25" s="112"/>
      <c r="E25" s="112"/>
      <c r="F25" s="112"/>
      <c r="G25" s="112"/>
      <c r="H25" s="112"/>
      <c r="I25" s="1"/>
      <c r="J25" s="344"/>
      <c r="K25" s="344"/>
      <c r="L25" s="391"/>
      <c r="M25" s="391"/>
      <c r="N25" s="391"/>
      <c r="O25" s="391"/>
      <c r="P25" s="391"/>
      <c r="Q25" s="391"/>
      <c r="R25" s="344">
        <v>1</v>
      </c>
      <c r="S25" s="344">
        <v>0.97614941688831736</v>
      </c>
      <c r="T25" s="508">
        <f>IF(68479/'Live births'!T25&gt;1,1,68479/'Live births'!T25)</f>
        <v>1</v>
      </c>
    </row>
    <row r="26" spans="1:20">
      <c r="A26" t="str">
        <f>B26&amp;C26</f>
        <v>CubaGAM</v>
      </c>
      <c r="B26" s="528" t="s">
        <v>164</v>
      </c>
      <c r="C26" s="528" t="s">
        <v>873</v>
      </c>
      <c r="D26" s="112"/>
      <c r="E26" s="112"/>
      <c r="F26" s="112"/>
      <c r="G26" s="112"/>
      <c r="H26" s="112"/>
      <c r="I26" s="1"/>
      <c r="J26" s="344"/>
      <c r="K26" s="344">
        <v>1</v>
      </c>
      <c r="L26" s="344">
        <v>1</v>
      </c>
      <c r="M26" s="344">
        <v>1</v>
      </c>
      <c r="N26" s="344">
        <v>1</v>
      </c>
      <c r="O26" s="344">
        <v>1</v>
      </c>
      <c r="P26" s="344">
        <v>1</v>
      </c>
      <c r="Q26" s="344">
        <v>1</v>
      </c>
      <c r="R26" s="344">
        <v>1</v>
      </c>
      <c r="S26" s="344">
        <v>1</v>
      </c>
      <c r="T26" s="508">
        <f>102988/'Live births'!T26</f>
        <v>0.9516540380705969</v>
      </c>
    </row>
    <row r="27" spans="1:20">
      <c r="A27" t="str">
        <f>B27&amp;C27</f>
        <v>Democratic Republic of CongoGAM</v>
      </c>
      <c r="B27" s="528" t="s">
        <v>152</v>
      </c>
      <c r="C27" s="528" t="s">
        <v>873</v>
      </c>
      <c r="D27" s="112"/>
      <c r="E27" s="112"/>
      <c r="F27" s="112"/>
      <c r="G27" s="112"/>
      <c r="H27" s="112"/>
      <c r="I27" s="1"/>
      <c r="J27" s="344">
        <v>0.2188104939296715</v>
      </c>
      <c r="K27" s="404"/>
      <c r="L27" s="404"/>
      <c r="M27" s="404"/>
      <c r="N27" s="404"/>
      <c r="O27" s="344">
        <v>0.24926210935925028</v>
      </c>
      <c r="P27" s="344">
        <v>0.27195851900668189</v>
      </c>
      <c r="Q27" s="404"/>
      <c r="R27" s="344">
        <v>0.49211813458639525</v>
      </c>
      <c r="S27" s="344">
        <v>0.64593741498190671</v>
      </c>
      <c r="T27" s="508">
        <f>IF(6241795/'Live births'!T27&gt;1,1,6241795/'Live births'!T27)</f>
        <v>1</v>
      </c>
    </row>
    <row r="28" spans="1:20">
      <c r="A28" t="str">
        <f>B28&amp;C28</f>
        <v>DominicaGAM</v>
      </c>
      <c r="B28" s="528" t="s">
        <v>351</v>
      </c>
      <c r="C28" s="528" t="s">
        <v>873</v>
      </c>
      <c r="T28" s="508" t="e">
        <f>832/VLOOKUP($B28,'Live births'!$B$1:'Live births'!$AE$154,MATCH(T$1,'Live births'!$B$1:'Live births'!$AE$1,0),0)</f>
        <v>#DIV/0!</v>
      </c>
    </row>
    <row r="29" spans="1:20">
      <c r="A29" t="str">
        <f>B29&amp;C29</f>
        <v>Dominican RepublicGAM</v>
      </c>
      <c r="B29" s="528" t="s">
        <v>172</v>
      </c>
      <c r="C29" s="528" t="s">
        <v>873</v>
      </c>
      <c r="D29" s="112"/>
      <c r="E29" s="112"/>
      <c r="F29" s="112"/>
      <c r="G29" s="112"/>
      <c r="H29" s="112"/>
      <c r="I29" s="1"/>
      <c r="J29" s="344"/>
      <c r="K29" s="344"/>
      <c r="L29" s="344"/>
      <c r="M29" s="344">
        <v>0.2869611733938075</v>
      </c>
      <c r="N29" s="404"/>
      <c r="O29" s="344">
        <v>1</v>
      </c>
      <c r="P29" s="404"/>
      <c r="Q29" s="344">
        <v>1</v>
      </c>
      <c r="R29" s="344">
        <v>1</v>
      </c>
      <c r="S29" s="344">
        <v>1</v>
      </c>
    </row>
    <row r="30" spans="1:20">
      <c r="A30" t="str">
        <f>B30&amp;C30</f>
        <v>EcuadorGAM</v>
      </c>
      <c r="B30" s="528" t="s">
        <v>352</v>
      </c>
      <c r="C30" s="528" t="s">
        <v>873</v>
      </c>
      <c r="R30" s="508">
        <v>1</v>
      </c>
      <c r="S30" s="508">
        <v>1</v>
      </c>
    </row>
    <row r="31" spans="1:20">
      <c r="A31" t="str">
        <f>B31&amp;C31</f>
        <v>El SalvadorGAM</v>
      </c>
      <c r="B31" s="528" t="s">
        <v>353</v>
      </c>
      <c r="C31" s="528" t="s">
        <v>873</v>
      </c>
      <c r="R31" s="508">
        <v>0.52693376785200807</v>
      </c>
      <c r="S31" s="508">
        <v>0.36731427469507788</v>
      </c>
      <c r="T31" s="508">
        <f>41577/'Live births'!T32</f>
        <v>0.40389939673010228</v>
      </c>
    </row>
    <row r="32" spans="1:20">
      <c r="A32" t="str">
        <f>B32&amp;C32</f>
        <v>Equatorial GuineaGAM</v>
      </c>
      <c r="B32" s="528" t="s">
        <v>129</v>
      </c>
      <c r="C32" s="528" t="s">
        <v>873</v>
      </c>
      <c r="M32" s="508">
        <v>0.3025355775482193</v>
      </c>
      <c r="N32" s="508">
        <v>0.55043013417354059</v>
      </c>
      <c r="O32" s="508">
        <v>1</v>
      </c>
      <c r="P32" s="508">
        <v>0.80322107346367766</v>
      </c>
    </row>
    <row r="33" spans="1:20">
      <c r="A33" t="str">
        <f>B33&amp;C33</f>
        <v>EritreaGAM</v>
      </c>
      <c r="B33" s="528" t="s">
        <v>128</v>
      </c>
      <c r="C33" s="528" t="s">
        <v>873</v>
      </c>
      <c r="Q33" s="508">
        <v>0.53610594424347546</v>
      </c>
      <c r="R33" s="508">
        <v>0.49100327308951186</v>
      </c>
      <c r="T33" s="508">
        <f>93847/'Live births'!T34</f>
        <v>0.52993359383823102</v>
      </c>
    </row>
    <row r="34" spans="1:20">
      <c r="A34" t="str">
        <f>B34&amp;C34</f>
        <v>EswatiniGAM</v>
      </c>
      <c r="B34" s="528" t="s">
        <v>835</v>
      </c>
      <c r="C34" s="528" t="s">
        <v>873</v>
      </c>
      <c r="D34" s="112"/>
      <c r="E34" s="112"/>
      <c r="F34" s="112"/>
      <c r="G34" s="112"/>
      <c r="H34" s="112"/>
      <c r="I34" s="1"/>
      <c r="J34" s="344">
        <v>0.47462629464651707</v>
      </c>
      <c r="K34" s="391"/>
      <c r="L34" s="391"/>
      <c r="M34" s="391"/>
      <c r="N34" s="344">
        <v>0.78444054082827641</v>
      </c>
      <c r="O34" s="391"/>
      <c r="P34" s="391"/>
      <c r="Q34" s="344">
        <v>0.7921141251027497</v>
      </c>
    </row>
    <row r="35" spans="1:20">
      <c r="A35" t="str">
        <f>B35&amp;C35</f>
        <v>EthiopiaGAM</v>
      </c>
      <c r="B35" s="528" t="s">
        <v>127</v>
      </c>
      <c r="C35" s="528" t="s">
        <v>873</v>
      </c>
      <c r="D35" s="112"/>
      <c r="E35" s="112"/>
      <c r="F35" s="112"/>
      <c r="G35" s="112"/>
      <c r="H35" s="112"/>
      <c r="I35" s="351">
        <v>0.5745673503866231</v>
      </c>
      <c r="J35" s="404"/>
      <c r="K35" s="404"/>
      <c r="L35" s="404"/>
      <c r="M35" s="404"/>
      <c r="N35" s="404"/>
      <c r="O35" s="344">
        <v>0.50099352430513644</v>
      </c>
      <c r="P35" s="344">
        <v>0.54463147886969221</v>
      </c>
      <c r="Q35" s="344">
        <v>0.55018803188301568</v>
      </c>
      <c r="T35" s="508">
        <f>3271091/'Live births'!T31</f>
        <v>0.9976196256300901</v>
      </c>
    </row>
    <row r="36" spans="1:20">
      <c r="A36" t="str">
        <f>B36&amp;C36</f>
        <v>Federated States of MicronesiaGAM</v>
      </c>
      <c r="B36" s="528" t="s">
        <v>356</v>
      </c>
      <c r="C36" s="528" t="s">
        <v>873</v>
      </c>
      <c r="D36" s="112"/>
      <c r="E36" s="418"/>
      <c r="F36" s="418"/>
      <c r="G36" s="418"/>
      <c r="H36" s="418"/>
      <c r="I36" s="418"/>
      <c r="J36" s="419"/>
      <c r="K36" s="420"/>
      <c r="L36" s="420"/>
      <c r="M36" s="420"/>
      <c r="N36" s="351">
        <v>0.83285655905190026</v>
      </c>
      <c r="O36" s="400">
        <v>0.86519607843137258</v>
      </c>
      <c r="P36" s="351">
        <v>0.78868078175895762</v>
      </c>
      <c r="Q36" s="408"/>
      <c r="R36" s="351">
        <v>0.75774647887323943</v>
      </c>
      <c r="S36" s="344">
        <v>0.77835463258785942</v>
      </c>
    </row>
    <row r="37" spans="1:20">
      <c r="A37" t="str">
        <f>B37&amp;C37</f>
        <v>FijiGAM</v>
      </c>
      <c r="B37" s="528" t="s">
        <v>338</v>
      </c>
      <c r="C37" s="528" t="s">
        <v>873</v>
      </c>
      <c r="D37" s="112"/>
      <c r="E37" s="112"/>
      <c r="F37" s="112"/>
      <c r="G37" s="112"/>
      <c r="H37" s="112"/>
      <c r="I37" s="351">
        <v>1</v>
      </c>
    </row>
    <row r="38" spans="1:20">
      <c r="A38" t="str">
        <f>B38&amp;C38</f>
        <v>GabonGAM</v>
      </c>
      <c r="B38" s="528" t="s">
        <v>130</v>
      </c>
      <c r="C38" s="528" t="s">
        <v>873</v>
      </c>
      <c r="D38" s="112"/>
      <c r="E38" s="112"/>
      <c r="F38" s="112"/>
      <c r="G38" s="112"/>
      <c r="H38" s="112"/>
      <c r="I38" s="351">
        <v>0.66461921738756924</v>
      </c>
      <c r="J38" s="408"/>
      <c r="K38" s="408"/>
      <c r="L38" s="344">
        <v>0.77456341865051126</v>
      </c>
      <c r="M38" s="344">
        <v>0.36167014111610007</v>
      </c>
      <c r="N38" s="411">
        <v>1</v>
      </c>
      <c r="O38" s="344">
        <v>1</v>
      </c>
      <c r="P38" s="344">
        <v>0.68630893167144558</v>
      </c>
      <c r="Q38" s="344">
        <v>0.46960082280568977</v>
      </c>
      <c r="R38" s="344">
        <v>0.56485113124794717</v>
      </c>
      <c r="S38" s="344">
        <v>1</v>
      </c>
      <c r="T38" s="508">
        <f>IF(73668/'Live births'!T38&gt;1,1,73668/'Live births'!T38)</f>
        <v>1</v>
      </c>
    </row>
    <row r="39" spans="1:20">
      <c r="A39" t="str">
        <f>B39&amp;C39</f>
        <v>GeorgiaGAM</v>
      </c>
      <c r="B39" s="528" t="s">
        <v>173</v>
      </c>
      <c r="C39" s="528" t="s">
        <v>873</v>
      </c>
      <c r="D39" s="112"/>
      <c r="E39" s="112"/>
      <c r="F39" s="112"/>
      <c r="G39" s="112"/>
      <c r="H39" s="344">
        <v>0.70993138560614999</v>
      </c>
      <c r="I39" s="404"/>
      <c r="J39" s="404"/>
      <c r="K39" s="404"/>
      <c r="L39" s="344">
        <v>0.95160573207018029</v>
      </c>
      <c r="M39" s="344">
        <v>0.97447868578297303</v>
      </c>
      <c r="N39" s="344">
        <v>1</v>
      </c>
      <c r="O39" s="344">
        <v>1</v>
      </c>
      <c r="P39" s="344">
        <v>1</v>
      </c>
      <c r="Q39" s="344">
        <v>1</v>
      </c>
      <c r="R39" s="344">
        <v>1</v>
      </c>
      <c r="S39" s="344">
        <v>1</v>
      </c>
      <c r="T39" s="508">
        <f>47571/'Live births'!T39</f>
        <v>0.95589358196358964</v>
      </c>
    </row>
    <row r="40" spans="1:20">
      <c r="A40" t="str">
        <f>B40&amp;C40</f>
        <v>GhanaGAM</v>
      </c>
      <c r="B40" s="528" t="s">
        <v>131</v>
      </c>
      <c r="C40" s="528" t="s">
        <v>873</v>
      </c>
      <c r="D40" s="112"/>
      <c r="E40" s="112"/>
      <c r="F40" s="112"/>
      <c r="G40" s="112"/>
      <c r="H40" s="112"/>
      <c r="I40" s="1"/>
      <c r="J40" s="344"/>
      <c r="K40" s="344">
        <v>1</v>
      </c>
      <c r="L40" s="404"/>
      <c r="M40" s="344">
        <v>1</v>
      </c>
      <c r="N40" s="404"/>
      <c r="O40" s="344">
        <v>0.78611758292763312</v>
      </c>
      <c r="P40" s="344">
        <v>0.86263122576206286</v>
      </c>
      <c r="Q40" s="344">
        <v>0.87598492364413583</v>
      </c>
      <c r="R40" s="344">
        <v>1</v>
      </c>
      <c r="T40" s="508">
        <f>IF(936253/'Live births'!T40&gt;1,1,936253/'Live births'!T40)</f>
        <v>1</v>
      </c>
    </row>
    <row r="41" spans="1:20">
      <c r="A41" t="str">
        <f>B41&amp;C41</f>
        <v>GrenadaGAM</v>
      </c>
      <c r="B41" s="528" t="s">
        <v>354</v>
      </c>
      <c r="C41" s="528" t="s">
        <v>873</v>
      </c>
      <c r="D41" s="112"/>
      <c r="E41" s="112"/>
      <c r="F41" s="112"/>
      <c r="G41" s="112"/>
      <c r="H41" s="112"/>
      <c r="I41" s="1"/>
      <c r="J41" s="344"/>
      <c r="K41" s="344"/>
      <c r="L41" s="391"/>
      <c r="M41" s="391"/>
      <c r="N41" s="391"/>
      <c r="O41" s="391"/>
      <c r="P41" s="391"/>
      <c r="Q41" s="391"/>
      <c r="R41" s="344"/>
      <c r="S41" s="344">
        <v>0.4045918367346939</v>
      </c>
    </row>
    <row r="42" spans="1:20">
      <c r="A42" t="str">
        <f>B42&amp;C42</f>
        <v>GuatemalaGAM</v>
      </c>
      <c r="B42" s="528" t="s">
        <v>355</v>
      </c>
      <c r="C42" s="528" t="s">
        <v>873</v>
      </c>
      <c r="R42" s="508">
        <v>0.73356172426875754</v>
      </c>
      <c r="S42" s="508">
        <v>1</v>
      </c>
      <c r="T42" s="508">
        <f>IF(442034/'Live births'!T42&gt;1,1,442034/'Live births'!T42)</f>
        <v>0.98846359401868988</v>
      </c>
    </row>
    <row r="43" spans="1:20">
      <c r="A43" t="str">
        <f>B43&amp;C43</f>
        <v>GuineaGAM</v>
      </c>
      <c r="B43" s="528" t="s">
        <v>132</v>
      </c>
      <c r="C43" s="528" t="s">
        <v>873</v>
      </c>
      <c r="D43" s="112"/>
      <c r="E43" s="112"/>
      <c r="F43" s="112"/>
      <c r="G43" s="112"/>
      <c r="H43" s="112"/>
      <c r="I43" s="351">
        <v>4.1323032351521002E-2</v>
      </c>
      <c r="J43" s="408"/>
      <c r="K43" s="408"/>
      <c r="L43" s="408"/>
      <c r="M43" s="408"/>
      <c r="N43" s="408"/>
      <c r="O43" s="408"/>
      <c r="P43" s="344">
        <v>0.45041712542484996</v>
      </c>
      <c r="Q43" s="344">
        <v>0.59638374466824517</v>
      </c>
      <c r="R43" s="344">
        <v>0.70939901152235307</v>
      </c>
      <c r="T43" s="508">
        <f>263139/'Live births'!T43</f>
        <v>0.54329621049762766</v>
      </c>
    </row>
    <row r="44" spans="1:20">
      <c r="A44" t="str">
        <f>B44&amp;C44</f>
        <v>GuyanaGAM</v>
      </c>
      <c r="B44" s="528" t="s">
        <v>357</v>
      </c>
      <c r="C44" s="528" t="s">
        <v>873</v>
      </c>
    </row>
    <row r="45" spans="1:20">
      <c r="A45" t="str">
        <f>B45&amp;C45</f>
        <v>HaitiGAM</v>
      </c>
      <c r="B45" s="528" t="s">
        <v>174</v>
      </c>
      <c r="C45" s="528" t="s">
        <v>873</v>
      </c>
      <c r="D45" s="112"/>
      <c r="E45" s="112"/>
      <c r="F45" s="112"/>
      <c r="G45" s="112"/>
      <c r="H45" s="112"/>
      <c r="I45" s="351"/>
      <c r="J45" s="404"/>
      <c r="K45" s="344">
        <v>0.7147274487582651</v>
      </c>
      <c r="L45" s="404"/>
      <c r="M45" s="404"/>
      <c r="N45" s="344">
        <v>1</v>
      </c>
      <c r="O45" s="404"/>
      <c r="P45" s="344">
        <v>1</v>
      </c>
      <c r="Q45" s="344">
        <v>0.91655978962030427</v>
      </c>
      <c r="R45" s="404"/>
      <c r="S45" s="344">
        <v>1</v>
      </c>
      <c r="T45" s="508">
        <f>IF(336000/'Live births'!T45&gt;1,1,336000/'Live births'!T45)</f>
        <v>1</v>
      </c>
    </row>
    <row r="46" spans="1:20">
      <c r="A46" t="str">
        <f>B46&amp;C46</f>
        <v>HondurasGAM</v>
      </c>
      <c r="B46" s="528" t="s">
        <v>358</v>
      </c>
      <c r="C46" s="528" t="s">
        <v>873</v>
      </c>
      <c r="R46" s="508">
        <v>0.98057799508692367</v>
      </c>
      <c r="S46" s="508">
        <v>1</v>
      </c>
      <c r="T46" s="508">
        <f>166321/'Live births'!T46</f>
        <v>0.98070096819462949</v>
      </c>
    </row>
    <row r="47" spans="1:20">
      <c r="A47" t="str">
        <f>B47&amp;C47</f>
        <v>IndiaGAM</v>
      </c>
      <c r="B47" s="528" t="s">
        <v>175</v>
      </c>
      <c r="C47" s="528" t="s">
        <v>873</v>
      </c>
      <c r="L47" s="508">
        <v>7.0496618938010985E-2</v>
      </c>
      <c r="M47" s="508">
        <v>0.10739753225754474</v>
      </c>
      <c r="N47" s="508">
        <v>0.15339313298018087</v>
      </c>
      <c r="O47" s="508">
        <v>0.14560513265385591</v>
      </c>
      <c r="P47" s="508">
        <v>0.14811693750956145</v>
      </c>
      <c r="Q47" s="508">
        <v>0.16847597431258468</v>
      </c>
      <c r="R47" s="508">
        <v>1</v>
      </c>
      <c r="T47" s="508">
        <f>1</f>
        <v>1</v>
      </c>
    </row>
    <row r="48" spans="1:20">
      <c r="A48" t="str">
        <f>B48&amp;C48</f>
        <v>IndonesiaGAM</v>
      </c>
      <c r="B48" s="528" t="s">
        <v>866</v>
      </c>
      <c r="C48" s="528" t="s">
        <v>873</v>
      </c>
      <c r="T48" s="508">
        <f>IF(5256483/'Live births'!T48&gt;1,1,5256483/'Live births'!T48)</f>
        <v>1</v>
      </c>
    </row>
    <row r="49" spans="1:24">
      <c r="A49" t="str">
        <f>B49&amp;C49</f>
        <v>JamaicaGAM</v>
      </c>
      <c r="B49" s="528" t="s">
        <v>176</v>
      </c>
      <c r="C49" s="528" t="s">
        <v>873</v>
      </c>
      <c r="I49" s="508">
        <v>0.54987665128123508</v>
      </c>
      <c r="J49" s="508">
        <v>0.50624160939347185</v>
      </c>
      <c r="K49" s="508">
        <v>0.4793995399701384</v>
      </c>
      <c r="M49" s="508">
        <v>0.51368799542371502</v>
      </c>
      <c r="N49" s="508">
        <v>0.56330621970257166</v>
      </c>
      <c r="P49" s="508">
        <v>0.78006023470765395</v>
      </c>
      <c r="Q49" s="508">
        <v>0.51544882120369018</v>
      </c>
      <c r="R49" s="508">
        <v>0.5</v>
      </c>
    </row>
    <row r="50" spans="1:24">
      <c r="A50" t="str">
        <f>B50&amp;C50</f>
        <v>KenyaGAM</v>
      </c>
      <c r="B50" s="528" t="s">
        <v>133</v>
      </c>
      <c r="C50" s="528" t="s">
        <v>873</v>
      </c>
      <c r="D50" s="112"/>
      <c r="E50" s="112"/>
      <c r="F50" s="112"/>
      <c r="G50" s="112"/>
      <c r="H50" s="112"/>
      <c r="I50" s="1"/>
      <c r="J50" s="344"/>
      <c r="K50" s="344">
        <v>0.74837887109041135</v>
      </c>
      <c r="L50" s="344">
        <v>0.73061429140656131</v>
      </c>
      <c r="M50" s="344">
        <v>0.71833411350092602</v>
      </c>
      <c r="N50" s="344">
        <v>0.77743917092414994</v>
      </c>
      <c r="O50" s="344">
        <v>0.6276635821636265</v>
      </c>
      <c r="P50" s="344">
        <v>0.76654390235208447</v>
      </c>
      <c r="Q50" s="344">
        <v>0.81324269019488193</v>
      </c>
      <c r="R50" s="344">
        <v>0.67949977300445308</v>
      </c>
      <c r="S50" s="344">
        <v>1</v>
      </c>
      <c r="T50" s="508">
        <f>1255393/'Live births'!T50</f>
        <v>0.76948580114865739</v>
      </c>
    </row>
    <row r="51" spans="1:24">
      <c r="A51" t="str">
        <f>B51&amp;C51</f>
        <v>LesothoGAM</v>
      </c>
      <c r="B51" s="528" t="s">
        <v>930</v>
      </c>
      <c r="C51" s="528" t="s">
        <v>873</v>
      </c>
      <c r="D51" s="112"/>
      <c r="E51" s="112"/>
      <c r="F51" s="112"/>
      <c r="G51" s="112"/>
      <c r="H51" s="112"/>
      <c r="I51" s="1"/>
      <c r="J51" s="344"/>
      <c r="K51" s="344"/>
      <c r="L51" s="344"/>
      <c r="M51" s="344"/>
      <c r="N51" s="430">
        <f>35368/VLOOKUP($B51,'Live births'!$B$1:'Live births'!$AE$154,MATCH(N$1,'Live births'!$B$1:'Live births'!$AE$1,0),0)</f>
        <v>0.590165028617197</v>
      </c>
      <c r="Q51" s="508">
        <f>36648/VLOOKUP($B51,'Live births'!$B$1:'Live births'!$AE$154,MATCH(Q$1,'Live births'!$B$1:'Live births'!$AE$1,0),0)</f>
        <v>0.60242627478055033</v>
      </c>
      <c r="R51" s="508">
        <f>32984/VLOOKUP($B51,'Live births'!$B$1:'Live births'!$AE$154,MATCH(R$1,'Live births'!$B$1:'Live births'!$AE$1,0),0)</f>
        <v>0.54250892284412577</v>
      </c>
      <c r="S51" s="508">
        <f>35599/VLOOKUP($B51,'Live births'!$B$1:'Live births'!$AE$154,MATCH(S$1,'Live births'!$B$1:'Live births'!$AE$1,0),0)</f>
        <v>0.58694827785197279</v>
      </c>
      <c r="T51" s="508">
        <f>35077/VLOOKUP($B51,'Live births'!$B$1:'Live births'!$AE$154,MATCH(T$1,'Live births'!$B$1:'Live births'!$AE$1,0),0)</f>
        <v>0.58064889918887597</v>
      </c>
    </row>
    <row r="52" spans="1:24">
      <c r="A52" t="str">
        <f>B52&amp;C52</f>
        <v>LiberiaGAM</v>
      </c>
      <c r="B52" s="528" t="s">
        <v>134</v>
      </c>
      <c r="C52" s="528" t="s">
        <v>873</v>
      </c>
      <c r="D52" s="112"/>
      <c r="E52" s="112"/>
      <c r="F52" s="112"/>
      <c r="G52" s="112"/>
      <c r="H52" s="112"/>
      <c r="I52" s="1"/>
      <c r="J52" s="344"/>
      <c r="K52" s="344">
        <v>1</v>
      </c>
      <c r="L52" s="391"/>
      <c r="M52" s="391"/>
      <c r="N52" s="344">
        <v>1</v>
      </c>
      <c r="O52" s="344">
        <v>0.78905723469334854</v>
      </c>
      <c r="P52" s="344">
        <v>0.97818788727530837</v>
      </c>
      <c r="Q52" s="391"/>
      <c r="R52" s="391"/>
      <c r="S52" s="344">
        <v>1</v>
      </c>
      <c r="T52" s="508">
        <f>IF(185520/'Live births'!T52&gt;1,1,185520/'Live births'!T52)</f>
        <v>1</v>
      </c>
    </row>
    <row r="53" spans="1:24">
      <c r="A53" t="str">
        <f>B53&amp;C53</f>
        <v>MadagascarGAM</v>
      </c>
      <c r="B53" s="528" t="s">
        <v>135</v>
      </c>
      <c r="C53" s="528" t="s">
        <v>873</v>
      </c>
      <c r="L53" s="508">
        <v>1</v>
      </c>
      <c r="M53" s="508">
        <v>0.79450468510820904</v>
      </c>
      <c r="N53" s="508">
        <v>0.69939231266109358</v>
      </c>
      <c r="O53" s="508">
        <v>0.79118463390071969</v>
      </c>
      <c r="P53" s="508">
        <v>0.57502080837531089</v>
      </c>
      <c r="Q53" s="508">
        <v>0.76147354452771177</v>
      </c>
      <c r="R53" s="508">
        <v>0.67695139026881146</v>
      </c>
      <c r="S53" s="508">
        <v>0.81437436539019437</v>
      </c>
      <c r="T53" s="508">
        <f>739083/'Live births'!T53</f>
        <v>0.82216983965595114</v>
      </c>
    </row>
    <row r="54" spans="1:24">
      <c r="A54" t="str">
        <f>B54&amp;C54</f>
        <v>MalawiGAM</v>
      </c>
      <c r="B54" s="528" t="s">
        <v>136</v>
      </c>
      <c r="C54" s="528" t="s">
        <v>873</v>
      </c>
      <c r="M54" s="508">
        <v>1</v>
      </c>
      <c r="N54" s="508">
        <v>0.96992015139071486</v>
      </c>
      <c r="O54" s="508">
        <v>0.94659341669731523</v>
      </c>
      <c r="P54" s="508">
        <v>0.93307192528679483</v>
      </c>
      <c r="Q54" s="508">
        <v>0.87873019427803589</v>
      </c>
      <c r="R54" s="508">
        <v>0.90059238094962957</v>
      </c>
      <c r="T54" s="508">
        <f>636815/'Live births'!T54</f>
        <v>0.88539986652577718</v>
      </c>
    </row>
    <row r="55" spans="1:24">
      <c r="A55" t="str">
        <f>B55&amp;C55</f>
        <v>MalaysiaGAM</v>
      </c>
      <c r="B55" s="528" t="s">
        <v>177</v>
      </c>
      <c r="C55" s="528" t="s">
        <v>873</v>
      </c>
      <c r="D55" s="112"/>
      <c r="E55" s="112"/>
      <c r="F55" s="112"/>
      <c r="G55" s="112"/>
      <c r="H55" s="112"/>
      <c r="I55" s="351">
        <v>0.8591789823640944</v>
      </c>
      <c r="J55" s="391"/>
      <c r="K55" s="344">
        <v>0.87953819835536629</v>
      </c>
      <c r="L55" s="344">
        <v>0.92458660239396362</v>
      </c>
      <c r="M55" s="344">
        <v>0.93988554315720385</v>
      </c>
      <c r="N55" s="344">
        <v>0.96677069539097571</v>
      </c>
      <c r="O55" s="344">
        <v>0.95542138715099911</v>
      </c>
      <c r="P55" s="344">
        <v>1</v>
      </c>
      <c r="Q55" s="344">
        <v>0.98749348720381358</v>
      </c>
      <c r="R55" s="344">
        <v>0.99851179862244988</v>
      </c>
      <c r="S55" s="344">
        <v>1</v>
      </c>
      <c r="T55" s="508">
        <f>IF(569151/'Live births'!T55&gt;1,1,569151/'Live births'!T55)</f>
        <v>1</v>
      </c>
    </row>
    <row r="56" spans="1:24">
      <c r="A56" t="str">
        <f>B56&amp;C56</f>
        <v>MaldivesGAM</v>
      </c>
      <c r="B56" s="528" t="s">
        <v>375</v>
      </c>
      <c r="C56" s="528" t="s">
        <v>873</v>
      </c>
      <c r="O56" s="508">
        <v>1</v>
      </c>
      <c r="P56" s="508">
        <v>1</v>
      </c>
      <c r="Q56" s="508">
        <v>0.995</v>
      </c>
      <c r="R56" s="508">
        <v>0.97</v>
      </c>
    </row>
    <row r="57" spans="1:24">
      <c r="A57" t="str">
        <f>B57&amp;C57</f>
        <v>MaliGAM</v>
      </c>
      <c r="B57" s="528" t="s">
        <v>137</v>
      </c>
      <c r="C57" s="528" t="s">
        <v>873</v>
      </c>
      <c r="D57" s="112"/>
      <c r="E57" s="112"/>
      <c r="F57" s="112"/>
      <c r="G57" s="112"/>
      <c r="H57" s="344">
        <v>0.21129490269676843</v>
      </c>
      <c r="I57" s="394"/>
      <c r="J57" s="391"/>
      <c r="K57" s="391"/>
      <c r="L57" s="391"/>
      <c r="M57" s="391"/>
      <c r="N57" s="391"/>
      <c r="O57" s="344">
        <v>0.3492951248201096</v>
      </c>
      <c r="P57" s="344">
        <v>0.37981353710579913</v>
      </c>
      <c r="Q57" s="344">
        <v>0.4562564466303447</v>
      </c>
      <c r="R57" s="344">
        <v>0.47074778109534132</v>
      </c>
      <c r="S57" s="344">
        <v>0.55506639496044463</v>
      </c>
      <c r="T57" s="508">
        <f>792050/'Live births'!T57</f>
        <v>0.97883042091994366</v>
      </c>
    </row>
    <row r="58" spans="1:24">
      <c r="A58" t="str">
        <f>B58&amp;C58</f>
        <v>MauritiusGAM</v>
      </c>
      <c r="B58" s="528" t="s">
        <v>150</v>
      </c>
      <c r="C58" s="528" t="s">
        <v>873</v>
      </c>
      <c r="K58" s="508">
        <v>0.94631315129930094</v>
      </c>
      <c r="L58" s="508">
        <v>0.91265223274695539</v>
      </c>
      <c r="M58" s="508">
        <v>0.8908236594803759</v>
      </c>
      <c r="N58" s="508">
        <v>0.88512611536569941</v>
      </c>
      <c r="O58" s="508">
        <v>0.85390141546340426</v>
      </c>
      <c r="P58" s="508">
        <v>0.84170133409840764</v>
      </c>
      <c r="Q58" s="508">
        <v>0.90247242845815612</v>
      </c>
      <c r="R58" s="508">
        <v>0.87365377665341526</v>
      </c>
      <c r="T58" s="508">
        <f>IF(14800/'Live births'!T58&gt;1,1,14800/'Live births'!T58)</f>
        <v>1</v>
      </c>
    </row>
    <row r="59" spans="1:24">
      <c r="A59" t="str">
        <f>B59&amp;C59</f>
        <v>MexicoGAM</v>
      </c>
      <c r="B59" s="528" t="s">
        <v>761</v>
      </c>
      <c r="C59" s="528" t="s">
        <v>873</v>
      </c>
      <c r="R59" s="508">
        <v>2E-3</v>
      </c>
    </row>
    <row r="60" spans="1:24">
      <c r="A60" t="str">
        <f>B60&amp;C60</f>
        <v>MoldovaGAM</v>
      </c>
      <c r="B60" s="528" t="s">
        <v>230</v>
      </c>
      <c r="C60" s="528" t="s">
        <v>873</v>
      </c>
      <c r="D60" s="809"/>
      <c r="E60" s="809"/>
      <c r="F60" s="809"/>
      <c r="G60" s="809"/>
      <c r="H60" s="809"/>
      <c r="I60" s="809"/>
      <c r="J60" s="809"/>
      <c r="K60" s="809"/>
      <c r="L60" s="809"/>
      <c r="M60" s="809"/>
      <c r="N60" s="808">
        <v>1</v>
      </c>
      <c r="O60" s="808">
        <v>1</v>
      </c>
      <c r="P60" s="808">
        <v>1</v>
      </c>
      <c r="Q60" s="808">
        <v>1</v>
      </c>
      <c r="R60" s="808">
        <v>1</v>
      </c>
      <c r="S60" s="808">
        <f>37864/VLOOKUP($B60,'Live births'!$B$1:'Live births'!$AE$154,MATCH(T1,'Live births'!$B$1:'Live births'!$AE$1,0),0)</f>
        <v>0.96292151975993079</v>
      </c>
      <c r="T60" s="808">
        <f>35675/'Live births'!T59</f>
        <v>0.90725293728701495</v>
      </c>
    </row>
    <row r="61" spans="1:24">
      <c r="A61" t="str">
        <f>B61&amp;C61</f>
        <v>MongoliaGAM</v>
      </c>
      <c r="B61" s="528" t="s">
        <v>178</v>
      </c>
      <c r="C61" s="528" t="s">
        <v>873</v>
      </c>
      <c r="D61" s="751"/>
      <c r="E61" s="431"/>
      <c r="F61" s="431"/>
      <c r="G61" s="431"/>
      <c r="H61" s="431"/>
      <c r="I61" s="431"/>
      <c r="J61" s="431"/>
      <c r="K61" s="431"/>
      <c r="L61" s="431"/>
      <c r="M61" s="431"/>
      <c r="N61" s="431"/>
      <c r="O61" s="431"/>
      <c r="P61" s="431"/>
      <c r="Q61" s="431">
        <v>1</v>
      </c>
      <c r="R61" s="431">
        <v>1</v>
      </c>
      <c r="S61" s="431">
        <v>1</v>
      </c>
      <c r="T61" s="508">
        <f>IF(78516/'Live births'!T61&gt;1,1,78516/'Live births'!T61)</f>
        <v>1</v>
      </c>
    </row>
    <row r="62" spans="1:24">
      <c r="A62" t="str">
        <f>B62&amp;C62</f>
        <v>MoroccoGAM</v>
      </c>
      <c r="B62" s="528" t="s">
        <v>931</v>
      </c>
      <c r="C62" s="528" t="s">
        <v>873</v>
      </c>
      <c r="D62" s="751"/>
      <c r="E62" s="431"/>
      <c r="F62" s="431"/>
      <c r="G62" s="431"/>
      <c r="H62" s="431"/>
      <c r="I62" s="431"/>
      <c r="J62" s="431"/>
      <c r="K62" s="431"/>
      <c r="L62" s="431"/>
      <c r="M62" s="431"/>
      <c r="N62" s="431"/>
      <c r="O62" s="431"/>
      <c r="P62" s="431"/>
      <c r="Q62" s="431"/>
      <c r="R62" s="508">
        <f>500000/VLOOKUP($B62,'Live births'!$B$1:'Live births'!$AE$154,MATCH(R1,'Live births'!$B$1:'Live births'!$AE$1,0),0)</f>
        <v>0.73071746224748235</v>
      </c>
      <c r="S62" s="508">
        <f>500000/VLOOKUP($B62,'Live births'!$B$1:'Live births'!$AE$154,MATCH(S1,'Live births'!$B$1:'Live births'!$AE$1,0),0)</f>
        <v>0.74037877778271366</v>
      </c>
      <c r="T62" s="508">
        <f>557318/VLOOKUP($B62,'Live births'!$B$1:'Live births'!$AE$154,MATCH(T1,'Live births'!$B$1:'Live births'!$AE$1,0),0)</f>
        <v>0.83637929844255088</v>
      </c>
      <c r="X62" s="754" t="s">
        <v>940</v>
      </c>
    </row>
    <row r="63" spans="1:24">
      <c r="A63" t="str">
        <f>B63&amp;C63</f>
        <v>MozambiqueGAM</v>
      </c>
      <c r="B63" s="528" t="s">
        <v>138</v>
      </c>
      <c r="C63" s="528" t="s">
        <v>873</v>
      </c>
      <c r="D63" s="789"/>
      <c r="E63" s="789"/>
      <c r="F63" s="789"/>
      <c r="G63" s="789"/>
      <c r="H63" s="789"/>
      <c r="I63" s="68">
        <v>0.82825013333984765</v>
      </c>
      <c r="J63" s="752"/>
      <c r="K63" s="68">
        <v>0.84531388717817468</v>
      </c>
      <c r="L63" s="68">
        <v>0.9163228874896473</v>
      </c>
      <c r="M63" s="68">
        <v>1</v>
      </c>
      <c r="N63" s="68">
        <v>1</v>
      </c>
      <c r="O63" s="68">
        <v>1</v>
      </c>
      <c r="P63" s="68">
        <v>1</v>
      </c>
      <c r="Q63" s="68">
        <v>0.97428040164976226</v>
      </c>
      <c r="R63" s="68">
        <v>1</v>
      </c>
      <c r="S63" s="344">
        <v>1</v>
      </c>
      <c r="T63" s="508">
        <f>IF(1680116/'Live births'!T63&gt;1,1,1680116/'Live births'!T63)</f>
        <v>1</v>
      </c>
    </row>
    <row r="64" spans="1:24">
      <c r="A64" t="str">
        <f>B64&amp;C64</f>
        <v>MyanmarGAM</v>
      </c>
      <c r="B64" s="528" t="s">
        <v>932</v>
      </c>
      <c r="C64" s="528" t="s">
        <v>873</v>
      </c>
      <c r="D64" s="750"/>
      <c r="E64" s="750"/>
      <c r="F64" s="750"/>
      <c r="G64" s="750"/>
      <c r="H64" s="750"/>
      <c r="I64" s="750"/>
      <c r="J64" s="750"/>
      <c r="K64" s="750"/>
      <c r="L64" s="750"/>
      <c r="M64" s="750"/>
      <c r="N64" s="508">
        <f>785226/VLOOKUP($B64,'Live births'!$B$1:'Live births'!$AE$154,MATCH(N1,'Live births'!$B$1:'Live births'!$AE$1,0),0)</f>
        <v>0.81678323715054857</v>
      </c>
      <c r="O64" s="508">
        <f>845623/VLOOKUP($B64,'Live births'!$B$1:'Live births'!$AE$154,MATCH(O1,'Live births'!$B$1:'Live births'!$AE$1,0),0)</f>
        <v>0.88957512792028548</v>
      </c>
      <c r="P64" s="508">
        <f>934903/VLOOKUP($B64,'Live births'!$B$1:'Live births'!$AE$154,MATCH(P1,'Live births'!$B$1:'Live births'!$AE$1,0),0)</f>
        <v>0.99085667652326903</v>
      </c>
      <c r="Q64" s="508">
        <v>1</v>
      </c>
      <c r="R64" s="508">
        <v>1</v>
      </c>
      <c r="S64" s="508">
        <v>1</v>
      </c>
      <c r="T64" s="508">
        <v>1</v>
      </c>
    </row>
    <row r="65" spans="1:20">
      <c r="A65" t="str">
        <f>B65&amp;C65</f>
        <v>NepalGAM</v>
      </c>
      <c r="B65" s="528" t="s">
        <v>179</v>
      </c>
      <c r="C65" s="528" t="s">
        <v>873</v>
      </c>
      <c r="D65" s="750"/>
      <c r="E65" s="750"/>
      <c r="F65" s="750"/>
      <c r="G65" s="750"/>
      <c r="H65" s="750"/>
      <c r="I65" s="750"/>
      <c r="J65" s="750"/>
      <c r="K65" s="750"/>
      <c r="L65" s="750"/>
      <c r="M65" s="750"/>
      <c r="N65" s="750"/>
      <c r="O65" s="750"/>
      <c r="P65" s="750"/>
      <c r="Q65" s="750">
        <v>1</v>
      </c>
      <c r="R65" s="750">
        <v>1</v>
      </c>
    </row>
    <row r="66" spans="1:20">
      <c r="A66" t="str">
        <f>B66&amp;C66</f>
        <v>NicaraguaGAM</v>
      </c>
      <c r="B66" s="528" t="s">
        <v>359</v>
      </c>
      <c r="C66" s="528" t="s">
        <v>873</v>
      </c>
      <c r="D66" s="750"/>
      <c r="E66" s="750"/>
      <c r="F66" s="750"/>
      <c r="G66" s="750"/>
      <c r="H66" s="750"/>
      <c r="I66" s="750"/>
      <c r="J66" s="750"/>
      <c r="K66" s="750"/>
      <c r="L66" s="750"/>
      <c r="M66" s="750"/>
      <c r="N66" s="750"/>
      <c r="O66" s="750"/>
      <c r="P66" s="750"/>
      <c r="Q66" s="750"/>
      <c r="R66" s="750">
        <v>1</v>
      </c>
      <c r="S66" s="508">
        <v>1</v>
      </c>
      <c r="T66" s="508">
        <f>IF(148399/'Live births'!T66&gt;1,1,148399/'Live births'!T66)</f>
        <v>1</v>
      </c>
    </row>
    <row r="67" spans="1:20">
      <c r="A67" t="str">
        <f>B67&amp;C67</f>
        <v>NigerGAM</v>
      </c>
      <c r="B67" s="528" t="s">
        <v>139</v>
      </c>
      <c r="C67" s="528" t="s">
        <v>873</v>
      </c>
      <c r="D67" s="789"/>
      <c r="E67" s="789"/>
      <c r="F67" s="789"/>
      <c r="G67" s="789"/>
      <c r="H67" s="789"/>
      <c r="I67" s="789"/>
      <c r="J67" s="68"/>
      <c r="K67" s="68">
        <v>0.84262948207171318</v>
      </c>
      <c r="L67" s="753"/>
      <c r="M67" s="753"/>
      <c r="N67" s="753"/>
      <c r="O67" s="68">
        <v>0.63402871656328463</v>
      </c>
      <c r="P67" s="68">
        <v>0.61851532399477605</v>
      </c>
      <c r="Q67" s="68">
        <v>0.39986879372724021</v>
      </c>
      <c r="R67" s="753"/>
      <c r="S67" s="344">
        <v>0.6040504886008411</v>
      </c>
      <c r="T67" s="808">
        <f>830252/'Live births'!T67</f>
        <v>0.73546067941255411</v>
      </c>
    </row>
    <row r="68" spans="1:20">
      <c r="A68" t="str">
        <f>B68&amp;C68</f>
        <v>NigeriaGAM</v>
      </c>
      <c r="B68" s="528" t="s">
        <v>140</v>
      </c>
      <c r="C68" s="528" t="s">
        <v>873</v>
      </c>
      <c r="O68" s="508">
        <v>0.38299776922497275</v>
      </c>
      <c r="P68" s="508">
        <v>0.3995516680868938</v>
      </c>
      <c r="Q68" s="508">
        <v>0.35321978108028762</v>
      </c>
      <c r="R68" s="508">
        <v>0.5348606629165592</v>
      </c>
      <c r="S68" s="508">
        <v>0.41969436212741301</v>
      </c>
      <c r="T68" s="508">
        <f>2919377/'Live births'!T68</f>
        <v>0.38842163384779138</v>
      </c>
    </row>
    <row r="69" spans="1:20">
      <c r="A69" t="str">
        <f>B69&amp;C69</f>
        <v>OmanGAM</v>
      </c>
      <c r="B69" s="528" t="s">
        <v>933</v>
      </c>
      <c r="C69" s="528" t="s">
        <v>873</v>
      </c>
      <c r="P69" s="508">
        <v>1</v>
      </c>
      <c r="Q69" s="508">
        <v>1</v>
      </c>
      <c r="R69" s="508">
        <v>1</v>
      </c>
      <c r="S69" s="508">
        <v>1</v>
      </c>
      <c r="T69" s="508">
        <v>1</v>
      </c>
    </row>
    <row r="70" spans="1:20">
      <c r="A70" t="str">
        <f>B70&amp;C70</f>
        <v>PanamaGAM</v>
      </c>
      <c r="B70" s="528" t="s">
        <v>180</v>
      </c>
      <c r="C70" s="528" t="s">
        <v>873</v>
      </c>
      <c r="N70" s="508">
        <v>0.44898149878527377</v>
      </c>
      <c r="O70" s="508">
        <v>0.80920851041153197</v>
      </c>
      <c r="P70" s="508">
        <v>0.79627066308196026</v>
      </c>
      <c r="R70" s="508">
        <v>0.65526375337761389</v>
      </c>
      <c r="T70" s="508">
        <f>48587/'Live births'!T70</f>
        <v>0.64750722976664843</v>
      </c>
    </row>
    <row r="71" spans="1:20">
      <c r="A71" t="str">
        <f>B71&amp;C71</f>
        <v>Papua New GuineaGAM</v>
      </c>
      <c r="B71" s="528" t="s">
        <v>181</v>
      </c>
      <c r="C71" s="528" t="s">
        <v>873</v>
      </c>
      <c r="D71" s="112"/>
      <c r="E71" s="112"/>
      <c r="F71" s="112"/>
      <c r="G71" s="112"/>
      <c r="H71" s="112"/>
      <c r="I71" s="351">
        <v>0.53907827416540877</v>
      </c>
      <c r="J71" s="394"/>
      <c r="K71" s="394"/>
      <c r="L71" s="344">
        <v>0.60409119045676807</v>
      </c>
      <c r="M71" s="391"/>
      <c r="N71" s="391"/>
      <c r="O71" s="391"/>
      <c r="P71" s="391"/>
      <c r="Q71" s="344">
        <v>0.19982452494747294</v>
      </c>
      <c r="R71" s="344">
        <v>0.22740315310161774</v>
      </c>
      <c r="S71" s="344">
        <v>0.27967223819413584</v>
      </c>
      <c r="T71" s="508">
        <f>52714/'Live births'!T71</f>
        <v>0.23684766248062364</v>
      </c>
    </row>
    <row r="72" spans="1:20">
      <c r="A72" t="str">
        <f>B72&amp;C72</f>
        <v>ParaguayGAM</v>
      </c>
      <c r="B72" s="528" t="s">
        <v>182</v>
      </c>
      <c r="C72" s="528" t="s">
        <v>873</v>
      </c>
      <c r="D72" s="112"/>
      <c r="E72" s="112"/>
      <c r="F72" s="112"/>
      <c r="G72" s="112"/>
      <c r="H72" s="112"/>
      <c r="I72" s="351">
        <v>0.54340074755895451</v>
      </c>
      <c r="J72" s="391"/>
      <c r="K72" s="344">
        <v>0.98652662390770951</v>
      </c>
      <c r="L72" s="344">
        <v>0.73255221599592457</v>
      </c>
      <c r="M72" s="344">
        <v>1</v>
      </c>
      <c r="N72" s="344">
        <v>1</v>
      </c>
      <c r="O72" s="344">
        <v>1</v>
      </c>
      <c r="P72" s="344">
        <v>1</v>
      </c>
      <c r="Q72" s="344">
        <v>0.82317889709998082</v>
      </c>
      <c r="R72" s="344">
        <v>0.78575161736870358</v>
      </c>
      <c r="S72" s="392"/>
      <c r="T72" s="508">
        <f>IF(142018/'Live births'!T72&gt;1,1,142018/'Live births'!T72)</f>
        <v>1</v>
      </c>
    </row>
    <row r="73" spans="1:20">
      <c r="A73" t="str">
        <f>B73&amp;C73</f>
        <v>PeruGAM</v>
      </c>
      <c r="B73" s="528" t="s">
        <v>360</v>
      </c>
      <c r="C73" s="528" t="s">
        <v>873</v>
      </c>
      <c r="R73" s="508">
        <v>0.77484615561717007</v>
      </c>
      <c r="T73" s="508">
        <f>499821/'Live births'!T73</f>
        <v>0.83257708260456753</v>
      </c>
    </row>
    <row r="74" spans="1:20">
      <c r="A74" t="str">
        <f>B74&amp;C74</f>
        <v>Republic of the CongoGAM</v>
      </c>
      <c r="B74" s="528" t="s">
        <v>934</v>
      </c>
      <c r="C74" s="528" t="s">
        <v>873</v>
      </c>
      <c r="P74" s="508">
        <f>38039/VLOOKUP($B74,'Live births'!$B$1:'Live births'!$AE$154,MATCH(P1,'Live births'!$B$1:'Live births'!$AE$1,0),0)</f>
        <v>0.22798321845969433</v>
      </c>
      <c r="Q74" s="508">
        <f>35359/VLOOKUP($B74,'Live births'!$B$1:'Live births'!$AE$154,MATCH(Q1,'Live births'!$B$1:'Live births'!$AE$1,0),0)</f>
        <v>0.20953978168371398</v>
      </c>
      <c r="T74" s="508">
        <f>71343/VLOOKUP($B74,'Live births'!$B$1:'Live births'!$AE$154,MATCH(T1,'Live births'!$B$1:'Live births'!$AE$1,0),0)</f>
        <v>0.40748102328609859</v>
      </c>
    </row>
    <row r="75" spans="1:20">
      <c r="A75" t="str">
        <f>B75&amp;C75</f>
        <v>RwandaGAM</v>
      </c>
      <c r="B75" s="528" t="s">
        <v>953</v>
      </c>
      <c r="C75" s="528" t="s">
        <v>873</v>
      </c>
    </row>
    <row r="76" spans="1:20">
      <c r="A76" t="str">
        <f>B76&amp;C76</f>
        <v>Saint Kitts &amp; NevisGAM</v>
      </c>
      <c r="B76" s="528" t="s">
        <v>361</v>
      </c>
      <c r="C76" s="528" t="s">
        <v>873</v>
      </c>
      <c r="R76" s="508">
        <v>0.95125553914327921</v>
      </c>
      <c r="S76" s="508">
        <v>0.87592319054652878</v>
      </c>
      <c r="T76" s="508">
        <f>591/'Live births'!T76</f>
        <v>0.87296898079763663</v>
      </c>
    </row>
    <row r="77" spans="1:20">
      <c r="A77" t="str">
        <f>B77&amp;C77</f>
        <v>Saint LuciaGAM</v>
      </c>
      <c r="B77" s="528" t="s">
        <v>362</v>
      </c>
      <c r="C77" s="528" t="s">
        <v>873</v>
      </c>
      <c r="R77" s="508">
        <v>0.68181818181818177</v>
      </c>
      <c r="S77" s="508">
        <v>0.68181818181818177</v>
      </c>
      <c r="T77" s="508">
        <f>1895/'Live births'!T77</f>
        <v>0.70524748790472647</v>
      </c>
    </row>
    <row r="78" spans="1:20">
      <c r="A78" t="str">
        <f>B78&amp;C78</f>
        <v>Saint Vincent &amp; the GrenadinesGAM</v>
      </c>
      <c r="B78" s="528" t="s">
        <v>363</v>
      </c>
      <c r="C78" s="528" t="s">
        <v>873</v>
      </c>
      <c r="R78" s="508">
        <v>0.91661703394877903</v>
      </c>
      <c r="S78" s="508">
        <v>0.91661703394877903</v>
      </c>
    </row>
    <row r="79" spans="1:20">
      <c r="A79" t="str">
        <f>B79&amp;C79</f>
        <v>SamoaGAM</v>
      </c>
      <c r="B79" s="528" t="s">
        <v>183</v>
      </c>
      <c r="C79" s="528" t="s">
        <v>873</v>
      </c>
      <c r="M79" s="508">
        <v>1</v>
      </c>
      <c r="N79" s="508">
        <v>0.48614457831325303</v>
      </c>
      <c r="O79" s="508">
        <v>1</v>
      </c>
      <c r="P79" s="508">
        <v>0.60189964897790627</v>
      </c>
      <c r="Q79" s="508">
        <v>0.9421591146377114</v>
      </c>
      <c r="R79" s="508">
        <v>1</v>
      </c>
      <c r="S79" s="508">
        <v>1</v>
      </c>
      <c r="T79" s="508">
        <f>IF(4889/'Live births'!T79&gt;1,1,4889/'Live births'!T79)</f>
        <v>1</v>
      </c>
    </row>
    <row r="80" spans="1:20">
      <c r="A80" t="str">
        <f>B80&amp;C80</f>
        <v>Sao Tome &amp; PrincipeGAM</v>
      </c>
      <c r="B80" s="528" t="s">
        <v>364</v>
      </c>
      <c r="C80" s="528" t="s">
        <v>873</v>
      </c>
      <c r="D80" s="112"/>
      <c r="E80" s="112"/>
      <c r="F80" s="112"/>
      <c r="G80" s="112"/>
      <c r="H80" s="112"/>
      <c r="I80" s="810">
        <v>1</v>
      </c>
      <c r="J80" s="811"/>
      <c r="K80" s="344">
        <v>0.9805491990846682</v>
      </c>
      <c r="L80" s="344">
        <v>1</v>
      </c>
      <c r="M80" s="344">
        <v>0.99648056310990241</v>
      </c>
      <c r="N80" s="391"/>
      <c r="O80" s="344">
        <v>0.96156875098440697</v>
      </c>
      <c r="P80" s="344">
        <v>1</v>
      </c>
      <c r="Q80" s="391"/>
      <c r="R80" s="344">
        <v>1</v>
      </c>
      <c r="S80" s="808"/>
      <c r="T80" s="808">
        <f>5655/'Live births'!T80</f>
        <v>0.86719828247201347</v>
      </c>
    </row>
    <row r="81" spans="1:20">
      <c r="A81" t="str">
        <f>B81&amp;C81</f>
        <v>Saudi ArabiaGAM</v>
      </c>
      <c r="B81" s="528" t="s">
        <v>935</v>
      </c>
      <c r="C81" s="528" t="s">
        <v>873</v>
      </c>
      <c r="O81" s="508">
        <f>504172/VLOOKUP($B81,'Live births'!$B$1:'Live births'!$AE$154,MATCH(O1,'Live births'!$B$1:'Live births'!$AE$1,0),0)</f>
        <v>0.81252538275584207</v>
      </c>
      <c r="Q81" s="508">
        <f>217502/VLOOKUP($B81,'Live births'!$B$1:'Live births'!$AE$154,MATCH(Q1,'Live births'!$B$1:'Live births'!$AE$1,0),0)</f>
        <v>0.35273835974116541</v>
      </c>
      <c r="R81" s="508">
        <f>253398/VLOOKUP($B81,'Live births'!$B$1:'Live births'!$AE$154,MATCH(R1,'Live births'!$B$1:'Live births'!$AE$1,0),0)</f>
        <v>0.41314711675166632</v>
      </c>
      <c r="S81" s="508">
        <f>268172/VLOOKUP($B81,'Live births'!$B$1:'Live births'!$AE$154,MATCH(S1,'Live births'!$B$1:'Live births'!$AE$1,0),0)</f>
        <v>0.43988511271387587</v>
      </c>
      <c r="T81" s="508">
        <f>289245/VLOOKUP($B81,'Live births'!$B$1:'Live births'!$AE$154,MATCH(T1,'Live births'!$B$1:'Live births'!$AE$1,0),0)</f>
        <v>0.47746822738610306</v>
      </c>
    </row>
    <row r="82" spans="1:20">
      <c r="A82" t="str">
        <f>B82&amp;C82</f>
        <v>SenegalGAM</v>
      </c>
      <c r="B82" s="528" t="s">
        <v>141</v>
      </c>
      <c r="C82" s="528" t="s">
        <v>873</v>
      </c>
      <c r="O82" s="508">
        <v>0.8871012750611772</v>
      </c>
      <c r="P82" s="508">
        <v>0.80225827375664505</v>
      </c>
      <c r="Q82" s="508">
        <v>0.57907684058238462</v>
      </c>
      <c r="R82" s="508">
        <v>0.8137861339843232</v>
      </c>
      <c r="S82" s="508">
        <v>0.99121210315264308</v>
      </c>
      <c r="T82" s="508">
        <f>549667/'Live births'!T82</f>
        <v>0.92541517388142125</v>
      </c>
    </row>
    <row r="83" spans="1:20">
      <c r="A83" t="str">
        <f>B83&amp;C83</f>
        <v>SeychellesGAM</v>
      </c>
      <c r="B83" s="528" t="s">
        <v>151</v>
      </c>
      <c r="C83" s="528" t="s">
        <v>873</v>
      </c>
      <c r="L83" s="508">
        <v>1</v>
      </c>
      <c r="M83" s="508">
        <v>0.97207678883071558</v>
      </c>
      <c r="N83" s="508">
        <v>0.96335697399527187</v>
      </c>
      <c r="O83" s="508">
        <v>1</v>
      </c>
      <c r="P83" s="508">
        <v>1</v>
      </c>
      <c r="Q83" s="508">
        <v>1</v>
      </c>
      <c r="R83" s="508">
        <v>1</v>
      </c>
      <c r="S83" s="508">
        <v>1</v>
      </c>
      <c r="T83" s="508">
        <f>IF(1587/'Live births'!T83&gt;1,1,1587/'Live births'!T83)</f>
        <v>1</v>
      </c>
    </row>
    <row r="84" spans="1:20">
      <c r="A84" t="str">
        <f>B84&amp;C84</f>
        <v>Sierra LeoneGAM</v>
      </c>
      <c r="B84" s="528" t="s">
        <v>936</v>
      </c>
      <c r="C84" s="528" t="s">
        <v>873</v>
      </c>
      <c r="Q84" s="508">
        <f>201126/VLOOKUP($B84,'Live births'!$B$1:'Live births'!$AE$154,MATCH(Q1,'Live births'!$B$1:'Live births'!$AE$1,0),0)</f>
        <v>0.87265485343376314</v>
      </c>
      <c r="R84" s="508">
        <v>1</v>
      </c>
      <c r="S84" s="508">
        <f>218549/VLOOKUP($B84,'Live births'!$B$1:'Live births'!$AE$154,MATCH(S1,'Live births'!$B$1:'Live births'!$AE$1,0),0)</f>
        <v>0.93827250597826783</v>
      </c>
      <c r="T84" s="508">
        <v>1</v>
      </c>
    </row>
    <row r="85" spans="1:20">
      <c r="A85" t="str">
        <f>B85&amp;C85</f>
        <v>SomaliaGAM</v>
      </c>
      <c r="B85" s="528" t="s">
        <v>937</v>
      </c>
      <c r="C85" s="528" t="s">
        <v>873</v>
      </c>
      <c r="O85" s="508">
        <v>1</v>
      </c>
      <c r="P85" s="508">
        <f>31058/VLOOKUP($B85,'Live births'!$B$1:'Live births'!$AE$154,MATCH(P$1,'Live births'!$B$1:'Live births'!$AE$1,0),0)</f>
        <v>6.5958056809131929E-2</v>
      </c>
      <c r="Q85" s="508">
        <f>72761/VLOOKUP($B85,'Live births'!$B$1:'Live births'!$AE$154,MATCH(Q$1,'Live births'!$B$1:'Live births'!$AE$1,0),0)</f>
        <v>0.15121776846708107</v>
      </c>
      <c r="S85" s="508">
        <v>1</v>
      </c>
      <c r="T85" s="508">
        <v>1</v>
      </c>
    </row>
    <row r="86" spans="1:20">
      <c r="A86" t="str">
        <f>B86&amp;C86</f>
        <v>Solomon IslandsGAM</v>
      </c>
      <c r="B86" s="528" t="s">
        <v>950</v>
      </c>
      <c r="C86" s="528" t="s">
        <v>873</v>
      </c>
    </row>
    <row r="87" spans="1:20">
      <c r="A87" t="str">
        <f>B87&amp;C87</f>
        <v>South AfricaGAM</v>
      </c>
      <c r="B87" s="528" t="s">
        <v>0</v>
      </c>
      <c r="C87" s="528" t="s">
        <v>873</v>
      </c>
      <c r="D87" s="306"/>
      <c r="E87" s="306"/>
      <c r="F87" s="306"/>
      <c r="G87" s="306"/>
      <c r="H87" s="306"/>
      <c r="I87" s="375"/>
      <c r="J87" s="306"/>
      <c r="K87" s="306">
        <v>1</v>
      </c>
      <c r="L87" s="539"/>
      <c r="M87" s="539"/>
      <c r="N87" s="539"/>
      <c r="O87" s="539"/>
      <c r="P87" s="539"/>
      <c r="R87" s="306">
        <v>0.8776159513182078</v>
      </c>
      <c r="S87" s="539"/>
    </row>
    <row r="88" spans="1:20">
      <c r="A88" t="str">
        <f>B88&amp;C88</f>
        <v>South SudanGAM</v>
      </c>
      <c r="B88" s="528" t="s">
        <v>938</v>
      </c>
      <c r="C88" s="528" t="s">
        <v>873</v>
      </c>
      <c r="S88" s="508">
        <f>93273/VLOOKUP($B88,'Live births'!$B$1:'Live births'!$AE$154,MATCH(S$1,'Live births'!$B$1:'Live births'!$AE$1,0),0)</f>
        <v>0.19677308428249859</v>
      </c>
      <c r="T88" s="508">
        <f>417641/VLOOKUP($B88,'Live births'!$B$1:'Live births'!$AE$154,MATCH(T$1,'Live births'!$B$1:'Live births'!$AE$1,0),0)</f>
        <v>0.86663152892742046</v>
      </c>
    </row>
    <row r="89" spans="1:20">
      <c r="A89" t="str">
        <f>B89&amp;C89</f>
        <v>Sri LankaGAM</v>
      </c>
      <c r="B89" s="528" t="s">
        <v>374</v>
      </c>
      <c r="C89" s="528" t="s">
        <v>873</v>
      </c>
      <c r="M89" s="508">
        <v>1</v>
      </c>
      <c r="N89" s="508">
        <v>1</v>
      </c>
      <c r="O89" s="508">
        <v>1</v>
      </c>
      <c r="P89" s="508">
        <v>1</v>
      </c>
      <c r="Q89" s="508">
        <v>1</v>
      </c>
      <c r="R89" s="508">
        <v>1</v>
      </c>
      <c r="S89" s="508">
        <v>1</v>
      </c>
      <c r="T89" s="508">
        <f>IF(335369/'Live births'!T89&gt;1,1,335369/'Live births'!T89)</f>
        <v>1</v>
      </c>
    </row>
    <row r="90" spans="1:20">
      <c r="A90" t="str">
        <f>B90&amp;C90</f>
        <v>SurinameGAM</v>
      </c>
      <c r="B90" s="528" t="s">
        <v>365</v>
      </c>
      <c r="C90" s="528" t="s">
        <v>873</v>
      </c>
    </row>
    <row r="91" spans="1:20">
      <c r="A91" t="str">
        <f>B91&amp;C91</f>
        <v>TanzaniaGAM</v>
      </c>
      <c r="B91" s="528" t="s">
        <v>143</v>
      </c>
      <c r="C91" s="528" t="s">
        <v>873</v>
      </c>
      <c r="D91" s="112"/>
      <c r="E91" s="112"/>
      <c r="F91" s="112"/>
      <c r="G91" s="344">
        <v>0.88866177299636318</v>
      </c>
      <c r="H91" s="391"/>
      <c r="I91" s="394"/>
      <c r="J91" s="391"/>
      <c r="K91" s="344">
        <v>0.92068367251242611</v>
      </c>
      <c r="L91" s="391"/>
      <c r="M91" s="391"/>
      <c r="N91" s="391"/>
      <c r="O91" s="391"/>
      <c r="P91" s="344">
        <v>0.93623820524508439</v>
      </c>
      <c r="Q91" s="344">
        <v>0.94047423837776611</v>
      </c>
      <c r="R91" s="344">
        <v>0.97614738890376218</v>
      </c>
      <c r="S91" s="344">
        <v>1</v>
      </c>
      <c r="T91" s="508">
        <f>IF(2385547/'Live births'!T91&gt;1,1,2385547/'Live births'!T91)</f>
        <v>1</v>
      </c>
    </row>
    <row r="92" spans="1:20">
      <c r="A92" t="str">
        <f>B92&amp;C92</f>
        <v>ThailandGAM</v>
      </c>
      <c r="B92" s="528" t="s">
        <v>185</v>
      </c>
      <c r="C92" s="528" t="s">
        <v>873</v>
      </c>
      <c r="D92" s="112"/>
      <c r="E92" s="112"/>
      <c r="F92" s="112"/>
      <c r="G92" s="112"/>
      <c r="H92" s="112"/>
      <c r="I92" s="1"/>
      <c r="J92" s="344"/>
      <c r="K92" s="344"/>
      <c r="L92" s="344"/>
      <c r="M92" s="344">
        <v>0.50652417573588782</v>
      </c>
      <c r="N92" s="344">
        <v>1</v>
      </c>
      <c r="O92" s="344">
        <v>1</v>
      </c>
      <c r="P92" s="391"/>
      <c r="Q92" s="344">
        <v>0.98299999999999998</v>
      </c>
      <c r="R92" s="344">
        <v>0.79560014398890233</v>
      </c>
      <c r="T92" s="508">
        <f>609429/'Live births'!T92</f>
        <v>0.93088784511398781</v>
      </c>
    </row>
    <row r="93" spans="1:20">
      <c r="A93" t="str">
        <f>B93&amp;C93</f>
        <v>TogoGAM</v>
      </c>
      <c r="B93" s="528" t="s">
        <v>142</v>
      </c>
      <c r="C93" s="528" t="s">
        <v>873</v>
      </c>
      <c r="D93" s="112"/>
      <c r="E93" s="112"/>
      <c r="F93" s="112"/>
      <c r="G93" s="112"/>
      <c r="H93" s="112"/>
      <c r="I93" s="351">
        <v>0.56484261085856424</v>
      </c>
      <c r="J93" s="391"/>
      <c r="K93" s="391"/>
      <c r="L93" s="391"/>
      <c r="M93" s="391"/>
      <c r="N93" s="344">
        <v>0.2626027758467771</v>
      </c>
      <c r="O93" s="344">
        <v>0.74725530588244582</v>
      </c>
      <c r="P93" s="344">
        <v>0.9121736485854206</v>
      </c>
      <c r="Q93" s="344">
        <v>0.77683074848280509</v>
      </c>
      <c r="R93" s="344">
        <v>1</v>
      </c>
      <c r="S93" s="344">
        <v>0.80259991639898021</v>
      </c>
      <c r="T93" s="508">
        <f>216713/'Live births'!T93</f>
        <v>0.80697449264568977</v>
      </c>
    </row>
    <row r="94" spans="1:20">
      <c r="A94" t="str">
        <f>B94&amp;C94</f>
        <v>Trinidad &amp; TobagoGAM</v>
      </c>
      <c r="B94" s="528" t="s">
        <v>366</v>
      </c>
      <c r="C94" s="528" t="s">
        <v>873</v>
      </c>
      <c r="R94" s="508">
        <v>1</v>
      </c>
      <c r="S94" s="508">
        <v>1</v>
      </c>
    </row>
    <row r="95" spans="1:20">
      <c r="A95" t="str">
        <f>B95&amp;C95</f>
        <v>UgandaGAM</v>
      </c>
      <c r="B95" s="528" t="s">
        <v>144</v>
      </c>
      <c r="C95" s="528" t="s">
        <v>873</v>
      </c>
      <c r="D95" s="112"/>
      <c r="E95" s="112"/>
      <c r="F95" s="112"/>
      <c r="G95" s="112"/>
      <c r="H95" s="112"/>
      <c r="I95" s="1"/>
      <c r="J95" s="344"/>
      <c r="K95" s="344"/>
      <c r="L95" s="344"/>
      <c r="M95" s="344"/>
      <c r="N95" s="344">
        <v>0.95084979617434928</v>
      </c>
      <c r="O95" s="344">
        <v>0.95823647525792677</v>
      </c>
      <c r="P95" s="391"/>
      <c r="Q95" s="344">
        <v>1</v>
      </c>
      <c r="R95" s="391"/>
      <c r="S95" s="344">
        <v>1</v>
      </c>
      <c r="T95" s="508">
        <f>IF(1828402/'Live births'!T95&gt;1,1,1828402/'Live births'!T95)</f>
        <v>1</v>
      </c>
    </row>
    <row r="96" spans="1:20">
      <c r="A96" t="str">
        <f>B96&amp;C96</f>
        <v>UkraineGAM</v>
      </c>
      <c r="B96" s="528" t="s">
        <v>186</v>
      </c>
      <c r="C96" s="528" t="s">
        <v>873</v>
      </c>
      <c r="D96" s="112"/>
      <c r="E96" s="112"/>
      <c r="F96" s="112"/>
      <c r="G96" s="112"/>
      <c r="H96" s="112"/>
      <c r="I96" s="1"/>
      <c r="J96" s="344"/>
      <c r="K96" s="344"/>
      <c r="L96" s="344">
        <v>1</v>
      </c>
      <c r="M96" s="391"/>
      <c r="N96" s="344">
        <v>1</v>
      </c>
      <c r="O96" s="344">
        <v>0.90213988865686701</v>
      </c>
      <c r="P96" s="344">
        <v>0.82053171811260306</v>
      </c>
      <c r="Q96" s="344">
        <v>0.82794539257673838</v>
      </c>
      <c r="R96" s="344">
        <v>0.76611823547737934</v>
      </c>
      <c r="S96" s="344">
        <v>0.70071084535325667</v>
      </c>
      <c r="T96" s="508">
        <f>306848/'Live births'!T96</f>
        <v>0.66549262173486823</v>
      </c>
    </row>
    <row r="97" spans="1:20">
      <c r="A97" t="str">
        <f>B97&amp;C97</f>
        <v>UruguayGAM</v>
      </c>
      <c r="B97" s="528" t="s">
        <v>187</v>
      </c>
      <c r="C97" s="528" t="s">
        <v>873</v>
      </c>
      <c r="D97" s="112"/>
      <c r="E97" s="112"/>
      <c r="F97" s="112"/>
      <c r="G97" s="112"/>
      <c r="H97" s="112"/>
      <c r="I97" s="1"/>
      <c r="J97" s="344">
        <v>0.76472231645746447</v>
      </c>
      <c r="K97" s="391"/>
      <c r="L97" s="391"/>
      <c r="M97" s="344">
        <v>0.90288836529086769</v>
      </c>
      <c r="N97" s="344">
        <v>0.96287224705570185</v>
      </c>
      <c r="O97" s="391"/>
      <c r="P97" s="344">
        <v>0.97745289817769998</v>
      </c>
      <c r="Q97" s="391"/>
      <c r="R97" s="344">
        <v>0.97657044431070616</v>
      </c>
      <c r="T97" s="508">
        <f>35343/'Live births'!T97</f>
        <v>0.7389913436206248</v>
      </c>
    </row>
    <row r="98" spans="1:20">
      <c r="A98" t="str">
        <f>B98&amp;C98</f>
        <v>VenezuelaGAM</v>
      </c>
      <c r="B98" s="528" t="s">
        <v>188</v>
      </c>
      <c r="C98" s="528" t="s">
        <v>873</v>
      </c>
      <c r="P98" s="508">
        <v>0.70277182299703878</v>
      </c>
      <c r="Q98" s="508">
        <v>0.60108530475297284</v>
      </c>
      <c r="T98" s="508">
        <f>86533/'Live births'!T98</f>
        <v>0.14602754058523743</v>
      </c>
    </row>
    <row r="99" spans="1:20">
      <c r="A99" t="str">
        <f>B99&amp;C99</f>
        <v>ZambiaGAM</v>
      </c>
      <c r="B99" s="528" t="s">
        <v>124</v>
      </c>
      <c r="C99" s="528" t="s">
        <v>873</v>
      </c>
      <c r="K99" s="508">
        <v>1</v>
      </c>
      <c r="L99" s="508">
        <v>1</v>
      </c>
      <c r="M99" s="508">
        <v>1</v>
      </c>
      <c r="N99" s="508">
        <v>1</v>
      </c>
      <c r="O99" s="508">
        <v>1</v>
      </c>
      <c r="P99" s="508">
        <v>1</v>
      </c>
      <c r="Q99" s="508">
        <v>1</v>
      </c>
      <c r="R99" s="508">
        <v>1</v>
      </c>
      <c r="S99" s="508">
        <v>1</v>
      </c>
      <c r="T99" s="508">
        <f>IF(779499/'Live births'!T99&gt;1,1,779499/'Live births'!T99)</f>
        <v>1</v>
      </c>
    </row>
    <row r="100" spans="1:20">
      <c r="A100" t="str">
        <f>B100&amp;C100</f>
        <v>ZimbabweGAM</v>
      </c>
      <c r="B100" s="528" t="s">
        <v>125</v>
      </c>
      <c r="C100" s="528" t="s">
        <v>873</v>
      </c>
      <c r="D100" s="112"/>
      <c r="E100" s="112"/>
      <c r="F100" s="112"/>
      <c r="G100" s="112"/>
      <c r="H100" s="112"/>
      <c r="I100" s="351">
        <v>0.5401137834007681</v>
      </c>
      <c r="J100" s="394"/>
      <c r="K100" s="344">
        <v>0.77623386038127706</v>
      </c>
      <c r="L100" s="402">
        <v>0.73934661685506242</v>
      </c>
      <c r="M100" s="402">
        <v>0.82139338920631066</v>
      </c>
      <c r="N100" s="401">
        <v>0.77018838431074133</v>
      </c>
      <c r="O100" s="402">
        <v>0.8006386445096122</v>
      </c>
      <c r="P100" s="402">
        <v>0.80316403523103663</v>
      </c>
      <c r="Q100" s="402">
        <v>0.77807861510834786</v>
      </c>
      <c r="R100" s="402">
        <v>0.81062743317378905</v>
      </c>
      <c r="S100" s="402">
        <v>0.83613581818249683</v>
      </c>
      <c r="T100" s="508">
        <f>444829/'Live births'!T100</f>
        <v>0.83254227010192738</v>
      </c>
    </row>
    <row r="101" spans="1:20">
      <c r="A101" t="str">
        <f>B101&amp;C101</f>
        <v>AfghanistanWorkshops</v>
      </c>
      <c r="B101" s="540" t="s">
        <v>928</v>
      </c>
      <c r="C101" s="528" t="s">
        <v>877</v>
      </c>
      <c r="D101" s="112"/>
      <c r="E101" s="112"/>
      <c r="F101" s="112"/>
      <c r="G101" s="112"/>
      <c r="H101" s="112"/>
      <c r="I101" s="351"/>
      <c r="J101" s="394"/>
      <c r="K101" s="344"/>
      <c r="L101" s="402"/>
      <c r="M101" s="402"/>
      <c r="N101" s="401"/>
      <c r="O101" s="402"/>
      <c r="P101" s="402"/>
      <c r="Q101" s="402"/>
      <c r="R101" s="402"/>
      <c r="S101" s="402"/>
    </row>
    <row r="102" spans="1:20">
      <c r="A102" t="str">
        <f>B102&amp;C102</f>
        <v>AngolaWorkshops</v>
      </c>
      <c r="B102" s="528" t="s">
        <v>929</v>
      </c>
      <c r="C102" s="528" t="s">
        <v>877</v>
      </c>
      <c r="D102" s="112"/>
      <c r="E102" s="112"/>
      <c r="F102" s="112"/>
      <c r="G102" s="112"/>
      <c r="H102" s="112"/>
      <c r="I102" s="351"/>
      <c r="J102" s="394"/>
      <c r="K102" s="344"/>
      <c r="L102" s="402"/>
      <c r="M102" s="402"/>
      <c r="N102" s="401"/>
      <c r="O102" s="402"/>
      <c r="P102" s="402"/>
      <c r="Q102" s="402"/>
      <c r="R102" s="402"/>
      <c r="S102" s="402"/>
    </row>
    <row r="103" spans="1:20">
      <c r="A103" t="str">
        <f>B103&amp;C103</f>
        <v>Antigua &amp; BarbudaWorkshops</v>
      </c>
      <c r="B103" s="528" t="s">
        <v>343</v>
      </c>
      <c r="C103" s="528" t="s">
        <v>877</v>
      </c>
    </row>
    <row r="104" spans="1:20">
      <c r="A104" t="str">
        <f>B104&amp;C104</f>
        <v>ArgentinaWorkshops</v>
      </c>
      <c r="B104" s="528" t="s">
        <v>344</v>
      </c>
      <c r="C104" s="528" t="s">
        <v>877</v>
      </c>
    </row>
    <row r="105" spans="1:20">
      <c r="A105" t="str">
        <f>B105&amp;C105</f>
        <v>BahamasWorkshops</v>
      </c>
      <c r="B105" s="528" t="s">
        <v>345</v>
      </c>
      <c r="C105" s="528" t="s">
        <v>877</v>
      </c>
    </row>
    <row r="106" spans="1:20">
      <c r="A106" t="str">
        <f>B106&amp;C106</f>
        <v>BangladeshWorkshops</v>
      </c>
      <c r="B106" s="528" t="s">
        <v>865</v>
      </c>
      <c r="C106" s="528" t="s">
        <v>877</v>
      </c>
    </row>
    <row r="107" spans="1:20">
      <c r="A107" t="str">
        <f>B107&amp;C107</f>
        <v>BarbadosWorkshops</v>
      </c>
      <c r="B107" s="528" t="s">
        <v>346</v>
      </c>
      <c r="C107" s="528" t="s">
        <v>877</v>
      </c>
    </row>
    <row r="108" spans="1:20">
      <c r="A108" t="str">
        <f>B108&amp;C108</f>
        <v>BelarusWorkshops</v>
      </c>
      <c r="B108" s="528" t="s">
        <v>166</v>
      </c>
      <c r="C108" s="528" t="s">
        <v>877</v>
      </c>
    </row>
    <row r="109" spans="1:20">
      <c r="A109" t="str">
        <f>B109&amp;C109</f>
        <v>BelizeWorkshops</v>
      </c>
      <c r="B109" s="528" t="s">
        <v>368</v>
      </c>
      <c r="C109" s="528" t="s">
        <v>877</v>
      </c>
    </row>
    <row r="110" spans="1:20">
      <c r="A110" t="str">
        <f>B110&amp;C110</f>
        <v>BeninWorkshops</v>
      </c>
      <c r="B110" s="528" t="s">
        <v>126</v>
      </c>
      <c r="C110" s="528" t="s">
        <v>877</v>
      </c>
    </row>
    <row r="111" spans="1:20">
      <c r="A111" t="str">
        <f>B111&amp;C111</f>
        <v>BhutanWorkshops</v>
      </c>
      <c r="B111" s="528" t="s">
        <v>951</v>
      </c>
      <c r="C111" s="528" t="s">
        <v>877</v>
      </c>
    </row>
    <row r="112" spans="1:20">
      <c r="A112" t="str">
        <f>B112&amp;C112</f>
        <v>BoliviaWorkshops</v>
      </c>
      <c r="B112" s="528" t="s">
        <v>798</v>
      </c>
      <c r="C112" s="528" t="s">
        <v>877</v>
      </c>
    </row>
    <row r="113" spans="1:20">
      <c r="A113" t="str">
        <f>B113&amp;C113</f>
        <v>BotswanaWorkshops</v>
      </c>
      <c r="B113" s="528" t="s">
        <v>834</v>
      </c>
      <c r="C113" s="528" t="s">
        <v>877</v>
      </c>
    </row>
    <row r="114" spans="1:20">
      <c r="A114" t="str">
        <f>B114&amp;C114</f>
        <v>BrazilWorkshops</v>
      </c>
      <c r="B114" s="528" t="s">
        <v>167</v>
      </c>
      <c r="C114" s="528" t="s">
        <v>877</v>
      </c>
    </row>
    <row r="115" spans="1:20">
      <c r="A115" t="str">
        <f>B115&amp;C115</f>
        <v>BruneiWorkshops</v>
      </c>
      <c r="B115" s="528" t="s">
        <v>952</v>
      </c>
      <c r="C115" s="528" t="s">
        <v>877</v>
      </c>
    </row>
    <row r="116" spans="1:20">
      <c r="A116" t="str">
        <f>B116&amp;C116</f>
        <v>Burkina FasoWorkshops</v>
      </c>
      <c r="B116" s="528" t="s">
        <v>168</v>
      </c>
      <c r="C116" s="528" t="s">
        <v>877</v>
      </c>
    </row>
    <row r="117" spans="1:20">
      <c r="A117" t="str">
        <f>B117&amp;C117</f>
        <v>BurundiWorkshops</v>
      </c>
      <c r="B117" s="528" t="s">
        <v>165</v>
      </c>
      <c r="C117" s="528" t="s">
        <v>877</v>
      </c>
    </row>
    <row r="118" spans="1:20">
      <c r="A118" t="str">
        <f>B118&amp;C118</f>
        <v>Cabo VerdeWorkshops</v>
      </c>
      <c r="B118" s="528" t="s">
        <v>149</v>
      </c>
      <c r="C118" s="528" t="s">
        <v>877</v>
      </c>
    </row>
    <row r="119" spans="1:20">
      <c r="A119" t="str">
        <f>B119&amp;C119</f>
        <v>CambodiaWorkshops</v>
      </c>
      <c r="B119" s="528" t="s">
        <v>169</v>
      </c>
      <c r="C119" s="528" t="s">
        <v>877</v>
      </c>
      <c r="D119" s="808"/>
      <c r="E119" s="808"/>
      <c r="F119" s="808"/>
      <c r="G119" s="808"/>
      <c r="H119" s="808"/>
      <c r="I119" s="808"/>
      <c r="J119" s="808"/>
      <c r="K119" s="808"/>
      <c r="L119" s="808"/>
      <c r="M119" s="808"/>
      <c r="N119" s="808"/>
      <c r="O119" s="808"/>
      <c r="P119" s="808"/>
      <c r="Q119" s="808"/>
      <c r="R119" s="808"/>
      <c r="S119" s="808"/>
      <c r="T119" s="808"/>
    </row>
    <row r="120" spans="1:20">
      <c r="A120" t="str">
        <f>B120&amp;C120</f>
        <v>Central African RepublicWorkshops</v>
      </c>
      <c r="B120" s="528" t="s">
        <v>153</v>
      </c>
      <c r="C120" s="528" t="s">
        <v>877</v>
      </c>
    </row>
    <row r="121" spans="1:20">
      <c r="A121" t="str">
        <f>B121&amp;C121</f>
        <v>ChileWorkshops</v>
      </c>
      <c r="B121" s="528" t="s">
        <v>170</v>
      </c>
      <c r="C121" s="528" t="s">
        <v>877</v>
      </c>
    </row>
    <row r="122" spans="1:20">
      <c r="A122" t="str">
        <f>B122&amp;C122</f>
        <v>ChinaWorkshops</v>
      </c>
      <c r="B122" s="528" t="s">
        <v>349</v>
      </c>
      <c r="C122" s="528" t="s">
        <v>877</v>
      </c>
    </row>
    <row r="123" spans="1:20" ht="17" thickBot="1">
      <c r="A123" t="str">
        <f>B123&amp;C123</f>
        <v>ColombiaWorkshops</v>
      </c>
      <c r="B123" s="528" t="s">
        <v>171</v>
      </c>
      <c r="C123" s="528" t="s">
        <v>877</v>
      </c>
    </row>
    <row r="124" spans="1:20" ht="17" thickBot="1">
      <c r="A124" t="str">
        <f>B124&amp;C124</f>
        <v>Costa RicaWorkshops</v>
      </c>
      <c r="B124" s="528" t="s">
        <v>350</v>
      </c>
      <c r="C124" s="528" t="s">
        <v>877</v>
      </c>
      <c r="D124" s="739"/>
      <c r="E124" s="739"/>
      <c r="F124" s="739"/>
      <c r="G124" s="739"/>
      <c r="H124" s="739"/>
      <c r="I124" s="739"/>
      <c r="J124" s="739"/>
      <c r="K124" s="739"/>
      <c r="L124" s="739"/>
      <c r="M124" s="739"/>
      <c r="N124" s="739"/>
      <c r="O124" s="739"/>
      <c r="P124" s="739"/>
      <c r="Q124" s="739"/>
      <c r="R124" s="739"/>
      <c r="S124" s="739"/>
      <c r="T124" s="739"/>
    </row>
    <row r="125" spans="1:20">
      <c r="A125" t="str">
        <f>B125&amp;C125</f>
        <v>CubaWorkshops</v>
      </c>
      <c r="B125" s="528" t="s">
        <v>164</v>
      </c>
      <c r="C125" s="528" t="s">
        <v>877</v>
      </c>
    </row>
    <row r="126" spans="1:20">
      <c r="A126" t="str">
        <f>B126&amp;C126</f>
        <v>Democratic Republic of CongoWorkshops</v>
      </c>
      <c r="B126" s="528" t="s">
        <v>152</v>
      </c>
      <c r="C126" s="528" t="s">
        <v>877</v>
      </c>
    </row>
    <row r="127" spans="1:20">
      <c r="A127" t="str">
        <f>B127&amp;C127</f>
        <v>DominicaWorkshops</v>
      </c>
      <c r="B127" s="528" t="s">
        <v>351</v>
      </c>
      <c r="C127" s="528" t="s">
        <v>877</v>
      </c>
    </row>
    <row r="128" spans="1:20" ht="17" thickBot="1">
      <c r="A128" t="str">
        <f>B128&amp;C128</f>
        <v>Dominican RepublicWorkshops</v>
      </c>
      <c r="B128" s="528" t="s">
        <v>172</v>
      </c>
      <c r="C128" s="528" t="s">
        <v>877</v>
      </c>
    </row>
    <row r="129" spans="1:20" ht="17" thickBot="1">
      <c r="A129" t="str">
        <f>B129&amp;C129</f>
        <v>EcuadorWorkshops</v>
      </c>
      <c r="B129" s="528" t="s">
        <v>352</v>
      </c>
      <c r="C129" s="528" t="s">
        <v>877</v>
      </c>
      <c r="D129" s="739"/>
      <c r="E129" s="739"/>
      <c r="F129" s="739"/>
      <c r="G129" s="739"/>
      <c r="H129" s="739"/>
      <c r="I129" s="739"/>
      <c r="J129" s="739"/>
      <c r="K129" s="739"/>
      <c r="L129" s="739"/>
      <c r="M129" s="739"/>
      <c r="N129" s="739"/>
      <c r="O129" s="739"/>
      <c r="P129" s="739"/>
      <c r="Q129" s="739"/>
      <c r="R129" s="739"/>
      <c r="S129" s="739"/>
    </row>
    <row r="130" spans="1:20">
      <c r="A130" t="str">
        <f>B130&amp;C130</f>
        <v>El SalvadorWorkshops</v>
      </c>
      <c r="B130" s="528" t="s">
        <v>353</v>
      </c>
      <c r="C130" s="528" t="s">
        <v>877</v>
      </c>
      <c r="D130" s="740"/>
      <c r="E130" s="740"/>
      <c r="F130" s="740"/>
      <c r="G130" s="740"/>
      <c r="H130" s="740"/>
      <c r="I130" s="740"/>
      <c r="J130" s="740"/>
      <c r="K130" s="740"/>
      <c r="L130" s="740"/>
      <c r="M130" s="740"/>
      <c r="N130" s="740"/>
      <c r="O130" s="740"/>
      <c r="P130" s="740"/>
      <c r="Q130" s="740"/>
      <c r="R130" s="740">
        <v>0.84</v>
      </c>
      <c r="S130" s="740">
        <v>0.84</v>
      </c>
      <c r="T130" s="740"/>
    </row>
    <row r="131" spans="1:20">
      <c r="A131" t="str">
        <f>B131&amp;C131</f>
        <v>Equatorial GuineaWorkshops</v>
      </c>
      <c r="B131" s="528" t="s">
        <v>129</v>
      </c>
      <c r="C131" s="528" t="s">
        <v>877</v>
      </c>
    </row>
    <row r="132" spans="1:20">
      <c r="A132" t="str">
        <f>B132&amp;C132</f>
        <v>EritreaWorkshops</v>
      </c>
      <c r="B132" s="528" t="s">
        <v>128</v>
      </c>
      <c r="C132" s="528" t="s">
        <v>877</v>
      </c>
    </row>
    <row r="133" spans="1:20">
      <c r="A133" t="str">
        <f>B133&amp;C133</f>
        <v>EswatiniWorkshops</v>
      </c>
      <c r="B133" s="528" t="s">
        <v>835</v>
      </c>
      <c r="C133" s="528" t="s">
        <v>877</v>
      </c>
      <c r="D133" s="808"/>
      <c r="E133" s="808"/>
      <c r="F133" s="808"/>
      <c r="G133" s="808"/>
      <c r="H133" s="808"/>
      <c r="I133" s="808"/>
      <c r="J133" s="808"/>
      <c r="K133" s="808"/>
      <c r="L133" s="808"/>
      <c r="M133" s="808"/>
      <c r="N133" s="808"/>
      <c r="O133" s="808"/>
      <c r="P133" s="808"/>
      <c r="Q133" s="808"/>
      <c r="R133" s="808"/>
      <c r="S133" s="808"/>
      <c r="T133" s="808"/>
    </row>
    <row r="134" spans="1:20">
      <c r="A134" t="str">
        <f>B134&amp;C134</f>
        <v>EthiopiaWorkshops</v>
      </c>
      <c r="B134" s="528" t="s">
        <v>127</v>
      </c>
      <c r="C134" s="528" t="s">
        <v>877</v>
      </c>
    </row>
    <row r="135" spans="1:20">
      <c r="A135" t="str">
        <f>B135&amp;C135</f>
        <v>Federated States of MicronesiaWorkshops</v>
      </c>
      <c r="B135" s="528" t="s">
        <v>356</v>
      </c>
      <c r="C135" s="528" t="s">
        <v>877</v>
      </c>
    </row>
    <row r="136" spans="1:20">
      <c r="A136" t="str">
        <f>B136&amp;C136</f>
        <v>FijiWorkshops</v>
      </c>
      <c r="B136" s="528" t="s">
        <v>338</v>
      </c>
      <c r="C136" s="528" t="s">
        <v>877</v>
      </c>
      <c r="D136" s="741">
        <v>0.6</v>
      </c>
      <c r="E136" s="741">
        <v>0.68</v>
      </c>
      <c r="F136" s="741">
        <v>0.72</v>
      </c>
      <c r="G136" s="741">
        <v>0.82</v>
      </c>
      <c r="H136" s="741">
        <v>0.8</v>
      </c>
      <c r="I136" s="741">
        <v>0.92</v>
      </c>
      <c r="J136" s="741">
        <v>0.95</v>
      </c>
      <c r="K136" s="741">
        <v>0.99</v>
      </c>
      <c r="L136" s="741">
        <v>0.99</v>
      </c>
      <c r="M136" s="741">
        <v>0.99</v>
      </c>
      <c r="N136" s="741">
        <v>0.99</v>
      </c>
      <c r="O136" s="741">
        <v>0.99</v>
      </c>
      <c r="P136" s="741">
        <v>0.99</v>
      </c>
      <c r="Q136" s="741">
        <v>0.99</v>
      </c>
      <c r="R136" s="741">
        <v>0.99</v>
      </c>
      <c r="S136" s="741">
        <v>0.99</v>
      </c>
    </row>
    <row r="137" spans="1:20" ht="17" thickBot="1">
      <c r="A137" t="str">
        <f>B137&amp;C137</f>
        <v>GabonWorkshops</v>
      </c>
      <c r="B137" s="528" t="s">
        <v>130</v>
      </c>
      <c r="C137" s="528" t="s">
        <v>877</v>
      </c>
    </row>
    <row r="138" spans="1:20" ht="17" thickBot="1">
      <c r="A138" t="str">
        <f>B138&amp;C138</f>
        <v>GeorgiaWorkshops</v>
      </c>
      <c r="B138" s="528" t="s">
        <v>173</v>
      </c>
      <c r="C138" s="528" t="s">
        <v>877</v>
      </c>
      <c r="D138" s="739"/>
      <c r="E138" s="739"/>
      <c r="F138" s="739"/>
      <c r="G138" s="739"/>
      <c r="H138" s="739"/>
      <c r="I138" s="739"/>
      <c r="J138" s="739"/>
      <c r="K138" s="739"/>
      <c r="L138" s="739"/>
      <c r="M138" s="739"/>
      <c r="N138" s="739"/>
      <c r="O138" s="739"/>
      <c r="P138" s="739"/>
      <c r="Q138" s="739"/>
      <c r="R138" s="739"/>
      <c r="S138" s="739"/>
      <c r="T138" s="739"/>
    </row>
    <row r="139" spans="1:20">
      <c r="A139" t="str">
        <f>B139&amp;C139</f>
        <v>GhanaWorkshops</v>
      </c>
      <c r="B139" s="528" t="s">
        <v>131</v>
      </c>
      <c r="C139" s="528" t="s">
        <v>877</v>
      </c>
    </row>
    <row r="140" spans="1:20">
      <c r="A140" t="str">
        <f>B140&amp;C140</f>
        <v>GrenadaWorkshops</v>
      </c>
      <c r="B140" s="528" t="s">
        <v>354</v>
      </c>
      <c r="C140" s="528" t="s">
        <v>877</v>
      </c>
    </row>
    <row r="141" spans="1:20">
      <c r="A141" t="str">
        <f>B141&amp;C141</f>
        <v>GuatemalaWorkshops</v>
      </c>
      <c r="B141" s="528" t="s">
        <v>355</v>
      </c>
      <c r="C141" s="528" t="s">
        <v>877</v>
      </c>
    </row>
    <row r="142" spans="1:20">
      <c r="A142" t="str">
        <f>B142&amp;C142</f>
        <v>GuineaWorkshops</v>
      </c>
      <c r="B142" s="528" t="s">
        <v>132</v>
      </c>
      <c r="C142" s="528" t="s">
        <v>877</v>
      </c>
    </row>
    <row r="143" spans="1:20">
      <c r="A143" t="str">
        <f>B143&amp;C143</f>
        <v>GuyanaWorkshops</v>
      </c>
      <c r="B143" s="528" t="s">
        <v>357</v>
      </c>
      <c r="C143" s="528" t="s">
        <v>877</v>
      </c>
    </row>
    <row r="144" spans="1:20">
      <c r="A144" t="str">
        <f>B144&amp;C144</f>
        <v>HaitiWorkshops</v>
      </c>
      <c r="B144" s="528" t="s">
        <v>174</v>
      </c>
      <c r="C144" s="528" t="s">
        <v>877</v>
      </c>
    </row>
    <row r="145" spans="1:20">
      <c r="A145" t="str">
        <f>B145&amp;C145</f>
        <v>HondurasWorkshops</v>
      </c>
      <c r="B145" s="528" t="s">
        <v>358</v>
      </c>
      <c r="C145" s="528" t="s">
        <v>877</v>
      </c>
      <c r="D145" s="740"/>
      <c r="E145" s="740"/>
      <c r="F145" s="740"/>
      <c r="G145" s="740"/>
      <c r="H145" s="740"/>
      <c r="I145" s="740"/>
      <c r="J145" s="740"/>
      <c r="K145" s="740"/>
      <c r="L145" s="740"/>
      <c r="M145" s="740">
        <v>0.95</v>
      </c>
      <c r="N145" s="740">
        <v>0.95</v>
      </c>
      <c r="O145" s="740">
        <v>0.95</v>
      </c>
      <c r="P145" s="740">
        <v>0.95</v>
      </c>
      <c r="Q145" s="740">
        <v>0.95</v>
      </c>
      <c r="R145" s="740">
        <v>0.95</v>
      </c>
      <c r="S145" s="740">
        <v>0.95</v>
      </c>
      <c r="T145" s="740"/>
    </row>
    <row r="146" spans="1:20">
      <c r="A146" t="str">
        <f>B146&amp;C146</f>
        <v>IndiaWorkshops</v>
      </c>
      <c r="B146" s="528" t="s">
        <v>175</v>
      </c>
      <c r="C146" s="528" t="s">
        <v>877</v>
      </c>
    </row>
    <row r="147" spans="1:20">
      <c r="A147" t="str">
        <f>B147&amp;C147</f>
        <v>IndonesiaWorkshops</v>
      </c>
      <c r="B147" s="528" t="s">
        <v>866</v>
      </c>
      <c r="C147" s="528" t="s">
        <v>877</v>
      </c>
    </row>
    <row r="148" spans="1:20">
      <c r="A148" t="str">
        <f>B148&amp;C148</f>
        <v>JamaicaWorkshops</v>
      </c>
      <c r="B148" s="528" t="s">
        <v>176</v>
      </c>
      <c r="C148" s="528" t="s">
        <v>877</v>
      </c>
    </row>
    <row r="149" spans="1:20">
      <c r="A149" t="str">
        <f>B149&amp;C149</f>
        <v>KenyaWorkshops</v>
      </c>
      <c r="B149" s="528" t="s">
        <v>133</v>
      </c>
      <c r="C149" s="528" t="s">
        <v>877</v>
      </c>
    </row>
    <row r="150" spans="1:20">
      <c r="A150" t="str">
        <f>B150&amp;C150</f>
        <v>LesothoWorkshops</v>
      </c>
      <c r="B150" s="528" t="s">
        <v>930</v>
      </c>
      <c r="C150" s="528" t="s">
        <v>877</v>
      </c>
    </row>
    <row r="151" spans="1:20">
      <c r="A151" t="str">
        <f>B151&amp;C151</f>
        <v>LiberiaWorkshops</v>
      </c>
      <c r="B151" s="528" t="s">
        <v>134</v>
      </c>
      <c r="C151" s="528" t="s">
        <v>877</v>
      </c>
    </row>
    <row r="152" spans="1:20">
      <c r="A152" t="str">
        <f>B152&amp;C152</f>
        <v>MadagascarWorkshops</v>
      </c>
      <c r="B152" s="528" t="s">
        <v>135</v>
      </c>
      <c r="C152" s="528" t="s">
        <v>877</v>
      </c>
      <c r="D152" s="808"/>
      <c r="E152" s="808"/>
      <c r="F152" s="808"/>
      <c r="G152" s="808"/>
      <c r="H152" s="808"/>
      <c r="I152" s="808"/>
      <c r="J152" s="808"/>
      <c r="K152" s="808"/>
      <c r="L152" s="808"/>
      <c r="M152" s="808"/>
      <c r="N152" s="808"/>
      <c r="O152" s="808"/>
      <c r="P152" s="808"/>
      <c r="Q152" s="808"/>
      <c r="R152" s="808"/>
      <c r="S152" s="808"/>
      <c r="T152" s="808"/>
    </row>
    <row r="153" spans="1:20">
      <c r="A153" t="str">
        <f>B153&amp;C153</f>
        <v>MalawiWorkshops</v>
      </c>
      <c r="B153" s="528" t="s">
        <v>136</v>
      </c>
      <c r="C153" s="528" t="s">
        <v>877</v>
      </c>
    </row>
    <row r="154" spans="1:20">
      <c r="A154" t="str">
        <f>B154&amp;C154</f>
        <v>MalaysiaWorkshops</v>
      </c>
      <c r="B154" s="528" t="s">
        <v>177</v>
      </c>
      <c r="C154" s="528" t="s">
        <v>877</v>
      </c>
    </row>
    <row r="155" spans="1:20">
      <c r="A155" t="str">
        <f>B155&amp;C155</f>
        <v>MaldivesWorkshops</v>
      </c>
      <c r="B155" s="528" t="s">
        <v>375</v>
      </c>
      <c r="C155" s="528" t="s">
        <v>877</v>
      </c>
    </row>
    <row r="156" spans="1:20" ht="17" thickBot="1">
      <c r="A156" t="str">
        <f>B156&amp;C156</f>
        <v>MaliWorkshops</v>
      </c>
      <c r="B156" s="528" t="s">
        <v>137</v>
      </c>
      <c r="C156" s="528" t="s">
        <v>877</v>
      </c>
      <c r="D156" s="808"/>
      <c r="E156" s="808"/>
      <c r="F156" s="808"/>
      <c r="G156" s="808"/>
      <c r="H156" s="808"/>
      <c r="I156" s="808"/>
      <c r="J156" s="808"/>
      <c r="K156" s="808"/>
      <c r="L156" s="808"/>
      <c r="M156" s="808"/>
      <c r="N156" s="808"/>
      <c r="O156" s="808"/>
      <c r="P156" s="808"/>
      <c r="Q156" s="808"/>
      <c r="R156" s="808"/>
      <c r="S156" s="808"/>
    </row>
    <row r="157" spans="1:20" ht="17" thickBot="1">
      <c r="A157" t="str">
        <f>B157&amp;C157</f>
        <v>MauritiusWorkshops</v>
      </c>
      <c r="B157" s="528" t="s">
        <v>150</v>
      </c>
      <c r="C157" s="528" t="s">
        <v>877</v>
      </c>
      <c r="D157" s="739"/>
      <c r="E157" s="739"/>
      <c r="F157" s="739"/>
      <c r="G157" s="739"/>
      <c r="H157" s="739"/>
      <c r="I157" s="739"/>
      <c r="J157" s="739"/>
      <c r="K157" s="739"/>
      <c r="L157" s="739"/>
      <c r="M157" s="739"/>
      <c r="N157" s="739"/>
      <c r="O157" s="739"/>
      <c r="P157" s="739"/>
      <c r="Q157" s="739"/>
      <c r="R157" s="739"/>
      <c r="S157" s="739"/>
      <c r="T157" s="739"/>
    </row>
    <row r="158" spans="1:20">
      <c r="A158" t="str">
        <f>B158&amp;C158</f>
        <v>MexicoWorkshops</v>
      </c>
      <c r="B158" s="528" t="s">
        <v>761</v>
      </c>
      <c r="C158" s="528" t="s">
        <v>877</v>
      </c>
    </row>
    <row r="159" spans="1:20">
      <c r="A159" t="str">
        <f>B159&amp;C159</f>
        <v>MoldovaWorkshops</v>
      </c>
      <c r="B159" s="528" t="s">
        <v>230</v>
      </c>
      <c r="C159" s="528" t="s">
        <v>877</v>
      </c>
    </row>
    <row r="160" spans="1:20" ht="17" thickBot="1">
      <c r="A160" t="str">
        <f>B160&amp;C160</f>
        <v>MongoliaWorkshops</v>
      </c>
      <c r="B160" s="528" t="s">
        <v>178</v>
      </c>
      <c r="C160" s="528" t="s">
        <v>877</v>
      </c>
    </row>
    <row r="161" spans="1:20" ht="17" thickBot="1">
      <c r="A161" t="str">
        <f>B161&amp;C161</f>
        <v>MoroccoWorkshops</v>
      </c>
      <c r="B161" s="528" t="s">
        <v>931</v>
      </c>
      <c r="C161" s="528" t="s">
        <v>877</v>
      </c>
      <c r="D161" s="739"/>
      <c r="E161" s="739"/>
      <c r="F161" s="739"/>
      <c r="G161" s="739"/>
      <c r="H161" s="739"/>
      <c r="I161" s="739"/>
      <c r="J161" s="739"/>
      <c r="K161" s="739"/>
      <c r="L161" s="739"/>
      <c r="M161" s="739"/>
      <c r="N161" s="739"/>
      <c r="O161" s="739"/>
      <c r="P161" s="739"/>
      <c r="Q161" s="739"/>
      <c r="R161" s="743"/>
      <c r="S161" s="743"/>
    </row>
    <row r="162" spans="1:20" ht="17" thickBot="1">
      <c r="A162" t="str">
        <f>B162&amp;C162</f>
        <v>MozambiqueWorkshops</v>
      </c>
      <c r="B162" s="528" t="s">
        <v>138</v>
      </c>
      <c r="C162" s="528" t="s">
        <v>877</v>
      </c>
      <c r="D162" s="739"/>
      <c r="E162" s="739"/>
      <c r="F162" s="739"/>
      <c r="G162" s="739"/>
      <c r="H162" s="739"/>
      <c r="I162" s="739"/>
      <c r="J162" s="739"/>
      <c r="K162" s="739"/>
      <c r="L162" s="739"/>
      <c r="M162" s="739"/>
      <c r="N162" s="739"/>
      <c r="O162" s="739"/>
      <c r="P162" s="739"/>
      <c r="Q162" s="739"/>
      <c r="R162" s="739"/>
      <c r="S162" s="739"/>
      <c r="T162" s="739"/>
    </row>
    <row r="163" spans="1:20">
      <c r="A163" t="str">
        <f>B163&amp;C163</f>
        <v>MyanmarWorkshops</v>
      </c>
      <c r="B163" s="528" t="s">
        <v>932</v>
      </c>
      <c r="C163" s="528" t="s">
        <v>877</v>
      </c>
    </row>
    <row r="164" spans="1:20">
      <c r="A164" t="str">
        <f>B164&amp;C164</f>
        <v>NepalWorkshops</v>
      </c>
      <c r="B164" s="528" t="s">
        <v>179</v>
      </c>
      <c r="C164" s="528" t="s">
        <v>877</v>
      </c>
    </row>
    <row r="165" spans="1:20">
      <c r="A165" t="str">
        <f>B165&amp;C165</f>
        <v>NicaraguaWorkshops</v>
      </c>
      <c r="B165" s="528" t="s">
        <v>359</v>
      </c>
      <c r="C165" s="528" t="s">
        <v>877</v>
      </c>
      <c r="D165" s="740"/>
      <c r="E165" s="740"/>
      <c r="F165" s="740"/>
      <c r="G165" s="740"/>
      <c r="H165" s="740"/>
      <c r="I165" s="740"/>
      <c r="J165" s="740"/>
      <c r="K165" s="740"/>
      <c r="L165" s="740"/>
      <c r="M165" s="740">
        <v>0.95</v>
      </c>
      <c r="N165" s="740">
        <v>0.95</v>
      </c>
      <c r="O165" s="740">
        <v>0.95</v>
      </c>
      <c r="P165" s="740">
        <v>0.95</v>
      </c>
      <c r="Q165" s="740">
        <v>0.95</v>
      </c>
      <c r="R165" s="740">
        <v>0.95</v>
      </c>
      <c r="S165" s="740">
        <v>0.95</v>
      </c>
      <c r="T165" s="740"/>
    </row>
    <row r="166" spans="1:20" ht="17" thickBot="1">
      <c r="A166" t="str">
        <f>B166&amp;C166</f>
        <v>NigerWorkshops</v>
      </c>
      <c r="B166" s="528" t="s">
        <v>139</v>
      </c>
      <c r="C166" s="528" t="s">
        <v>877</v>
      </c>
      <c r="D166" s="808"/>
      <c r="E166" s="808"/>
      <c r="F166" s="808"/>
      <c r="G166" s="808"/>
      <c r="H166" s="808"/>
      <c r="I166" s="808"/>
      <c r="J166" s="808"/>
      <c r="K166" s="808"/>
      <c r="L166" s="808"/>
      <c r="M166" s="808"/>
      <c r="N166" s="808"/>
      <c r="O166" s="808"/>
      <c r="P166" s="808"/>
      <c r="Q166" s="808"/>
      <c r="R166" s="808"/>
      <c r="S166" s="808"/>
    </row>
    <row r="167" spans="1:20" ht="17" thickBot="1">
      <c r="A167" t="str">
        <f>B167&amp;C167</f>
        <v>NigeriaWorkshops</v>
      </c>
      <c r="B167" s="528" t="s">
        <v>140</v>
      </c>
      <c r="C167" s="528" t="s">
        <v>877</v>
      </c>
      <c r="D167" s="739"/>
      <c r="E167" s="739"/>
      <c r="F167" s="739"/>
      <c r="G167" s="739"/>
      <c r="H167" s="739"/>
      <c r="I167" s="739"/>
      <c r="J167" s="739"/>
      <c r="K167" s="739"/>
      <c r="L167" s="739"/>
      <c r="M167" s="739"/>
      <c r="N167" s="739"/>
      <c r="O167" s="739"/>
      <c r="P167" s="739"/>
      <c r="Q167" s="739"/>
      <c r="R167" s="743"/>
      <c r="S167" s="743"/>
    </row>
    <row r="168" spans="1:20">
      <c r="A168" t="str">
        <f>B168&amp;C168</f>
        <v>OmanWorkshops</v>
      </c>
      <c r="B168" s="528" t="s">
        <v>933</v>
      </c>
      <c r="C168" s="528" t="s">
        <v>877</v>
      </c>
    </row>
    <row r="169" spans="1:20">
      <c r="A169" t="str">
        <f>B169&amp;C169</f>
        <v>PanamaWorkshops</v>
      </c>
      <c r="B169" s="528" t="s">
        <v>180</v>
      </c>
      <c r="C169" s="528" t="s">
        <v>877</v>
      </c>
    </row>
    <row r="170" spans="1:20" ht="17" thickBot="1">
      <c r="A170" t="str">
        <f>B170&amp;C170</f>
        <v>Papua New GuineaWorkshops</v>
      </c>
      <c r="B170" s="528" t="s">
        <v>181</v>
      </c>
      <c r="C170" s="528" t="s">
        <v>877</v>
      </c>
      <c r="D170" s="738"/>
      <c r="E170" s="738"/>
      <c r="F170" s="738"/>
      <c r="G170" s="738"/>
      <c r="H170" s="738"/>
      <c r="I170" s="738"/>
      <c r="J170" s="738"/>
      <c r="K170" s="738"/>
      <c r="L170" s="738"/>
      <c r="M170" s="738">
        <v>0.66</v>
      </c>
      <c r="N170" s="738">
        <v>0.64</v>
      </c>
      <c r="O170" s="738">
        <v>0.67</v>
      </c>
      <c r="P170" s="738">
        <v>0.63</v>
      </c>
      <c r="Q170" s="738">
        <v>0.54</v>
      </c>
      <c r="R170" s="738">
        <v>0.54</v>
      </c>
      <c r="S170" s="738">
        <v>0.54</v>
      </c>
    </row>
    <row r="171" spans="1:20" ht="17" thickBot="1">
      <c r="A171" t="str">
        <f>B171&amp;C171</f>
        <v>ParaguayWorkshops</v>
      </c>
      <c r="B171" s="528" t="s">
        <v>182</v>
      </c>
      <c r="C171" s="528" t="s">
        <v>877</v>
      </c>
      <c r="D171" s="496"/>
      <c r="E171" s="496"/>
      <c r="F171" s="496"/>
      <c r="G171" s="496"/>
      <c r="H171" s="496"/>
      <c r="I171" s="496">
        <v>1</v>
      </c>
      <c r="J171" s="496">
        <v>1</v>
      </c>
      <c r="K171" s="496">
        <v>1</v>
      </c>
      <c r="L171" s="496">
        <v>1</v>
      </c>
      <c r="M171" s="496"/>
      <c r="N171" s="496"/>
      <c r="O171" s="496"/>
      <c r="P171" s="496"/>
      <c r="Q171" s="496">
        <v>1</v>
      </c>
      <c r="R171" s="742">
        <v>1</v>
      </c>
      <c r="S171" s="742"/>
      <c r="T171" s="740"/>
    </row>
    <row r="172" spans="1:20">
      <c r="A172" t="str">
        <f>B172&amp;C172</f>
        <v>PeruWorkshops</v>
      </c>
      <c r="B172" s="528" t="s">
        <v>360</v>
      </c>
      <c r="C172" s="528" t="s">
        <v>877</v>
      </c>
    </row>
    <row r="173" spans="1:20">
      <c r="A173" t="str">
        <f>B173&amp;C173</f>
        <v>Republic of the CongoWorkshops</v>
      </c>
      <c r="B173" s="528" t="s">
        <v>934</v>
      </c>
      <c r="C173" s="528" t="s">
        <v>877</v>
      </c>
    </row>
    <row r="174" spans="1:20">
      <c r="A174" t="str">
        <f>B174&amp;C174</f>
        <v>RwandaWorkshops</v>
      </c>
      <c r="B174" s="528" t="s">
        <v>953</v>
      </c>
      <c r="C174" s="528" t="s">
        <v>877</v>
      </c>
    </row>
    <row r="175" spans="1:20">
      <c r="A175" t="str">
        <f>B175&amp;C175</f>
        <v>Saint Kitts &amp; NevisWorkshops</v>
      </c>
      <c r="B175" s="528" t="s">
        <v>361</v>
      </c>
      <c r="C175" s="528" t="s">
        <v>877</v>
      </c>
    </row>
    <row r="176" spans="1:20">
      <c r="A176" t="str">
        <f>B176&amp;C176</f>
        <v>Saint LuciaWorkshops</v>
      </c>
      <c r="B176" s="528" t="s">
        <v>362</v>
      </c>
      <c r="C176" s="528" t="s">
        <v>877</v>
      </c>
      <c r="D176" s="808"/>
      <c r="E176" s="808"/>
      <c r="F176" s="808"/>
      <c r="G176" s="808"/>
      <c r="H176" s="808"/>
      <c r="I176" s="808"/>
      <c r="J176" s="808"/>
      <c r="K176" s="808"/>
      <c r="L176" s="808"/>
      <c r="M176" s="808"/>
      <c r="N176" s="808"/>
      <c r="O176" s="808"/>
      <c r="P176" s="808"/>
      <c r="Q176" s="808"/>
      <c r="R176" s="808"/>
      <c r="S176" s="808"/>
      <c r="T176" s="808"/>
    </row>
    <row r="177" spans="1:19">
      <c r="A177" t="str">
        <f>B177&amp;C177</f>
        <v>Saint Vincent &amp; the GrenadinesWorkshops</v>
      </c>
      <c r="B177" s="528" t="s">
        <v>363</v>
      </c>
      <c r="C177" s="528" t="s">
        <v>877</v>
      </c>
    </row>
    <row r="178" spans="1:19">
      <c r="A178" t="str">
        <f>B178&amp;C178</f>
        <v>SamoaWorkshops</v>
      </c>
      <c r="B178" s="528" t="s">
        <v>183</v>
      </c>
      <c r="C178" s="528" t="s">
        <v>877</v>
      </c>
      <c r="D178" s="738"/>
      <c r="E178" s="738"/>
      <c r="F178" s="738"/>
      <c r="G178" s="738"/>
      <c r="H178" s="738"/>
      <c r="I178" s="738"/>
      <c r="J178" s="738"/>
      <c r="K178" s="738"/>
      <c r="L178" s="738"/>
      <c r="M178" s="738">
        <v>0.93</v>
      </c>
      <c r="N178" s="738">
        <v>0.93</v>
      </c>
      <c r="O178" s="738">
        <v>0.93</v>
      </c>
      <c r="P178" s="738">
        <v>0.93</v>
      </c>
      <c r="Q178" s="738">
        <v>0.93</v>
      </c>
      <c r="R178" s="738">
        <v>0.93</v>
      </c>
      <c r="S178" s="738">
        <v>0.93</v>
      </c>
    </row>
    <row r="179" spans="1:19">
      <c r="A179" t="str">
        <f>B179&amp;C179</f>
        <v>Sao Tome &amp; PrincipeWorkshops</v>
      </c>
      <c r="B179" s="528" t="s">
        <v>364</v>
      </c>
      <c r="C179" s="528" t="s">
        <v>877</v>
      </c>
    </row>
    <row r="180" spans="1:19">
      <c r="A180" t="str">
        <f>B180&amp;C180</f>
        <v>Saudi ArabiaWorkshops</v>
      </c>
      <c r="B180" s="528" t="s">
        <v>935</v>
      </c>
      <c r="C180" s="528" t="s">
        <v>877</v>
      </c>
    </row>
    <row r="181" spans="1:19">
      <c r="A181" t="str">
        <f>B181&amp;C181</f>
        <v>SenegalWorkshops</v>
      </c>
      <c r="B181" s="528" t="s">
        <v>141</v>
      </c>
      <c r="C181" s="528" t="s">
        <v>877</v>
      </c>
      <c r="D181" s="808"/>
      <c r="E181" s="808"/>
      <c r="F181" s="808"/>
      <c r="G181" s="808"/>
      <c r="H181" s="808"/>
      <c r="I181" s="808"/>
      <c r="J181" s="808"/>
      <c r="K181" s="808"/>
      <c r="L181" s="808"/>
      <c r="M181" s="808"/>
      <c r="N181" s="808"/>
      <c r="O181" s="808"/>
      <c r="P181" s="808"/>
      <c r="Q181" s="808"/>
      <c r="R181" s="808"/>
      <c r="S181" s="808"/>
    </row>
    <row r="182" spans="1:19">
      <c r="A182" t="str">
        <f>B182&amp;C182</f>
        <v>SeychellesWorkshops</v>
      </c>
      <c r="B182" s="528" t="s">
        <v>151</v>
      </c>
      <c r="C182" s="528" t="s">
        <v>877</v>
      </c>
    </row>
    <row r="183" spans="1:19">
      <c r="A183" t="str">
        <f>B183&amp;C183</f>
        <v>Sierra LeoneWorkshops</v>
      </c>
      <c r="B183" s="528" t="s">
        <v>936</v>
      </c>
      <c r="C183" s="528" t="s">
        <v>877</v>
      </c>
      <c r="D183" s="808"/>
      <c r="E183" s="808"/>
      <c r="F183" s="808"/>
      <c r="G183" s="808"/>
      <c r="H183" s="808"/>
      <c r="I183" s="808"/>
      <c r="J183" s="808"/>
      <c r="K183" s="808"/>
      <c r="L183" s="808"/>
      <c r="M183" s="808"/>
      <c r="N183" s="808"/>
      <c r="O183" s="808"/>
      <c r="P183" s="808"/>
      <c r="Q183" s="808"/>
      <c r="R183" s="808"/>
      <c r="S183" s="808"/>
    </row>
    <row r="184" spans="1:19">
      <c r="A184" t="str">
        <f>B184&amp;C184</f>
        <v>SomaliaWorkshops</v>
      </c>
      <c r="B184" s="528" t="s">
        <v>937</v>
      </c>
      <c r="C184" s="528" t="s">
        <v>877</v>
      </c>
    </row>
    <row r="185" spans="1:19">
      <c r="A185" t="str">
        <f>B185&amp;C185</f>
        <v>South AfricaWorkshops</v>
      </c>
      <c r="B185" s="528" t="s">
        <v>0</v>
      </c>
      <c r="C185" s="528" t="s">
        <v>877</v>
      </c>
      <c r="D185" s="738"/>
      <c r="E185" s="738"/>
      <c r="F185" s="738"/>
      <c r="G185" s="738"/>
      <c r="H185" s="738"/>
      <c r="I185" s="738"/>
      <c r="J185" s="738"/>
      <c r="K185" s="738">
        <v>0.92</v>
      </c>
      <c r="L185" s="738">
        <v>0.92</v>
      </c>
      <c r="M185" s="738">
        <v>0.92</v>
      </c>
      <c r="N185" s="738">
        <v>0.93</v>
      </c>
      <c r="O185" s="738">
        <v>0.94</v>
      </c>
      <c r="P185" s="738">
        <v>0.94</v>
      </c>
      <c r="Q185" s="738">
        <v>0.94</v>
      </c>
      <c r="R185" s="738">
        <v>0.94</v>
      </c>
      <c r="S185" s="738">
        <v>0.94</v>
      </c>
    </row>
    <row r="186" spans="1:19">
      <c r="A186" t="str">
        <f>B186&amp;C186</f>
        <v>South SudanWorkshops</v>
      </c>
      <c r="B186" s="528" t="s">
        <v>938</v>
      </c>
      <c r="C186" s="528" t="s">
        <v>877</v>
      </c>
    </row>
    <row r="187" spans="1:19">
      <c r="A187" t="str">
        <f>B187&amp;C187</f>
        <v>Solomon IslandsWorkshops</v>
      </c>
      <c r="B187" s="528" t="s">
        <v>950</v>
      </c>
      <c r="C187" s="528" t="s">
        <v>877</v>
      </c>
    </row>
    <row r="188" spans="1:19">
      <c r="A188" t="str">
        <f>B188&amp;C188</f>
        <v>Sri LankaWorkshops</v>
      </c>
      <c r="B188" s="528" t="s">
        <v>374</v>
      </c>
      <c r="C188" s="528" t="s">
        <v>877</v>
      </c>
    </row>
    <row r="189" spans="1:19">
      <c r="A189" t="str">
        <f>B189&amp;C189</f>
        <v>SurinameWorkshops</v>
      </c>
      <c r="B189" s="528" t="s">
        <v>365</v>
      </c>
      <c r="C189" s="528" t="s">
        <v>877</v>
      </c>
    </row>
    <row r="190" spans="1:19">
      <c r="A190" t="str">
        <f>B190&amp;C190</f>
        <v>TanzaniaWorkshops</v>
      </c>
      <c r="B190" s="528" t="s">
        <v>143</v>
      </c>
      <c r="C190" s="528" t="s">
        <v>877</v>
      </c>
    </row>
    <row r="191" spans="1:19">
      <c r="A191" t="str">
        <f>B191&amp;C191</f>
        <v>ThailandWorkshops</v>
      </c>
      <c r="B191" s="528" t="s">
        <v>185</v>
      </c>
      <c r="C191" s="528" t="s">
        <v>877</v>
      </c>
    </row>
    <row r="192" spans="1:19">
      <c r="A192" t="str">
        <f>B192&amp;C192</f>
        <v>TogoWorkshops</v>
      </c>
      <c r="B192" s="528" t="s">
        <v>142</v>
      </c>
      <c r="C192" s="528" t="s">
        <v>877</v>
      </c>
    </row>
    <row r="193" spans="1:3">
      <c r="A193" t="str">
        <f>B193&amp;C193</f>
        <v>Trinidad &amp; TobagoWorkshops</v>
      </c>
      <c r="B193" s="528" t="s">
        <v>366</v>
      </c>
      <c r="C193" s="528" t="s">
        <v>877</v>
      </c>
    </row>
    <row r="194" spans="1:3">
      <c r="A194" t="str">
        <f>B194&amp;C194</f>
        <v>UgandaWorkshops</v>
      </c>
      <c r="B194" s="528" t="s">
        <v>144</v>
      </c>
      <c r="C194" s="528" t="s">
        <v>877</v>
      </c>
    </row>
    <row r="195" spans="1:3">
      <c r="A195" t="str">
        <f>B195&amp;C195</f>
        <v>UkraineWorkshops</v>
      </c>
      <c r="B195" s="528" t="s">
        <v>186</v>
      </c>
      <c r="C195" s="528" t="s">
        <v>877</v>
      </c>
    </row>
    <row r="196" spans="1:3">
      <c r="A196" t="str">
        <f>B196&amp;C196</f>
        <v>UruguayWorkshops</v>
      </c>
      <c r="B196" s="528" t="s">
        <v>187</v>
      </c>
      <c r="C196" s="528" t="s">
        <v>877</v>
      </c>
    </row>
    <row r="197" spans="1:3">
      <c r="A197" t="str">
        <f>B197&amp;C197</f>
        <v>VenezuelaWorkshops</v>
      </c>
      <c r="B197" s="528" t="s">
        <v>188</v>
      </c>
      <c r="C197" s="528" t="s">
        <v>877</v>
      </c>
    </row>
    <row r="198" spans="1:3">
      <c r="A198" t="str">
        <f>B198&amp;C198</f>
        <v>ZambiaWorkshops</v>
      </c>
      <c r="B198" s="528" t="s">
        <v>124</v>
      </c>
      <c r="C198" s="528" t="s">
        <v>877</v>
      </c>
    </row>
    <row r="199" spans="1:3">
      <c r="A199" t="str">
        <f>B199&amp;C199</f>
        <v>ZimbabweWorkshops</v>
      </c>
      <c r="B199" s="528" t="s">
        <v>125</v>
      </c>
      <c r="C199" s="528" t="s">
        <v>877</v>
      </c>
    </row>
  </sheetData>
  <sortState xmlns:xlrd2="http://schemas.microsoft.com/office/spreadsheetml/2017/richdata2" ref="A3:X199">
    <sortCondition ref="C2:C199"/>
    <sortCondition ref="B2:B199"/>
  </sortState>
  <customSheetViews>
    <customSheetView guid="{8967CA62-3554-8A40-ACFF-3515F2B518C8}" scale="89" topLeftCell="A72">
      <selection activeCell="D148" sqref="D148:T148"/>
      <pageMargins left="0.7" right="0.7" top="0.75" bottom="0.75" header="0.3" footer="0.3"/>
    </customSheetView>
    <customSheetView guid="{EB877D66-0749-4C48-89AA-FFA94A34014C}" scale="89" state="hidden" topLeftCell="A72">
      <selection activeCell="N48" sqref="N48"/>
      <pageMargins left="0.7" right="0.7" top="0.75" bottom="0.75" header="0.3" footer="0.3"/>
    </customSheetView>
  </customSheetViews>
  <dataValidations disablePrompts="1" count="2">
    <dataValidation type="decimal" allowBlank="1" showInputMessage="1" showErrorMessage="1" sqref="D124:T124 D138:T138 D157:T157 D162:T162" xr:uid="{00000000-0002-0000-0C00-000001000000}">
      <formula1>0</formula1>
      <formula2>100</formula2>
    </dataValidation>
    <dataValidation type="list" allowBlank="1" showInputMessage="1" showErrorMessage="1" sqref="D129:S129 D161:S161 D167:S167 D171:S171" xr:uid="{00000000-0002-0000-0C00-000000000000}">
      <formula1>$B$5:$B$114</formula1>
    </dataValidation>
  </dataValidation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U208"/>
  <sheetViews>
    <sheetView zoomScale="87" workbookViewId="0">
      <selection activeCell="N48" sqref="N48"/>
    </sheetView>
  </sheetViews>
  <sheetFormatPr baseColWidth="10" defaultRowHeight="16"/>
  <cols>
    <col min="2" max="3" width="10.83203125" style="528"/>
  </cols>
  <sheetData>
    <row r="1" spans="1:21" s="540" customFormat="1">
      <c r="A1" s="540" t="s">
        <v>875</v>
      </c>
      <c r="B1" s="540" t="s">
        <v>871</v>
      </c>
      <c r="C1" s="540" t="s">
        <v>872</v>
      </c>
      <c r="D1" s="541">
        <v>2003</v>
      </c>
      <c r="E1" s="541">
        <v>2004</v>
      </c>
      <c r="F1" s="541">
        <v>2005</v>
      </c>
      <c r="G1" s="541">
        <v>2006</v>
      </c>
      <c r="H1" s="541">
        <v>2007</v>
      </c>
      <c r="I1" s="541">
        <v>2008</v>
      </c>
      <c r="J1" s="541">
        <v>2009</v>
      </c>
      <c r="K1" s="541">
        <v>2010</v>
      </c>
      <c r="L1" s="541">
        <v>2011</v>
      </c>
      <c r="M1" s="541">
        <v>2012</v>
      </c>
      <c r="N1" s="541">
        <v>2013</v>
      </c>
      <c r="O1" s="541">
        <v>2014</v>
      </c>
      <c r="P1" s="541">
        <v>2015</v>
      </c>
      <c r="Q1" s="541">
        <v>2016</v>
      </c>
      <c r="R1" s="541">
        <v>2017</v>
      </c>
      <c r="S1" s="541">
        <v>2018</v>
      </c>
      <c r="T1" s="541">
        <v>2019</v>
      </c>
      <c r="U1" s="540">
        <v>2020</v>
      </c>
    </row>
    <row r="2" spans="1:21">
      <c r="A2" t="str">
        <f t="shared" ref="A2:A35" si="0">B2&amp;C2</f>
        <v>AfghanistanGAM</v>
      </c>
      <c r="B2" s="528" t="s">
        <v>928</v>
      </c>
      <c r="C2" s="528" t="s">
        <v>873</v>
      </c>
      <c r="D2" s="723"/>
      <c r="E2" s="723"/>
      <c r="F2" s="723"/>
      <c r="G2" s="723"/>
      <c r="H2" s="723"/>
      <c r="I2" s="723"/>
      <c r="J2" s="723"/>
      <c r="K2" s="723"/>
      <c r="L2" s="723"/>
      <c r="M2" s="723"/>
      <c r="N2" s="723"/>
      <c r="O2" s="723"/>
      <c r="P2" s="723"/>
      <c r="Q2" s="723">
        <v>0.23</v>
      </c>
      <c r="R2" s="723">
        <v>0.14299999999999999</v>
      </c>
      <c r="S2" s="723"/>
      <c r="T2" s="723">
        <v>1.4999999999999999E-4</v>
      </c>
    </row>
    <row r="3" spans="1:21">
      <c r="A3" t="str">
        <f t="shared" si="0"/>
        <v>AngolaGAM</v>
      </c>
      <c r="B3" s="528" t="s">
        <v>929</v>
      </c>
      <c r="C3" s="528" t="s">
        <v>873</v>
      </c>
      <c r="D3" s="723"/>
      <c r="E3" s="723"/>
      <c r="F3" s="723"/>
      <c r="G3" s="723"/>
      <c r="H3" s="723"/>
      <c r="I3" s="723"/>
      <c r="J3" s="723"/>
      <c r="K3" s="723"/>
      <c r="L3" s="723"/>
      <c r="M3" s="723"/>
      <c r="N3" s="723"/>
      <c r="O3" s="723"/>
      <c r="P3" s="723"/>
      <c r="Q3" s="723"/>
      <c r="R3" s="723"/>
      <c r="S3" s="723"/>
      <c r="T3" s="723">
        <v>3.9E-2</v>
      </c>
      <c r="U3" s="723"/>
    </row>
    <row r="4" spans="1:21">
      <c r="A4" t="str">
        <f t="shared" si="0"/>
        <v>Antigua &amp; BarbudaGAM</v>
      </c>
      <c r="B4" s="528" t="s">
        <v>343</v>
      </c>
      <c r="C4" s="528" t="s">
        <v>873</v>
      </c>
      <c r="D4" s="112"/>
      <c r="E4" s="112"/>
      <c r="F4" s="112"/>
      <c r="G4" s="112"/>
      <c r="H4" s="112"/>
      <c r="I4" s="1"/>
      <c r="J4" s="344"/>
      <c r="K4" s="344"/>
      <c r="L4" s="344"/>
      <c r="M4" s="344"/>
      <c r="N4" s="344">
        <v>0.98199999999999998</v>
      </c>
      <c r="O4" s="344">
        <v>1</v>
      </c>
      <c r="P4" s="344">
        <v>1</v>
      </c>
      <c r="Q4" s="344">
        <v>1</v>
      </c>
      <c r="R4" s="344">
        <v>1</v>
      </c>
      <c r="S4" s="344">
        <f>970/970</f>
        <v>1</v>
      </c>
      <c r="T4" s="723">
        <v>1</v>
      </c>
    </row>
    <row r="5" spans="1:21">
      <c r="A5" t="str">
        <f t="shared" si="0"/>
        <v>ArgentinaGAM</v>
      </c>
      <c r="B5" s="528" t="s">
        <v>344</v>
      </c>
      <c r="C5" s="528" t="s">
        <v>873</v>
      </c>
      <c r="D5" s="112"/>
      <c r="E5" s="112"/>
      <c r="F5" s="112"/>
      <c r="G5" s="112"/>
      <c r="H5" s="112"/>
      <c r="I5" s="1"/>
      <c r="J5" s="344"/>
      <c r="K5" s="344"/>
      <c r="L5" s="344"/>
      <c r="M5" s="344"/>
      <c r="N5" s="344">
        <v>0.98</v>
      </c>
      <c r="O5" s="344">
        <v>0.86499999999999999</v>
      </c>
      <c r="P5" s="344">
        <v>0.77600000000000002</v>
      </c>
      <c r="Q5" s="344">
        <v>0.81299999999999994</v>
      </c>
      <c r="R5" s="344">
        <f>257272/310621</f>
        <v>0.82825050463426486</v>
      </c>
      <c r="S5" s="344">
        <v>0.90800000000000003</v>
      </c>
      <c r="T5" s="723">
        <v>0.82199999999999995</v>
      </c>
    </row>
    <row r="6" spans="1:21">
      <c r="A6" t="str">
        <f t="shared" si="0"/>
        <v>BahamasGAM</v>
      </c>
      <c r="B6" s="528" t="s">
        <v>345</v>
      </c>
      <c r="C6" s="528" t="s">
        <v>873</v>
      </c>
      <c r="N6" s="755">
        <v>0.87</v>
      </c>
      <c r="T6" s="723"/>
    </row>
    <row r="7" spans="1:21">
      <c r="A7" t="str">
        <f t="shared" si="0"/>
        <v>BangladeshGAM</v>
      </c>
      <c r="B7" s="528" t="s">
        <v>865</v>
      </c>
      <c r="C7" s="528" t="s">
        <v>873</v>
      </c>
      <c r="N7" s="756">
        <v>0.316</v>
      </c>
      <c r="Q7" s="756">
        <v>0.73699999999999999</v>
      </c>
      <c r="R7" s="756">
        <v>0.72299999999999998</v>
      </c>
      <c r="S7" s="756">
        <v>0.435</v>
      </c>
      <c r="T7" s="723"/>
    </row>
    <row r="8" spans="1:21">
      <c r="A8" t="str">
        <f t="shared" si="0"/>
        <v>BarbadosGAM</v>
      </c>
      <c r="B8" s="528" t="s">
        <v>346</v>
      </c>
      <c r="C8" s="528" t="s">
        <v>873</v>
      </c>
      <c r="D8" s="112"/>
      <c r="E8" s="112"/>
      <c r="F8" s="112"/>
      <c r="G8" s="112"/>
      <c r="H8" s="112"/>
      <c r="I8" s="1"/>
      <c r="J8" s="344"/>
      <c r="K8" s="344"/>
      <c r="L8" s="344"/>
      <c r="M8" s="344"/>
      <c r="N8" s="344">
        <v>0.83</v>
      </c>
      <c r="O8" s="344">
        <v>0.88100000000000001</v>
      </c>
      <c r="P8" s="344">
        <v>0.91600000000000004</v>
      </c>
      <c r="Q8" s="344">
        <v>0.99099999999999999</v>
      </c>
      <c r="R8" s="344">
        <f>1105/1127</f>
        <v>0.98047914818101156</v>
      </c>
      <c r="T8" s="723"/>
    </row>
    <row r="9" spans="1:21">
      <c r="A9" t="str">
        <f t="shared" si="0"/>
        <v>BelarusGAM</v>
      </c>
      <c r="B9" s="528" t="s">
        <v>166</v>
      </c>
      <c r="C9" s="528" t="s">
        <v>873</v>
      </c>
      <c r="D9" s="112"/>
      <c r="E9" s="112"/>
      <c r="F9" s="112"/>
      <c r="G9" s="112"/>
      <c r="H9" s="112"/>
      <c r="I9" s="1"/>
      <c r="J9" s="344"/>
      <c r="K9" s="344"/>
      <c r="L9" s="344"/>
      <c r="M9" s="344"/>
      <c r="N9" s="344">
        <v>0.996</v>
      </c>
      <c r="O9" s="344">
        <v>0.85499999999999998</v>
      </c>
      <c r="P9" s="344">
        <v>0.98399999999999999</v>
      </c>
      <c r="Q9" s="344">
        <v>0.995</v>
      </c>
      <c r="R9" s="420">
        <f>116705/116941</f>
        <v>0.99798188830264833</v>
      </c>
      <c r="S9" s="420">
        <f>105155/105192</f>
        <v>0.99964826222526426</v>
      </c>
      <c r="T9" s="723">
        <v>1</v>
      </c>
    </row>
    <row r="10" spans="1:21">
      <c r="A10" t="str">
        <f t="shared" si="0"/>
        <v>BelizeGAM</v>
      </c>
      <c r="B10" s="528" t="s">
        <v>368</v>
      </c>
      <c r="C10" s="528" t="s">
        <v>873</v>
      </c>
      <c r="T10" s="723"/>
    </row>
    <row r="11" spans="1:21">
      <c r="A11" t="str">
        <f t="shared" si="0"/>
        <v>BeninGAM</v>
      </c>
      <c r="B11" s="528" t="s">
        <v>126</v>
      </c>
      <c r="C11" s="528" t="s">
        <v>873</v>
      </c>
      <c r="D11" s="112"/>
      <c r="E11" s="112"/>
      <c r="F11" s="112"/>
      <c r="G11" s="112"/>
      <c r="H11" s="112"/>
      <c r="I11" s="1"/>
      <c r="J11" s="344"/>
      <c r="K11" s="344"/>
      <c r="L11" s="344"/>
      <c r="M11" s="344"/>
      <c r="N11" s="344"/>
      <c r="O11" s="344">
        <v>2.7799999999999998E-2</v>
      </c>
      <c r="P11" s="420">
        <v>3.0000000000000001E-3</v>
      </c>
      <c r="Q11" s="420">
        <v>3.2000000000000001E-2</v>
      </c>
      <c r="R11" s="419">
        <f>14111/456602</f>
        <v>3.0904376240139114E-2</v>
      </c>
      <c r="T11" s="723"/>
    </row>
    <row r="12" spans="1:21">
      <c r="A12" t="str">
        <f t="shared" si="0"/>
        <v>BhutanGAM</v>
      </c>
      <c r="B12" s="528" t="s">
        <v>951</v>
      </c>
      <c r="C12" s="528" t="s">
        <v>873</v>
      </c>
      <c r="D12" s="112"/>
      <c r="E12" s="112"/>
      <c r="F12" s="112"/>
      <c r="G12" s="112"/>
      <c r="H12" s="112"/>
      <c r="I12" s="1"/>
      <c r="J12" s="344"/>
      <c r="K12" s="344"/>
      <c r="L12" s="344"/>
      <c r="M12" s="344"/>
      <c r="N12" s="344"/>
      <c r="O12" s="344"/>
      <c r="P12" s="420"/>
      <c r="Q12" s="420"/>
      <c r="R12" s="419"/>
      <c r="T12" s="508">
        <v>0.98599999999999999</v>
      </c>
    </row>
    <row r="13" spans="1:21">
      <c r="A13" t="str">
        <f t="shared" si="0"/>
        <v>BoliviaGAM</v>
      </c>
      <c r="B13" s="528" t="s">
        <v>798</v>
      </c>
      <c r="C13" s="528" t="s">
        <v>873</v>
      </c>
      <c r="D13" s="112"/>
      <c r="E13" s="112"/>
      <c r="F13" s="112"/>
      <c r="G13" s="112"/>
      <c r="H13" s="112"/>
      <c r="I13" s="1"/>
      <c r="J13" s="344"/>
      <c r="K13" s="344"/>
      <c r="L13" s="344"/>
      <c r="M13" s="344">
        <v>0.57999999999999996</v>
      </c>
      <c r="N13" s="344">
        <v>0.6</v>
      </c>
      <c r="O13" s="344">
        <v>0.69099999999999995</v>
      </c>
      <c r="P13" s="344">
        <v>0.999</v>
      </c>
      <c r="Q13" s="344">
        <v>0.95899999999999996</v>
      </c>
      <c r="R13" s="398">
        <f>5762/6002</f>
        <v>0.96001332889036983</v>
      </c>
      <c r="T13" s="723"/>
    </row>
    <row r="14" spans="1:21">
      <c r="A14" t="str">
        <f t="shared" si="0"/>
        <v>BotswanaGAM</v>
      </c>
      <c r="B14" s="528" t="s">
        <v>834</v>
      </c>
      <c r="C14" s="528" t="s">
        <v>873</v>
      </c>
      <c r="T14" s="723">
        <v>0.73099999999999998</v>
      </c>
    </row>
    <row r="15" spans="1:21">
      <c r="A15" t="str">
        <f t="shared" si="0"/>
        <v>BrazilGAM</v>
      </c>
      <c r="B15" s="528" t="s">
        <v>167</v>
      </c>
      <c r="C15" s="528" t="s">
        <v>873</v>
      </c>
      <c r="D15" s="112"/>
      <c r="E15" s="112"/>
      <c r="F15" s="112"/>
      <c r="G15" s="343">
        <v>0.86399999999999999</v>
      </c>
      <c r="H15" s="415"/>
      <c r="I15" s="415"/>
      <c r="J15" s="415"/>
      <c r="K15" s="415"/>
      <c r="L15" s="344"/>
      <c r="M15" s="344"/>
      <c r="N15" s="756">
        <v>0.89500000000000002</v>
      </c>
      <c r="P15" s="756">
        <v>0.88200000000000001</v>
      </c>
      <c r="Q15" s="756">
        <v>0.93500000000000005</v>
      </c>
      <c r="T15" s="723"/>
    </row>
    <row r="16" spans="1:21">
      <c r="A16" t="str">
        <f t="shared" si="0"/>
        <v>BruneiGAM</v>
      </c>
      <c r="B16" s="528" t="s">
        <v>952</v>
      </c>
      <c r="C16" s="528" t="s">
        <v>873</v>
      </c>
      <c r="D16" s="112"/>
      <c r="E16" s="112"/>
      <c r="F16" s="112"/>
      <c r="G16" s="343"/>
      <c r="H16" s="415"/>
      <c r="I16" s="415"/>
      <c r="J16" s="415"/>
      <c r="K16" s="415"/>
      <c r="L16" s="344"/>
      <c r="M16" s="344"/>
      <c r="N16" s="756"/>
      <c r="P16" s="756"/>
      <c r="Q16" s="756"/>
      <c r="T16" s="723">
        <v>1</v>
      </c>
    </row>
    <row r="17" spans="1:21">
      <c r="A17" t="str">
        <f t="shared" si="0"/>
        <v>Burkina FasoGAM</v>
      </c>
      <c r="B17" s="528" t="s">
        <v>168</v>
      </c>
      <c r="C17" s="528" t="s">
        <v>873</v>
      </c>
      <c r="D17" s="112"/>
      <c r="E17" s="112"/>
      <c r="F17" s="112"/>
      <c r="G17" s="112"/>
      <c r="H17" s="112"/>
      <c r="I17" s="1"/>
      <c r="J17" s="344"/>
      <c r="K17" s="344"/>
      <c r="L17" s="344"/>
      <c r="M17" s="344"/>
      <c r="N17" s="344">
        <v>1</v>
      </c>
      <c r="O17" s="344">
        <v>1</v>
      </c>
      <c r="P17" s="344"/>
      <c r="Q17" s="344">
        <v>1</v>
      </c>
      <c r="R17" s="420">
        <v>0.9</v>
      </c>
      <c r="S17" s="344">
        <f>878424/878424</f>
        <v>1</v>
      </c>
      <c r="T17" s="723">
        <v>1</v>
      </c>
    </row>
    <row r="18" spans="1:21">
      <c r="A18" t="str">
        <f t="shared" si="0"/>
        <v>BurundiGAM</v>
      </c>
      <c r="B18" s="528" t="s">
        <v>165</v>
      </c>
      <c r="C18" s="528" t="s">
        <v>873</v>
      </c>
      <c r="D18" s="112"/>
      <c r="E18" s="112"/>
      <c r="F18" s="112"/>
      <c r="G18" s="112"/>
      <c r="H18" s="112"/>
      <c r="I18" s="1"/>
      <c r="J18" s="344"/>
      <c r="K18" s="344"/>
      <c r="L18" s="344"/>
      <c r="M18" s="344"/>
      <c r="N18" s="344"/>
      <c r="O18" s="344"/>
      <c r="P18" s="344">
        <v>7.2999999999999995E-2</v>
      </c>
      <c r="T18" s="723"/>
      <c r="U18" s="744"/>
    </row>
    <row r="19" spans="1:21">
      <c r="A19" t="str">
        <f t="shared" si="0"/>
        <v>Cabo VerdeGAM</v>
      </c>
      <c r="B19" s="528" t="s">
        <v>149</v>
      </c>
      <c r="C19" s="528" t="s">
        <v>873</v>
      </c>
      <c r="D19" s="112"/>
      <c r="E19" s="112"/>
      <c r="F19" s="112"/>
      <c r="G19" s="112"/>
      <c r="H19" s="112"/>
      <c r="I19" s="352">
        <v>1</v>
      </c>
      <c r="J19" s="412"/>
      <c r="K19" s="412"/>
      <c r="L19" s="344">
        <v>0.94399999999999995</v>
      </c>
      <c r="M19" s="344">
        <v>0.95</v>
      </c>
      <c r="N19" s="344">
        <v>0.75700000000000001</v>
      </c>
      <c r="O19" s="344">
        <v>0.94099999999999995</v>
      </c>
      <c r="P19" s="344">
        <v>1</v>
      </c>
      <c r="T19" s="723"/>
    </row>
    <row r="20" spans="1:21">
      <c r="A20" t="str">
        <f t="shared" si="0"/>
        <v>CambodiaGAM</v>
      </c>
      <c r="B20" s="528" t="s">
        <v>169</v>
      </c>
      <c r="C20" s="528" t="s">
        <v>873</v>
      </c>
      <c r="D20" s="112"/>
      <c r="E20" s="112"/>
      <c r="F20" s="112"/>
      <c r="G20" s="112"/>
      <c r="H20" s="112"/>
      <c r="I20" s="352">
        <v>0.06</v>
      </c>
      <c r="J20" s="412"/>
      <c r="K20" s="412"/>
      <c r="L20" s="344">
        <v>0.39</v>
      </c>
      <c r="M20" s="344">
        <v>0.49299999999999999</v>
      </c>
      <c r="N20" s="344">
        <v>0.4118</v>
      </c>
      <c r="O20" s="344">
        <v>0.44900000000000001</v>
      </c>
      <c r="P20" s="344">
        <v>0.434</v>
      </c>
      <c r="Q20" s="344">
        <v>0.54900000000000004</v>
      </c>
      <c r="R20" s="344">
        <f>232843/370262</f>
        <v>0.62886010446656693</v>
      </c>
      <c r="S20" s="420">
        <f>305740/376064</f>
        <v>0.81299991490810075</v>
      </c>
      <c r="T20" s="723">
        <v>0.79700000000000004</v>
      </c>
    </row>
    <row r="21" spans="1:21">
      <c r="A21" t="str">
        <f t="shared" si="0"/>
        <v>Central African RepublicGAM</v>
      </c>
      <c r="B21" s="528" t="s">
        <v>153</v>
      </c>
      <c r="C21" s="528" t="s">
        <v>873</v>
      </c>
      <c r="D21" s="112"/>
      <c r="E21" s="112"/>
      <c r="F21" s="112"/>
      <c r="G21" s="112"/>
      <c r="H21" s="112"/>
      <c r="I21" s="406">
        <v>0.53500000000000003</v>
      </c>
      <c r="J21" s="414"/>
      <c r="K21" s="344">
        <v>0.71899999999999997</v>
      </c>
      <c r="L21" s="344">
        <v>0.82599999999999996</v>
      </c>
      <c r="M21" s="391"/>
      <c r="N21" s="344">
        <v>0.35799999999999998</v>
      </c>
      <c r="O21" s="391"/>
      <c r="P21" s="344">
        <v>0.48899999999999999</v>
      </c>
      <c r="Q21" s="344">
        <v>0.33300000000000002</v>
      </c>
      <c r="R21" s="344">
        <f>43533/77624</f>
        <v>0.56081881892198293</v>
      </c>
      <c r="S21" s="420">
        <f>62693/88773</f>
        <v>0.70621698038818104</v>
      </c>
      <c r="T21" s="723">
        <v>0.55900000000000005</v>
      </c>
    </row>
    <row r="22" spans="1:21">
      <c r="A22" t="str">
        <f t="shared" si="0"/>
        <v>ChileGAM</v>
      </c>
      <c r="B22" s="528" t="s">
        <v>170</v>
      </c>
      <c r="C22" s="528" t="s">
        <v>873</v>
      </c>
      <c r="D22" s="112"/>
      <c r="E22" s="112"/>
      <c r="F22" s="112"/>
      <c r="G22" s="112"/>
      <c r="H22" s="112"/>
      <c r="I22" s="352">
        <v>1</v>
      </c>
      <c r="J22" s="412"/>
      <c r="K22" s="344">
        <v>1</v>
      </c>
      <c r="L22" s="344">
        <v>1</v>
      </c>
      <c r="M22" s="344">
        <v>0.85699999999999998</v>
      </c>
      <c r="N22" s="344">
        <v>0.94599999999999995</v>
      </c>
      <c r="O22" s="344">
        <v>0.91300000000000003</v>
      </c>
      <c r="P22" s="344">
        <v>1</v>
      </c>
      <c r="Q22" s="391"/>
      <c r="R22" s="344">
        <v>1</v>
      </c>
      <c r="T22" s="723">
        <v>1</v>
      </c>
    </row>
    <row r="23" spans="1:21">
      <c r="A23" t="str">
        <f t="shared" si="0"/>
        <v>ChinaGAM</v>
      </c>
      <c r="B23" s="528" t="s">
        <v>349</v>
      </c>
      <c r="C23" s="528" t="s">
        <v>873</v>
      </c>
      <c r="T23" s="723">
        <v>0.998</v>
      </c>
    </row>
    <row r="24" spans="1:21">
      <c r="A24" t="str">
        <f t="shared" si="0"/>
        <v>ColombiaGAM</v>
      </c>
      <c r="B24" s="528" t="s">
        <v>171</v>
      </c>
      <c r="C24" s="528" t="s">
        <v>873</v>
      </c>
      <c r="D24" s="112"/>
      <c r="E24" s="112"/>
      <c r="F24" s="112"/>
      <c r="G24" s="112"/>
      <c r="H24" s="112"/>
      <c r="I24" s="344"/>
      <c r="J24" s="344"/>
      <c r="K24" s="344"/>
      <c r="L24" s="344">
        <v>0.73599999999999999</v>
      </c>
      <c r="M24" s="344">
        <v>0.82599999999999996</v>
      </c>
      <c r="N24" s="391"/>
      <c r="O24" s="344">
        <v>0.34499999999999997</v>
      </c>
      <c r="P24" s="344">
        <v>0.622</v>
      </c>
      <c r="Q24" s="344">
        <v>0.40699999999999997</v>
      </c>
      <c r="R24" s="344">
        <f>396474/673770</f>
        <v>0.58844115944610176</v>
      </c>
      <c r="S24" s="420">
        <f>298504/704662</f>
        <v>0.42361302298123071</v>
      </c>
      <c r="T24" s="723">
        <v>0.74099999999999999</v>
      </c>
    </row>
    <row r="25" spans="1:21">
      <c r="A25" t="str">
        <f t="shared" si="0"/>
        <v>Costa RicaGAM</v>
      </c>
      <c r="B25" s="528" t="s">
        <v>350</v>
      </c>
      <c r="C25" s="528" t="s">
        <v>873</v>
      </c>
      <c r="D25" s="112"/>
      <c r="E25" s="112"/>
      <c r="F25" s="112"/>
      <c r="G25" s="112"/>
      <c r="H25" s="112"/>
      <c r="I25" s="1"/>
      <c r="J25" s="344"/>
      <c r="K25" s="344"/>
      <c r="L25" s="344"/>
      <c r="M25" s="344"/>
      <c r="N25" s="344"/>
      <c r="O25" s="344"/>
      <c r="P25" s="344"/>
      <c r="Q25" s="344"/>
      <c r="R25" s="344">
        <f>55232/72674</f>
        <v>0.7599966975809781</v>
      </c>
      <c r="S25" s="344">
        <f>52099/66794</f>
        <v>0.77999520915052245</v>
      </c>
      <c r="T25" s="723">
        <v>0.78</v>
      </c>
    </row>
    <row r="26" spans="1:21">
      <c r="A26" t="str">
        <f t="shared" si="0"/>
        <v>CubaGAM</v>
      </c>
      <c r="B26" s="528" t="s">
        <v>164</v>
      </c>
      <c r="C26" s="528" t="s">
        <v>873</v>
      </c>
      <c r="D26" s="112"/>
      <c r="E26" s="112"/>
      <c r="F26" s="112"/>
      <c r="G26" s="112"/>
      <c r="H26" s="112"/>
      <c r="I26" s="1"/>
      <c r="J26" s="344"/>
      <c r="K26" s="344">
        <v>1</v>
      </c>
      <c r="L26" s="344">
        <v>1</v>
      </c>
      <c r="M26" s="344">
        <v>1</v>
      </c>
      <c r="N26" s="344">
        <v>1</v>
      </c>
      <c r="O26" s="344">
        <v>0.99399999999999999</v>
      </c>
      <c r="P26" s="344">
        <v>1</v>
      </c>
      <c r="Q26" s="344">
        <v>1</v>
      </c>
      <c r="R26" s="344">
        <v>1</v>
      </c>
      <c r="S26" s="344">
        <f>114120/114122</f>
        <v>0.99998247489528747</v>
      </c>
      <c r="T26" s="723">
        <v>1</v>
      </c>
    </row>
    <row r="27" spans="1:21">
      <c r="A27" t="str">
        <f t="shared" si="0"/>
        <v>Democratic Republic of CongoGAM</v>
      </c>
      <c r="B27" s="528" t="s">
        <v>152</v>
      </c>
      <c r="C27" s="528" t="s">
        <v>873</v>
      </c>
      <c r="D27" s="112"/>
      <c r="E27" s="112"/>
      <c r="F27" s="112"/>
      <c r="G27" s="112"/>
      <c r="H27" s="112"/>
      <c r="I27" s="1"/>
      <c r="J27" s="344">
        <v>2.1000000000000001E-2</v>
      </c>
      <c r="K27" s="404"/>
      <c r="L27" s="404"/>
      <c r="M27" s="404"/>
      <c r="N27" s="404"/>
      <c r="O27" s="344">
        <v>0.72799999999999998</v>
      </c>
      <c r="P27" s="344">
        <v>0.316</v>
      </c>
      <c r="Q27" s="404"/>
      <c r="R27" s="344">
        <v>0.121</v>
      </c>
      <c r="S27" s="344">
        <f>238918/2208066</f>
        <v>0.10820238163170848</v>
      </c>
      <c r="T27" s="723">
        <v>4.5999999999999999E-2</v>
      </c>
    </row>
    <row r="28" spans="1:21">
      <c r="A28" t="str">
        <f t="shared" si="0"/>
        <v>DominicaGAM</v>
      </c>
      <c r="B28" s="528" t="s">
        <v>351</v>
      </c>
      <c r="C28" s="528" t="s">
        <v>873</v>
      </c>
      <c r="D28" s="112"/>
      <c r="E28" s="112"/>
      <c r="F28" s="112"/>
      <c r="G28" s="112"/>
      <c r="H28" s="112"/>
      <c r="I28" s="1"/>
      <c r="J28" s="344"/>
      <c r="K28" s="344"/>
      <c r="L28" s="344"/>
      <c r="M28" s="344"/>
      <c r="N28" s="344"/>
      <c r="O28" s="344"/>
      <c r="P28" s="344"/>
      <c r="Q28" s="344"/>
      <c r="R28" s="344">
        <f>483/541</f>
        <v>0.89279112754158962</v>
      </c>
      <c r="T28" s="723">
        <v>1</v>
      </c>
    </row>
    <row r="29" spans="1:21">
      <c r="A29" t="str">
        <f t="shared" si="0"/>
        <v>Dominican RepublicGAM</v>
      </c>
      <c r="B29" s="528" t="s">
        <v>172</v>
      </c>
      <c r="C29" s="528" t="s">
        <v>873</v>
      </c>
      <c r="D29" s="112"/>
      <c r="E29" s="112"/>
      <c r="F29" s="112"/>
      <c r="G29" s="112"/>
      <c r="H29" s="112"/>
      <c r="I29" s="1"/>
      <c r="J29" s="344"/>
      <c r="K29" s="344"/>
      <c r="L29" s="344"/>
      <c r="M29" s="344">
        <v>0.13700000000000001</v>
      </c>
      <c r="N29" s="404"/>
      <c r="O29" s="344">
        <v>0.16800000000000001</v>
      </c>
      <c r="P29" s="404"/>
      <c r="Q29" s="344">
        <v>0.52100000000000002</v>
      </c>
      <c r="R29" s="344">
        <f>123526/292779</f>
        <v>0.42190867514405062</v>
      </c>
      <c r="S29" s="344">
        <f>134472/266967</f>
        <v>0.50370270482868673</v>
      </c>
      <c r="T29" s="723"/>
    </row>
    <row r="30" spans="1:21">
      <c r="A30" t="str">
        <f t="shared" si="0"/>
        <v>EcuadorGAM</v>
      </c>
      <c r="B30" s="528" t="s">
        <v>352</v>
      </c>
      <c r="C30" s="528" t="s">
        <v>873</v>
      </c>
      <c r="D30" s="112"/>
      <c r="E30" s="112"/>
      <c r="F30" s="112"/>
      <c r="G30" s="112"/>
      <c r="H30" s="112"/>
      <c r="I30" s="1"/>
      <c r="J30" s="344"/>
      <c r="K30" s="344"/>
      <c r="L30" s="344"/>
      <c r="M30" s="344"/>
      <c r="N30" s="344"/>
      <c r="O30" s="344"/>
      <c r="P30" s="344"/>
      <c r="Q30" s="344"/>
      <c r="R30" s="344">
        <v>1</v>
      </c>
      <c r="S30" s="344">
        <f>332012/425236</f>
        <v>0.78077114825649752</v>
      </c>
      <c r="T30" s="723"/>
    </row>
    <row r="31" spans="1:21">
      <c r="A31" t="str">
        <f t="shared" si="0"/>
        <v>El SalvadorGAM</v>
      </c>
      <c r="B31" s="528" t="s">
        <v>353</v>
      </c>
      <c r="C31" s="528" t="s">
        <v>873</v>
      </c>
      <c r="D31" s="112"/>
      <c r="E31" s="112"/>
      <c r="F31" s="112"/>
      <c r="G31" s="112"/>
      <c r="H31" s="112"/>
      <c r="I31" s="1"/>
      <c r="J31" s="344"/>
      <c r="K31" s="344"/>
      <c r="L31" s="344"/>
      <c r="M31" s="344"/>
      <c r="N31" s="344"/>
      <c r="O31" s="344"/>
      <c r="P31" s="344"/>
      <c r="Q31" s="344"/>
      <c r="R31" s="344">
        <f>51093/54975</f>
        <v>0.92938608458390182</v>
      </c>
      <c r="S31" s="344">
        <f>33730/38096</f>
        <v>0.88539479210415795</v>
      </c>
      <c r="T31" s="723">
        <v>0.75600000000000001</v>
      </c>
    </row>
    <row r="32" spans="1:21">
      <c r="A32" t="str">
        <f t="shared" si="0"/>
        <v>Equatorial GuineaGAM</v>
      </c>
      <c r="B32" s="528" t="s">
        <v>129</v>
      </c>
      <c r="C32" s="528" t="s">
        <v>873</v>
      </c>
      <c r="D32" s="112"/>
      <c r="E32" s="112"/>
      <c r="F32" s="112"/>
      <c r="G32" s="112"/>
      <c r="H32" s="112"/>
      <c r="I32" s="1"/>
      <c r="J32" s="344"/>
      <c r="K32" s="344"/>
      <c r="L32" s="344"/>
      <c r="M32" s="344">
        <v>0.75800000000000001</v>
      </c>
      <c r="N32" s="344">
        <v>0.60299999999999998</v>
      </c>
      <c r="O32" s="344">
        <v>0.26700000000000002</v>
      </c>
      <c r="P32" s="344">
        <v>0.374</v>
      </c>
      <c r="T32" s="723"/>
    </row>
    <row r="33" spans="1:20">
      <c r="A33" t="str">
        <f t="shared" si="0"/>
        <v>EritreaGAM</v>
      </c>
      <c r="B33" s="528" t="s">
        <v>128</v>
      </c>
      <c r="C33" s="528" t="s">
        <v>873</v>
      </c>
      <c r="D33" s="112"/>
      <c r="E33" s="112"/>
      <c r="F33" s="112"/>
      <c r="G33" s="112"/>
      <c r="H33" s="112"/>
      <c r="I33" s="1"/>
      <c r="J33" s="344">
        <v>0.34799999999999998</v>
      </c>
      <c r="K33" s="391"/>
      <c r="L33" s="391"/>
      <c r="M33" s="391"/>
      <c r="N33" s="344">
        <v>0.58299999999999996</v>
      </c>
      <c r="O33" s="391"/>
      <c r="P33" s="391"/>
      <c r="Q33" s="344">
        <v>0.85199999999999998</v>
      </c>
      <c r="R33" s="404"/>
      <c r="S33" s="344">
        <f>83863/86530</f>
        <v>0.96917831965792212</v>
      </c>
      <c r="T33" s="723">
        <v>0.83799999999999997</v>
      </c>
    </row>
    <row r="34" spans="1:20">
      <c r="A34" t="str">
        <f t="shared" si="0"/>
        <v>EswatiniGAM</v>
      </c>
      <c r="B34" s="528" t="s">
        <v>835</v>
      </c>
      <c r="C34" s="528" t="s">
        <v>873</v>
      </c>
      <c r="D34" s="112"/>
      <c r="E34" s="112"/>
      <c r="F34" s="112"/>
      <c r="G34" s="112"/>
      <c r="H34" s="112"/>
      <c r="I34" s="1"/>
      <c r="J34" s="344">
        <v>0.34799999999999998</v>
      </c>
      <c r="K34" s="391"/>
      <c r="L34" s="391"/>
      <c r="M34" s="391"/>
      <c r="N34" s="344">
        <v>0.58299999999999996</v>
      </c>
      <c r="O34" s="391"/>
      <c r="P34" s="391"/>
      <c r="Q34" s="344">
        <v>0.85199999999999998</v>
      </c>
      <c r="T34" s="723"/>
    </row>
    <row r="35" spans="1:20">
      <c r="A35" t="str">
        <f t="shared" si="0"/>
        <v>EthiopiaGAM</v>
      </c>
      <c r="B35" s="528" t="s">
        <v>127</v>
      </c>
      <c r="C35" s="528" t="s">
        <v>873</v>
      </c>
      <c r="D35" s="112"/>
      <c r="E35" s="112"/>
      <c r="F35" s="112"/>
      <c r="G35" s="112"/>
      <c r="H35" s="112"/>
      <c r="I35" s="406">
        <v>1.6E-2</v>
      </c>
      <c r="J35" s="407"/>
      <c r="K35" s="407"/>
      <c r="L35" s="407"/>
      <c r="M35" s="407"/>
      <c r="N35" s="407"/>
      <c r="O35" s="344">
        <v>0.28100000000000003</v>
      </c>
      <c r="P35" s="344">
        <v>0.34499999999999997</v>
      </c>
      <c r="Q35" s="344">
        <v>0.40500000000000003</v>
      </c>
      <c r="T35" s="723">
        <v>0.61299999999999999</v>
      </c>
    </row>
    <row r="36" spans="1:20">
      <c r="A36" t="str">
        <f t="shared" ref="A36:A67" si="1">B36&amp;C36</f>
        <v>Federated States of MicronesiaGAM</v>
      </c>
      <c r="B36" s="528" t="s">
        <v>356</v>
      </c>
      <c r="C36" s="528" t="s">
        <v>873</v>
      </c>
      <c r="D36" s="418"/>
      <c r="E36" s="418"/>
      <c r="F36" s="418"/>
      <c r="G36" s="418"/>
      <c r="H36" s="418"/>
      <c r="I36" s="417"/>
      <c r="J36" s="417"/>
      <c r="K36" s="417"/>
      <c r="L36" s="417"/>
      <c r="M36" s="543">
        <v>1</v>
      </c>
      <c r="N36" s="543">
        <v>0.73599999999999999</v>
      </c>
      <c r="O36" s="420">
        <v>0.97199999999999998</v>
      </c>
      <c r="P36" s="404"/>
      <c r="Q36" s="344">
        <v>1</v>
      </c>
      <c r="R36" s="344">
        <f>1841/1949</f>
        <v>0.94458696767573114</v>
      </c>
      <c r="T36" s="723"/>
    </row>
    <row r="37" spans="1:20">
      <c r="A37" t="str">
        <f t="shared" si="1"/>
        <v>FijiGAM</v>
      </c>
      <c r="B37" s="528" t="s">
        <v>338</v>
      </c>
      <c r="C37" s="528" t="s">
        <v>873</v>
      </c>
      <c r="D37" s="112"/>
      <c r="E37" s="112"/>
      <c r="F37" s="112"/>
      <c r="G37" s="112"/>
      <c r="H37" s="112"/>
      <c r="I37" s="352">
        <v>1</v>
      </c>
      <c r="J37" s="410"/>
      <c r="K37" s="410"/>
      <c r="L37" s="352">
        <v>0.72799999999999998</v>
      </c>
      <c r="M37" s="410"/>
      <c r="N37" s="410"/>
      <c r="O37" s="407"/>
      <c r="P37" s="344">
        <v>1</v>
      </c>
      <c r="T37" s="723"/>
    </row>
    <row r="38" spans="1:20">
      <c r="A38" t="str">
        <f t="shared" si="1"/>
        <v>GabonGAM</v>
      </c>
      <c r="B38" s="528" t="s">
        <v>130</v>
      </c>
      <c r="C38" s="528" t="s">
        <v>873</v>
      </c>
      <c r="D38" s="112"/>
      <c r="E38" s="112"/>
      <c r="F38" s="112"/>
      <c r="G38" s="112"/>
      <c r="H38" s="112"/>
      <c r="I38" s="352">
        <v>0.95</v>
      </c>
      <c r="J38" s="410"/>
      <c r="K38" s="410"/>
      <c r="L38" s="344">
        <v>0.95</v>
      </c>
      <c r="M38" s="344">
        <v>0.61399999999999999</v>
      </c>
      <c r="N38" s="344">
        <v>0.64</v>
      </c>
      <c r="O38" s="344">
        <v>0.29199999999999998</v>
      </c>
      <c r="P38" s="344">
        <v>0.39500000000000002</v>
      </c>
      <c r="Q38" s="344">
        <v>0.13300000000000001</v>
      </c>
      <c r="R38" s="344">
        <f>9094/29235</f>
        <v>0.31106550367709934</v>
      </c>
      <c r="S38" s="344">
        <f>7399/78939</f>
        <v>9.3730602110490377E-2</v>
      </c>
      <c r="T38" s="723">
        <v>0.23799999999999999</v>
      </c>
    </row>
    <row r="39" spans="1:20">
      <c r="A39" t="str">
        <f t="shared" si="1"/>
        <v>GeorgiaGAM</v>
      </c>
      <c r="B39" s="528" t="s">
        <v>173</v>
      </c>
      <c r="C39" s="528" t="s">
        <v>873</v>
      </c>
      <c r="D39" s="112"/>
      <c r="E39" s="112"/>
      <c r="F39" s="112"/>
      <c r="G39" s="112"/>
      <c r="H39" s="343">
        <v>0.88</v>
      </c>
      <c r="I39" s="409"/>
      <c r="J39" s="409"/>
      <c r="K39" s="409"/>
      <c r="L39" s="344">
        <v>0.88100000000000001</v>
      </c>
      <c r="M39" s="344">
        <v>0.86099999999999999</v>
      </c>
      <c r="N39" s="344">
        <v>0.85499999999999998</v>
      </c>
      <c r="O39" s="344">
        <v>0.875</v>
      </c>
      <c r="P39" s="344">
        <v>0.89100000000000001</v>
      </c>
      <c r="Q39" s="344">
        <v>0.93500000000000005</v>
      </c>
      <c r="R39" s="344">
        <f>52938/57428</f>
        <v>0.92181514243922824</v>
      </c>
      <c r="S39" s="344">
        <f>50681/55348</f>
        <v>0.91567897665678977</v>
      </c>
      <c r="T39" s="723">
        <v>0.95</v>
      </c>
    </row>
    <row r="40" spans="1:20">
      <c r="A40" t="str">
        <f t="shared" si="1"/>
        <v>GhanaGAM</v>
      </c>
      <c r="B40" s="528" t="s">
        <v>131</v>
      </c>
      <c r="C40" s="528" t="s">
        <v>873</v>
      </c>
      <c r="D40" s="112"/>
      <c r="E40" s="112"/>
      <c r="F40" s="112"/>
      <c r="G40" s="112"/>
      <c r="H40" s="112"/>
      <c r="I40" s="1"/>
      <c r="J40" s="344"/>
      <c r="K40" s="344">
        <v>0.09</v>
      </c>
      <c r="L40" s="404"/>
      <c r="M40" s="344">
        <v>0.41499999999999998</v>
      </c>
      <c r="N40" s="404"/>
      <c r="O40" s="344">
        <v>0.33900000000000002</v>
      </c>
      <c r="P40" s="344">
        <v>0.61799999999999999</v>
      </c>
      <c r="Q40" s="344">
        <v>0.77600000000000002</v>
      </c>
      <c r="R40" s="344">
        <f>420681/942149</f>
        <v>0.4465121758872535</v>
      </c>
      <c r="T40" s="723">
        <v>0.56499999999999995</v>
      </c>
    </row>
    <row r="41" spans="1:20">
      <c r="A41" t="str">
        <f t="shared" si="1"/>
        <v>GrenadaGAM</v>
      </c>
      <c r="B41" s="528" t="s">
        <v>354</v>
      </c>
      <c r="C41" s="528" t="s">
        <v>873</v>
      </c>
      <c r="D41" s="112"/>
      <c r="E41" s="112"/>
      <c r="F41" s="112"/>
      <c r="G41" s="112"/>
      <c r="H41" s="112"/>
      <c r="I41" s="1"/>
      <c r="J41" s="344"/>
      <c r="K41" s="344"/>
      <c r="L41" s="344"/>
      <c r="M41" s="344"/>
      <c r="N41" s="344"/>
      <c r="O41" s="344"/>
      <c r="P41" s="344"/>
      <c r="Q41" s="344"/>
      <c r="R41" s="344"/>
      <c r="S41" s="344">
        <f>625/793</f>
        <v>0.78814627994955866</v>
      </c>
      <c r="T41" s="723"/>
    </row>
    <row r="42" spans="1:20">
      <c r="A42" t="str">
        <f t="shared" si="1"/>
        <v>GuatemalaGAM</v>
      </c>
      <c r="B42" s="528" t="s">
        <v>355</v>
      </c>
      <c r="C42" s="528" t="s">
        <v>873</v>
      </c>
      <c r="D42" s="112"/>
      <c r="E42" s="112"/>
      <c r="F42" s="112"/>
      <c r="G42" s="112"/>
      <c r="H42" s="112"/>
      <c r="I42" s="1"/>
      <c r="J42" s="344"/>
      <c r="K42" s="344"/>
      <c r="L42" s="344"/>
      <c r="M42" s="344"/>
      <c r="N42" s="344"/>
      <c r="O42" s="344"/>
      <c r="P42" s="344"/>
      <c r="Q42" s="344"/>
      <c r="R42" s="344">
        <f>120425/324847</f>
        <v>0.37071298180374146</v>
      </c>
      <c r="S42" s="344">
        <f>182934/508145</f>
        <v>0.36000354229599818</v>
      </c>
      <c r="T42" s="723">
        <v>0.51400000000000001</v>
      </c>
    </row>
    <row r="43" spans="1:20">
      <c r="A43" t="str">
        <f t="shared" si="1"/>
        <v>GuineaGAM</v>
      </c>
      <c r="B43" s="528" t="s">
        <v>132</v>
      </c>
      <c r="C43" s="528" t="s">
        <v>873</v>
      </c>
      <c r="D43" s="112"/>
      <c r="E43" s="112"/>
      <c r="F43" s="112"/>
      <c r="G43" s="112"/>
      <c r="H43" s="112"/>
      <c r="I43" s="406">
        <v>0.308</v>
      </c>
      <c r="J43" s="406">
        <v>0.308</v>
      </c>
      <c r="K43" s="404"/>
      <c r="L43" s="404"/>
      <c r="M43" s="404"/>
      <c r="N43" s="404"/>
      <c r="O43" s="404"/>
      <c r="P43" s="344">
        <v>0.111</v>
      </c>
      <c r="Q43" s="344">
        <v>3.4000000000000002E-2</v>
      </c>
      <c r="R43" s="344">
        <f>15910/334864</f>
        <v>4.7511825696402124E-2</v>
      </c>
      <c r="T43" s="723">
        <v>0.214</v>
      </c>
    </row>
    <row r="44" spans="1:20">
      <c r="A44" t="str">
        <f t="shared" si="1"/>
        <v>GuyanaGAM</v>
      </c>
      <c r="B44" s="528" t="s">
        <v>357</v>
      </c>
      <c r="C44" s="528" t="s">
        <v>873</v>
      </c>
      <c r="T44" s="723"/>
    </row>
    <row r="45" spans="1:20">
      <c r="A45" t="str">
        <f t="shared" si="1"/>
        <v>HaitiGAM</v>
      </c>
      <c r="B45" s="528" t="s">
        <v>174</v>
      </c>
      <c r="C45" s="528" t="s">
        <v>873</v>
      </c>
      <c r="D45" s="112"/>
      <c r="E45" s="112"/>
      <c r="F45" s="112"/>
      <c r="G45" s="112"/>
      <c r="H45" s="112"/>
      <c r="I45" s="1"/>
      <c r="J45" s="344"/>
      <c r="K45" s="344">
        <v>0.68400000000000005</v>
      </c>
      <c r="L45" s="404"/>
      <c r="M45" s="404"/>
      <c r="N45" s="344">
        <v>0.61699999999999999</v>
      </c>
      <c r="O45" s="404"/>
      <c r="P45" s="344">
        <v>0.88500000000000001</v>
      </c>
      <c r="Q45" s="344">
        <v>0.92500000000000004</v>
      </c>
      <c r="R45" s="404"/>
      <c r="S45" s="344">
        <f>249180/277309</f>
        <v>0.89856441731065351</v>
      </c>
      <c r="T45" s="723">
        <v>0.747</v>
      </c>
    </row>
    <row r="46" spans="1:20">
      <c r="A46" t="str">
        <f t="shared" si="1"/>
        <v>HondurasGAM</v>
      </c>
      <c r="B46" s="528" t="s">
        <v>358</v>
      </c>
      <c r="C46" s="528" t="s">
        <v>873</v>
      </c>
      <c r="D46" s="112"/>
      <c r="E46" s="112"/>
      <c r="F46" s="112"/>
      <c r="G46" s="112"/>
      <c r="H46" s="112"/>
      <c r="I46" s="1"/>
      <c r="J46" s="344"/>
      <c r="K46" s="344"/>
      <c r="L46" s="344"/>
      <c r="M46" s="344"/>
      <c r="N46" s="344"/>
      <c r="O46" s="344"/>
      <c r="P46" s="344"/>
      <c r="Q46" s="344"/>
      <c r="R46" s="344">
        <f>114543/166055</f>
        <v>0.68978952756616785</v>
      </c>
      <c r="S46" s="344">
        <f>173934/182523</f>
        <v>0.9529429167830904</v>
      </c>
      <c r="T46" s="723">
        <v>0.86899999999999999</v>
      </c>
    </row>
    <row r="47" spans="1:20">
      <c r="A47" t="str">
        <f t="shared" si="1"/>
        <v>IndiaGAM</v>
      </c>
      <c r="B47" s="528" t="s">
        <v>175</v>
      </c>
      <c r="C47" s="528" t="s">
        <v>873</v>
      </c>
      <c r="D47" s="112"/>
      <c r="E47" s="112"/>
      <c r="F47" s="112"/>
      <c r="G47" s="112"/>
      <c r="H47" s="112"/>
      <c r="I47" s="1"/>
      <c r="J47" s="344"/>
      <c r="K47" s="1"/>
      <c r="L47" s="344">
        <v>0.65400000000000003</v>
      </c>
      <c r="M47" s="344">
        <v>0.69199999999999995</v>
      </c>
      <c r="N47" s="344">
        <v>0.63600000000000001</v>
      </c>
      <c r="O47" s="344">
        <v>0.65100000000000002</v>
      </c>
      <c r="P47" s="344">
        <v>0.65300000000000002</v>
      </c>
      <c r="Q47" s="344">
        <v>0.82099999999999995</v>
      </c>
      <c r="R47" s="344">
        <f>5959183/30052584</f>
        <v>0.19829186734824533</v>
      </c>
      <c r="T47" s="723">
        <v>0.33850000000000002</v>
      </c>
    </row>
    <row r="48" spans="1:20">
      <c r="A48" t="str">
        <f t="shared" si="1"/>
        <v>IndonesiaGAM</v>
      </c>
      <c r="B48" s="528" t="s">
        <v>866</v>
      </c>
      <c r="C48" s="528" t="s">
        <v>873</v>
      </c>
      <c r="T48" s="723">
        <v>8.1000000000000003E-2</v>
      </c>
    </row>
    <row r="49" spans="1:21">
      <c r="A49" t="str">
        <f t="shared" si="1"/>
        <v>JamaicaGAM</v>
      </c>
      <c r="B49" s="528" t="s">
        <v>176</v>
      </c>
      <c r="C49" s="528" t="s">
        <v>873</v>
      </c>
      <c r="D49" s="112"/>
      <c r="E49" s="112"/>
      <c r="F49" s="112"/>
      <c r="G49" s="112"/>
      <c r="H49" s="112"/>
      <c r="I49" s="351">
        <v>0.77800000000000002</v>
      </c>
      <c r="J49" s="344">
        <v>0.73099999999999998</v>
      </c>
      <c r="K49" s="344">
        <v>0.82499999999999996</v>
      </c>
      <c r="L49" s="391"/>
      <c r="M49" s="344">
        <v>0.871</v>
      </c>
      <c r="N49" s="344">
        <v>0.89200000000000002</v>
      </c>
      <c r="O49" s="391"/>
      <c r="P49" s="344">
        <v>0.88400000000000001</v>
      </c>
      <c r="Q49" s="344">
        <v>0.9</v>
      </c>
      <c r="T49" s="723">
        <v>0.154</v>
      </c>
    </row>
    <row r="50" spans="1:21">
      <c r="A50" t="str">
        <f t="shared" si="1"/>
        <v>KenyaGAM</v>
      </c>
      <c r="B50" s="528" t="s">
        <v>133</v>
      </c>
      <c r="C50" s="528" t="s">
        <v>873</v>
      </c>
      <c r="D50" s="112"/>
      <c r="E50" s="112"/>
      <c r="F50" s="112"/>
      <c r="G50" s="112"/>
      <c r="H50" s="112"/>
      <c r="I50" s="1"/>
      <c r="J50" s="344"/>
      <c r="K50" s="344">
        <v>0.58799999999999997</v>
      </c>
      <c r="L50" s="344">
        <v>0.63500000000000001</v>
      </c>
      <c r="M50" s="344">
        <v>0.71799999999999997</v>
      </c>
      <c r="N50" s="344">
        <v>0.68799999999999994</v>
      </c>
      <c r="O50" s="344">
        <v>0.70299999999999996</v>
      </c>
      <c r="P50" s="344">
        <v>0.74209999999999998</v>
      </c>
      <c r="Q50" s="344">
        <v>0.73</v>
      </c>
      <c r="R50" s="344">
        <f>933025/1088119</f>
        <v>0.85746595730797825</v>
      </c>
      <c r="S50" s="344">
        <f>1229874/1662190</f>
        <v>0.73991180310313498</v>
      </c>
      <c r="T50" s="723">
        <v>0.81</v>
      </c>
    </row>
    <row r="51" spans="1:21">
      <c r="A51" t="str">
        <f t="shared" si="1"/>
        <v>LesothoGAM</v>
      </c>
      <c r="B51" s="528" t="s">
        <v>930</v>
      </c>
      <c r="C51" s="528" t="s">
        <v>873</v>
      </c>
      <c r="D51" s="723"/>
      <c r="E51" s="723"/>
      <c r="F51" s="723"/>
      <c r="G51" s="723"/>
      <c r="H51" s="723"/>
      <c r="I51" s="723"/>
      <c r="J51" s="723"/>
      <c r="K51" s="723"/>
      <c r="L51" s="723"/>
      <c r="M51" s="723"/>
      <c r="N51" s="723">
        <v>0.98</v>
      </c>
      <c r="O51" s="723"/>
      <c r="P51" s="723"/>
      <c r="Q51" s="723">
        <v>0.77500000000000002</v>
      </c>
      <c r="R51" s="723">
        <v>0.91200000000000003</v>
      </c>
      <c r="S51" s="723">
        <v>0.74</v>
      </c>
      <c r="T51" s="723">
        <v>0.78500000000000003</v>
      </c>
      <c r="U51" s="723"/>
    </row>
    <row r="52" spans="1:21">
      <c r="A52" t="str">
        <f t="shared" si="1"/>
        <v>LiberiaGAM</v>
      </c>
      <c r="B52" s="528" t="s">
        <v>134</v>
      </c>
      <c r="C52" s="528" t="s">
        <v>873</v>
      </c>
      <c r="D52" s="112"/>
      <c r="E52" s="112"/>
      <c r="F52" s="112"/>
      <c r="G52" s="112"/>
      <c r="H52" s="112"/>
      <c r="I52" s="1"/>
      <c r="J52" s="344"/>
      <c r="K52" s="344">
        <v>0.109</v>
      </c>
      <c r="L52" s="391"/>
      <c r="M52" s="391"/>
      <c r="N52" s="344">
        <v>0.16400000000000001</v>
      </c>
      <c r="O52" s="344">
        <v>0.111</v>
      </c>
      <c r="P52" s="344">
        <v>7.8E-2</v>
      </c>
      <c r="Q52" s="391"/>
      <c r="R52" s="391"/>
      <c r="S52" s="344">
        <f>143893/177523</f>
        <v>0.8105597584538341</v>
      </c>
      <c r="T52" s="723">
        <v>7.5999999999999998E-2</v>
      </c>
    </row>
    <row r="53" spans="1:21">
      <c r="A53" t="str">
        <f t="shared" si="1"/>
        <v>MadagascarGAM</v>
      </c>
      <c r="B53" s="528" t="s">
        <v>135</v>
      </c>
      <c r="C53" s="528" t="s">
        <v>873</v>
      </c>
      <c r="D53" s="112"/>
      <c r="E53" s="112"/>
      <c r="F53" s="112"/>
      <c r="G53" s="112"/>
      <c r="H53" s="112"/>
      <c r="I53" s="1"/>
      <c r="J53" s="344"/>
      <c r="K53" s="344"/>
      <c r="L53" s="344">
        <v>0.25900000000000001</v>
      </c>
      <c r="M53" s="344">
        <v>0.377</v>
      </c>
      <c r="N53" s="344">
        <v>0.502</v>
      </c>
      <c r="O53" s="344">
        <v>0.30399999999999999</v>
      </c>
      <c r="P53" s="344">
        <v>0.42199999999999999</v>
      </c>
      <c r="Q53" s="344">
        <v>0.29799999999999999</v>
      </c>
      <c r="R53" s="344">
        <f>168621/585961</f>
        <v>0.28776829857277192</v>
      </c>
      <c r="S53" s="344">
        <f>98421/718630</f>
        <v>0.13695643098673865</v>
      </c>
      <c r="T53" s="723">
        <v>9.8000000000000004E-2</v>
      </c>
    </row>
    <row r="54" spans="1:21">
      <c r="A54" t="str">
        <f t="shared" si="1"/>
        <v>MalawiGAM</v>
      </c>
      <c r="B54" s="528" t="s">
        <v>136</v>
      </c>
      <c r="C54" s="528" t="s">
        <v>873</v>
      </c>
      <c r="D54" s="112"/>
      <c r="E54" s="112"/>
      <c r="F54" s="112"/>
      <c r="G54" s="112"/>
      <c r="H54" s="112"/>
      <c r="I54" s="1"/>
      <c r="J54" s="344"/>
      <c r="K54" s="344"/>
      <c r="L54" s="344"/>
      <c r="M54" s="344">
        <v>0.23</v>
      </c>
      <c r="N54" s="344">
        <v>0.13</v>
      </c>
      <c r="O54" s="344">
        <v>7.3999999999999996E-2</v>
      </c>
      <c r="P54" s="344">
        <v>0.14299999999999999</v>
      </c>
      <c r="Q54" s="344">
        <v>0.56200000000000006</v>
      </c>
      <c r="R54" s="344">
        <f>513024/623472</f>
        <v>0.82285010393409808</v>
      </c>
      <c r="T54" s="723">
        <v>0.81699999999999995</v>
      </c>
    </row>
    <row r="55" spans="1:21">
      <c r="A55" t="str">
        <f t="shared" si="1"/>
        <v>MalaysiaGAM</v>
      </c>
      <c r="B55" s="528" t="s">
        <v>177</v>
      </c>
      <c r="C55" s="528" t="s">
        <v>873</v>
      </c>
      <c r="D55" s="112"/>
      <c r="E55" s="112"/>
      <c r="F55" s="112"/>
      <c r="G55" s="112"/>
      <c r="H55" s="112"/>
      <c r="I55" s="351">
        <v>0.94</v>
      </c>
      <c r="J55" s="394"/>
      <c r="K55" s="344">
        <v>0.98699999999999999</v>
      </c>
      <c r="L55" s="344">
        <v>0.98299999999999998</v>
      </c>
      <c r="M55" s="344">
        <v>0.995</v>
      </c>
      <c r="N55" s="344">
        <v>0.97699999999999998</v>
      </c>
      <c r="O55" s="344">
        <v>0.97699999999999998</v>
      </c>
      <c r="P55" s="344">
        <v>0.998</v>
      </c>
      <c r="Q55" s="344">
        <v>0.996</v>
      </c>
      <c r="R55" s="344">
        <f>514590/517975</f>
        <v>0.99346493556638837</v>
      </c>
      <c r="S55" s="344">
        <f>524350/526960</f>
        <v>0.99504706239562779</v>
      </c>
      <c r="T55" s="723">
        <v>1</v>
      </c>
    </row>
    <row r="56" spans="1:21">
      <c r="A56" t="str">
        <f t="shared" si="1"/>
        <v>MaldivesGAM</v>
      </c>
      <c r="B56" s="528" t="s">
        <v>375</v>
      </c>
      <c r="C56" s="528" t="s">
        <v>873</v>
      </c>
      <c r="D56" s="112"/>
      <c r="E56" s="112"/>
      <c r="F56" s="112"/>
      <c r="G56" s="112"/>
      <c r="H56" s="112"/>
      <c r="I56" s="1"/>
      <c r="J56" s="344"/>
      <c r="K56" s="344"/>
      <c r="L56" s="344"/>
      <c r="M56" s="344"/>
      <c r="N56" s="344"/>
      <c r="O56" s="344">
        <v>1</v>
      </c>
      <c r="P56" s="344">
        <v>1</v>
      </c>
      <c r="Q56" s="344">
        <v>1</v>
      </c>
      <c r="R56" s="344">
        <v>1</v>
      </c>
      <c r="T56" s="723"/>
    </row>
    <row r="57" spans="1:21">
      <c r="A57" t="str">
        <f t="shared" si="1"/>
        <v>MaliGAM</v>
      </c>
      <c r="B57" s="528" t="s">
        <v>137</v>
      </c>
      <c r="C57" s="528" t="s">
        <v>873</v>
      </c>
      <c r="D57" s="112"/>
      <c r="E57" s="112"/>
      <c r="F57" s="112"/>
      <c r="G57" s="112"/>
      <c r="H57" s="344">
        <v>4.8000000000000001E-2</v>
      </c>
      <c r="I57" s="391"/>
      <c r="J57" s="391"/>
      <c r="K57" s="391"/>
      <c r="L57" s="391"/>
      <c r="M57" s="391"/>
      <c r="N57" s="391"/>
      <c r="O57" s="344">
        <v>0.26700000000000002</v>
      </c>
      <c r="P57" s="344">
        <v>0.316</v>
      </c>
      <c r="Q57" s="344">
        <v>0.255</v>
      </c>
      <c r="R57" s="344">
        <f>78825/368298</f>
        <v>0.21402505579720771</v>
      </c>
      <c r="S57" s="344">
        <f>99770/441537</f>
        <v>0.22596067826705349</v>
      </c>
      <c r="T57" s="723">
        <v>0.19500000000000001</v>
      </c>
    </row>
    <row r="58" spans="1:21">
      <c r="A58" t="str">
        <f t="shared" si="1"/>
        <v>MauritiusGAM</v>
      </c>
      <c r="B58" s="528" t="s">
        <v>150</v>
      </c>
      <c r="C58" s="528" t="s">
        <v>873</v>
      </c>
      <c r="D58" s="112"/>
      <c r="E58" s="112"/>
      <c r="F58" s="112"/>
      <c r="G58" s="112"/>
      <c r="H58" s="112"/>
      <c r="I58" s="1"/>
      <c r="J58" s="344"/>
      <c r="K58" s="344">
        <v>1</v>
      </c>
      <c r="L58" s="344">
        <v>1</v>
      </c>
      <c r="M58" s="344">
        <v>1</v>
      </c>
      <c r="N58" s="344">
        <v>1</v>
      </c>
      <c r="O58" s="344">
        <v>1</v>
      </c>
      <c r="P58" s="344">
        <v>1</v>
      </c>
      <c r="Q58" s="344">
        <v>1</v>
      </c>
      <c r="R58" s="344">
        <v>1</v>
      </c>
      <c r="T58" s="723">
        <v>0.08</v>
      </c>
    </row>
    <row r="59" spans="1:21">
      <c r="A59" t="str">
        <f t="shared" si="1"/>
        <v>MexicoGAM</v>
      </c>
      <c r="B59" s="528" t="s">
        <v>761</v>
      </c>
      <c r="C59" s="528" t="s">
        <v>873</v>
      </c>
      <c r="D59" s="112"/>
      <c r="E59" s="112"/>
      <c r="F59" s="112"/>
      <c r="G59" s="112"/>
      <c r="H59" s="112"/>
      <c r="I59" s="1"/>
      <c r="J59" s="344"/>
      <c r="K59" s="344"/>
      <c r="L59" s="344"/>
      <c r="M59" s="344"/>
      <c r="N59" s="344"/>
      <c r="O59" s="344"/>
      <c r="P59" s="344"/>
      <c r="Q59" s="344"/>
      <c r="R59" s="344">
        <f>1129711/2205134</f>
        <v>0.5123094560239877</v>
      </c>
      <c r="T59" s="723"/>
    </row>
    <row r="60" spans="1:21">
      <c r="A60" t="str">
        <f t="shared" si="1"/>
        <v>MoldovaGAM</v>
      </c>
      <c r="B60" s="528" t="s">
        <v>230</v>
      </c>
      <c r="C60" s="528" t="s">
        <v>873</v>
      </c>
      <c r="D60" s="112"/>
      <c r="E60" s="112"/>
      <c r="F60" s="112"/>
      <c r="G60" s="112"/>
      <c r="H60" s="112"/>
      <c r="I60" s="1"/>
      <c r="J60" s="344"/>
      <c r="K60" s="344"/>
      <c r="L60" s="344">
        <v>1</v>
      </c>
      <c r="M60" s="344">
        <v>1</v>
      </c>
      <c r="N60" s="344">
        <v>1</v>
      </c>
      <c r="O60" s="344">
        <v>0.877</v>
      </c>
      <c r="P60" s="344">
        <v>0.99</v>
      </c>
      <c r="Q60" s="344">
        <v>0.99099999999999999</v>
      </c>
      <c r="R60" s="344">
        <f>40871/41340</f>
        <v>0.98865505563618772</v>
      </c>
      <c r="S60" s="344">
        <f>37607/37864</f>
        <v>0.99321255017959009</v>
      </c>
      <c r="T60" s="723">
        <v>0.996</v>
      </c>
    </row>
    <row r="61" spans="1:21">
      <c r="A61" t="str">
        <f t="shared" si="1"/>
        <v>MongoliaGAM</v>
      </c>
      <c r="B61" s="528" t="s">
        <v>178</v>
      </c>
      <c r="C61" s="528" t="s">
        <v>873</v>
      </c>
      <c r="D61" s="351"/>
      <c r="E61" s="344"/>
      <c r="F61" s="344"/>
      <c r="G61" s="344"/>
      <c r="H61" s="344"/>
      <c r="I61" s="344">
        <v>0.80200000000000005</v>
      </c>
      <c r="J61" s="392"/>
      <c r="K61" s="344">
        <v>0.82899999999999996</v>
      </c>
      <c r="L61" s="344">
        <v>0.97</v>
      </c>
      <c r="M61" s="344">
        <v>0.97099999999999997</v>
      </c>
      <c r="N61" s="391"/>
      <c r="O61" s="391"/>
      <c r="P61" s="391"/>
      <c r="Q61" s="344">
        <v>0.97099999999999997</v>
      </c>
      <c r="R61" s="344">
        <f>75817/77815</f>
        <v>0.97432371650710015</v>
      </c>
      <c r="S61" s="344">
        <f>76402/78199</f>
        <v>0.97702016649829282</v>
      </c>
      <c r="T61" s="723">
        <v>0.98799999999999999</v>
      </c>
    </row>
    <row r="62" spans="1:21">
      <c r="A62" t="str">
        <f t="shared" si="1"/>
        <v>MoroccoGAM</v>
      </c>
      <c r="B62" s="528" t="s">
        <v>931</v>
      </c>
      <c r="C62" s="528" t="s">
        <v>873</v>
      </c>
      <c r="D62" s="723"/>
      <c r="E62" s="723"/>
      <c r="F62" s="723"/>
      <c r="G62" s="723"/>
      <c r="H62" s="723"/>
      <c r="I62" s="723"/>
      <c r="J62" s="723"/>
      <c r="K62" s="723"/>
      <c r="L62" s="723"/>
      <c r="M62" s="723"/>
      <c r="N62" s="723"/>
      <c r="O62" s="723"/>
      <c r="P62" s="723"/>
      <c r="Q62" s="723"/>
      <c r="R62" s="723">
        <v>0.43</v>
      </c>
      <c r="S62" s="723">
        <v>0.40300000000000002</v>
      </c>
      <c r="T62" s="723">
        <v>0.38400000000000001</v>
      </c>
      <c r="U62" s="723"/>
    </row>
    <row r="63" spans="1:21">
      <c r="A63" t="str">
        <f t="shared" si="1"/>
        <v>MozambiqueGAM</v>
      </c>
      <c r="B63" s="528" t="s">
        <v>138</v>
      </c>
      <c r="C63" s="528" t="s">
        <v>873</v>
      </c>
      <c r="D63" s="112"/>
      <c r="E63" s="112"/>
      <c r="F63" s="112"/>
      <c r="G63" s="112"/>
      <c r="H63" s="112"/>
      <c r="I63" s="351">
        <v>0.63600000000000001</v>
      </c>
      <c r="J63" s="395"/>
      <c r="K63" s="344">
        <v>0.66700000000000004</v>
      </c>
      <c r="L63" s="344">
        <v>0.71699999999999997</v>
      </c>
      <c r="M63" s="344">
        <v>0.36799999999999999</v>
      </c>
      <c r="N63" s="344">
        <v>0.111</v>
      </c>
      <c r="O63" s="344">
        <v>0.46300000000000002</v>
      </c>
      <c r="P63" s="344">
        <v>0.58899999999999997</v>
      </c>
      <c r="Q63" s="344">
        <v>0.61799999999999999</v>
      </c>
      <c r="R63" s="344">
        <f>1069107/1486832</f>
        <v>0.71905030292595262</v>
      </c>
      <c r="S63" s="344">
        <f>1181504/1515901</f>
        <v>0.77940709848466361</v>
      </c>
      <c r="T63" s="723">
        <f>1389740/1680116</f>
        <v>0.82716907642091375</v>
      </c>
    </row>
    <row r="64" spans="1:21">
      <c r="A64" t="str">
        <f t="shared" si="1"/>
        <v>MyanmarGAM</v>
      </c>
      <c r="B64" s="528" t="s">
        <v>932</v>
      </c>
      <c r="C64" s="528" t="s">
        <v>873</v>
      </c>
      <c r="D64" s="723"/>
      <c r="E64" s="723"/>
      <c r="F64" s="723"/>
      <c r="G64" s="723"/>
      <c r="H64" s="723"/>
      <c r="I64" s="723"/>
      <c r="J64" s="723"/>
      <c r="K64" s="723"/>
      <c r="L64" s="723"/>
      <c r="M64" s="723"/>
      <c r="N64" s="723">
        <v>0.124</v>
      </c>
      <c r="O64" s="723">
        <v>0.1</v>
      </c>
      <c r="P64" s="723">
        <v>8.1000000000000003E-2</v>
      </c>
      <c r="Q64" s="723">
        <v>7.1999999999999995E-2</v>
      </c>
      <c r="R64" s="723">
        <v>0.312</v>
      </c>
      <c r="S64" s="723">
        <v>0.54</v>
      </c>
      <c r="T64" s="723">
        <v>0.52900000000000003</v>
      </c>
      <c r="U64" s="723"/>
    </row>
    <row r="65" spans="1:21">
      <c r="A65" t="str">
        <f t="shared" si="1"/>
        <v>NepalGAM</v>
      </c>
      <c r="B65" s="528" t="s">
        <v>179</v>
      </c>
      <c r="C65" s="528" t="s">
        <v>873</v>
      </c>
      <c r="D65" s="112"/>
      <c r="E65" s="112"/>
      <c r="F65" s="112"/>
      <c r="G65" s="112"/>
      <c r="H65" s="112"/>
      <c r="I65" s="1"/>
      <c r="J65" s="344"/>
      <c r="K65" s="344"/>
      <c r="L65" s="344"/>
      <c r="M65" s="344"/>
      <c r="N65" s="344"/>
      <c r="O65" s="344"/>
      <c r="P65" s="344"/>
      <c r="Q65" s="344">
        <v>3.0000000000000001E-3</v>
      </c>
      <c r="R65" s="344">
        <f>6/720719</f>
        <v>8.3250198759849546E-6</v>
      </c>
      <c r="S65" s="344">
        <f>2/655324</f>
        <v>3.0519254597725704E-6</v>
      </c>
      <c r="T65" s="723"/>
    </row>
    <row r="66" spans="1:21">
      <c r="A66" t="str">
        <f t="shared" si="1"/>
        <v>NicaraguaGAM</v>
      </c>
      <c r="B66" s="528" t="s">
        <v>359</v>
      </c>
      <c r="C66" s="528" t="s">
        <v>873</v>
      </c>
      <c r="D66" s="112"/>
      <c r="E66" s="112"/>
      <c r="F66" s="112"/>
      <c r="G66" s="112"/>
      <c r="H66" s="112"/>
      <c r="I66" s="1"/>
      <c r="J66" s="344"/>
      <c r="K66" s="344"/>
      <c r="L66" s="344"/>
      <c r="M66" s="344"/>
      <c r="N66" s="344"/>
      <c r="O66" s="344"/>
      <c r="P66" s="344"/>
      <c r="Q66" s="344"/>
      <c r="R66" s="344">
        <f>129060/169454</f>
        <v>0.76162262324878727</v>
      </c>
      <c r="S66" s="344">
        <f>118533/159795</f>
        <v>0.74178165774899085</v>
      </c>
      <c r="T66" s="723">
        <v>0.88200000000000001</v>
      </c>
    </row>
    <row r="67" spans="1:21">
      <c r="A67" t="str">
        <f t="shared" si="1"/>
        <v>NigerGAM</v>
      </c>
      <c r="B67" s="528" t="s">
        <v>139</v>
      </c>
      <c r="C67" s="528" t="s">
        <v>873</v>
      </c>
      <c r="D67" s="112"/>
      <c r="E67" s="112"/>
      <c r="F67" s="112"/>
      <c r="G67" s="112"/>
      <c r="H67" s="112"/>
      <c r="I67" s="1"/>
      <c r="J67" s="344"/>
      <c r="K67" s="391"/>
      <c r="L67" s="391"/>
      <c r="M67" s="391"/>
      <c r="N67" s="391"/>
      <c r="O67" s="344">
        <v>8.2000000000000003E-2</v>
      </c>
      <c r="P67" s="344">
        <v>7.2999999999999995E-2</v>
      </c>
      <c r="Q67" s="344">
        <v>0.19700000000000001</v>
      </c>
      <c r="R67" s="391"/>
      <c r="S67" s="344">
        <f>69221/659126</f>
        <v>0.10501937414090781</v>
      </c>
      <c r="T67" s="723">
        <v>0.10299999999999999</v>
      </c>
    </row>
    <row r="68" spans="1:21">
      <c r="A68" t="str">
        <f t="shared" ref="A68:A101" si="2">B68&amp;C68</f>
        <v>NigeriaGAM</v>
      </c>
      <c r="B68" s="528" t="s">
        <v>140</v>
      </c>
      <c r="C68" s="528" t="s">
        <v>873</v>
      </c>
      <c r="D68" s="112"/>
      <c r="E68" s="112"/>
      <c r="F68" s="112"/>
      <c r="G68" s="112"/>
      <c r="H68" s="112"/>
      <c r="I68" s="1"/>
      <c r="J68" s="344"/>
      <c r="K68" s="344"/>
      <c r="L68" s="344"/>
      <c r="M68" s="344"/>
      <c r="N68" s="344"/>
      <c r="O68" s="344">
        <v>0.14899999999999999</v>
      </c>
      <c r="P68" s="344">
        <v>0.13700000000000001</v>
      </c>
      <c r="Q68" s="344">
        <v>0.14699999999999999</v>
      </c>
      <c r="R68" s="344">
        <f>424480/3916399</f>
        <v>0.10838527943654362</v>
      </c>
      <c r="T68" s="723">
        <v>0.161</v>
      </c>
    </row>
    <row r="69" spans="1:21">
      <c r="A69" t="str">
        <f t="shared" si="2"/>
        <v>OmanGAM</v>
      </c>
      <c r="B69" s="528" t="s">
        <v>933</v>
      </c>
      <c r="C69" s="528" t="s">
        <v>873</v>
      </c>
      <c r="D69" s="723"/>
      <c r="E69" s="723"/>
      <c r="F69" s="723"/>
      <c r="G69" s="723"/>
      <c r="H69" s="723"/>
      <c r="I69" s="723"/>
      <c r="J69" s="723"/>
      <c r="K69" s="723"/>
      <c r="L69" s="723"/>
      <c r="M69" s="723"/>
      <c r="N69" s="723"/>
      <c r="O69" s="723"/>
      <c r="P69" s="723">
        <v>0.97099999999999997</v>
      </c>
      <c r="Q69" s="723">
        <v>0.998</v>
      </c>
      <c r="R69" s="723">
        <v>0.97</v>
      </c>
      <c r="S69" s="723">
        <v>1</v>
      </c>
      <c r="T69" s="723">
        <v>1</v>
      </c>
      <c r="U69" s="723"/>
    </row>
    <row r="70" spans="1:21">
      <c r="A70" t="str">
        <f t="shared" si="2"/>
        <v>PanamaGAM</v>
      </c>
      <c r="B70" s="528" t="s">
        <v>180</v>
      </c>
      <c r="C70" s="528" t="s">
        <v>873</v>
      </c>
      <c r="D70" s="112"/>
      <c r="E70" s="112"/>
      <c r="F70" s="112"/>
      <c r="G70" s="112"/>
      <c r="H70" s="112"/>
      <c r="I70" s="1"/>
      <c r="J70" s="344"/>
      <c r="K70" s="344"/>
      <c r="L70" s="344"/>
      <c r="M70" s="344"/>
      <c r="N70" s="344">
        <v>0.35799999999999998</v>
      </c>
      <c r="O70" s="344">
        <v>0.80800000000000005</v>
      </c>
      <c r="P70" s="344">
        <v>0.84</v>
      </c>
      <c r="Q70" s="391"/>
      <c r="R70" s="344">
        <f>45646/49228</f>
        <v>0.92723653205492806</v>
      </c>
      <c r="T70" s="723">
        <v>0.747</v>
      </c>
    </row>
    <row r="71" spans="1:21">
      <c r="A71" t="str">
        <f t="shared" si="2"/>
        <v>Papua New GuineaGAM</v>
      </c>
      <c r="B71" s="528" t="s">
        <v>181</v>
      </c>
      <c r="C71" s="528" t="s">
        <v>873</v>
      </c>
      <c r="D71" s="112"/>
      <c r="E71" s="112"/>
      <c r="F71" s="112"/>
      <c r="G71" s="112"/>
      <c r="H71" s="112"/>
      <c r="I71" s="396">
        <v>6.0999999999999999E-2</v>
      </c>
      <c r="J71" s="397"/>
      <c r="K71" s="397"/>
      <c r="L71" s="398">
        <v>8.8999999999999996E-2</v>
      </c>
      <c r="M71" s="399"/>
      <c r="N71" s="399"/>
      <c r="O71" s="399"/>
      <c r="P71" s="399"/>
      <c r="Q71" s="344">
        <v>0.442</v>
      </c>
      <c r="R71" s="344">
        <f>22669/49691</f>
        <v>0.45619931174659395</v>
      </c>
      <c r="S71" s="344">
        <f>15382/61675</f>
        <v>0.24940413457640859</v>
      </c>
      <c r="T71" s="723">
        <v>0.25600000000000001</v>
      </c>
    </row>
    <row r="72" spans="1:21">
      <c r="A72" t="str">
        <f t="shared" si="2"/>
        <v>ParaguayGAM</v>
      </c>
      <c r="B72" s="528" t="s">
        <v>182</v>
      </c>
      <c r="C72" s="528" t="s">
        <v>873</v>
      </c>
      <c r="D72" s="112"/>
      <c r="E72" s="112"/>
      <c r="F72" s="112"/>
      <c r="G72" s="112"/>
      <c r="H72" s="112"/>
      <c r="I72" s="406">
        <v>0.71799999999999997</v>
      </c>
      <c r="J72" s="414"/>
      <c r="K72" s="344">
        <v>0.52700000000000002</v>
      </c>
      <c r="L72" s="344">
        <v>0.747</v>
      </c>
      <c r="M72" s="344">
        <v>0.60499999999999998</v>
      </c>
      <c r="N72" s="344">
        <v>0.58799999999999997</v>
      </c>
      <c r="O72" s="344">
        <v>0.66100000000000003</v>
      </c>
      <c r="P72" s="344">
        <v>0.69299999999999995</v>
      </c>
      <c r="Q72" s="344">
        <v>0.78100000000000003</v>
      </c>
      <c r="R72" s="344">
        <f>103187/111253</f>
        <v>0.92749858430783894</v>
      </c>
      <c r="S72" s="344">
        <f>101072/141896</f>
        <v>0.71229632970626378</v>
      </c>
      <c r="T72" s="723">
        <v>0.69499999999999995</v>
      </c>
    </row>
    <row r="73" spans="1:21">
      <c r="A73" t="str">
        <f t="shared" si="2"/>
        <v>PeruGAM</v>
      </c>
      <c r="B73" s="528" t="s">
        <v>360</v>
      </c>
      <c r="C73" s="528" t="s">
        <v>873</v>
      </c>
      <c r="D73" s="112"/>
      <c r="E73" s="112"/>
      <c r="F73" s="112"/>
      <c r="G73" s="112"/>
      <c r="H73" s="112"/>
      <c r="I73" s="1"/>
      <c r="J73" s="344"/>
      <c r="K73" s="344"/>
      <c r="L73" s="344"/>
      <c r="M73" s="344"/>
      <c r="N73" s="344"/>
      <c r="O73" s="344"/>
      <c r="P73" s="344"/>
      <c r="Q73" s="344"/>
      <c r="R73" s="344">
        <f>387993/471170</f>
        <v>0.82346711378058879</v>
      </c>
      <c r="T73" s="723">
        <v>0.93700000000000006</v>
      </c>
    </row>
    <row r="74" spans="1:21">
      <c r="A74" t="str">
        <f t="shared" si="2"/>
        <v>Republic of the CongoGAM</v>
      </c>
      <c r="B74" s="528" t="s">
        <v>934</v>
      </c>
      <c r="C74" s="528" t="s">
        <v>873</v>
      </c>
      <c r="D74" s="723"/>
      <c r="E74" s="723"/>
      <c r="F74" s="723"/>
      <c r="G74" s="723"/>
      <c r="H74" s="723"/>
      <c r="I74" s="723"/>
      <c r="J74" s="723"/>
      <c r="K74" s="723"/>
      <c r="L74" s="723"/>
      <c r="M74" s="723"/>
      <c r="N74" s="723"/>
      <c r="O74" s="723"/>
      <c r="P74" s="723">
        <v>0</v>
      </c>
      <c r="Q74" s="723">
        <v>0.1</v>
      </c>
      <c r="R74" s="723"/>
      <c r="S74" s="723"/>
      <c r="T74" s="723">
        <v>0.128</v>
      </c>
      <c r="U74" s="723"/>
    </row>
    <row r="75" spans="1:21">
      <c r="A75" t="str">
        <f t="shared" si="2"/>
        <v>RwandaGAM</v>
      </c>
      <c r="B75" s="528" t="s">
        <v>953</v>
      </c>
      <c r="C75" s="528" t="s">
        <v>873</v>
      </c>
      <c r="D75" s="723"/>
      <c r="E75" s="723"/>
      <c r="F75" s="723"/>
      <c r="G75" s="723"/>
      <c r="H75" s="723"/>
      <c r="I75" s="723"/>
      <c r="J75" s="723"/>
      <c r="K75" s="723"/>
      <c r="L75" s="723"/>
      <c r="M75" s="723"/>
      <c r="N75" s="723"/>
      <c r="O75" s="723"/>
      <c r="P75" s="723"/>
      <c r="Q75" s="723"/>
      <c r="R75" s="723"/>
      <c r="S75" s="723"/>
      <c r="T75" s="723"/>
      <c r="U75" s="723"/>
    </row>
    <row r="76" spans="1:21">
      <c r="A76" t="str">
        <f t="shared" si="2"/>
        <v>Saint Kitts &amp; NevisGAM</v>
      </c>
      <c r="B76" s="528" t="s">
        <v>361</v>
      </c>
      <c r="C76" s="528" t="s">
        <v>873</v>
      </c>
      <c r="D76" s="112"/>
      <c r="E76" s="112"/>
      <c r="F76" s="112"/>
      <c r="G76" s="112"/>
      <c r="H76" s="112"/>
      <c r="I76" s="1"/>
      <c r="J76" s="344"/>
      <c r="K76" s="344"/>
      <c r="L76" s="344"/>
      <c r="M76" s="344"/>
      <c r="N76" s="344"/>
      <c r="O76" s="344"/>
      <c r="P76" s="344"/>
      <c r="Q76" s="344"/>
      <c r="R76" s="344">
        <f>641/644</f>
        <v>0.99534161490683226</v>
      </c>
      <c r="S76" s="344">
        <f>592/593</f>
        <v>0.99831365935919059</v>
      </c>
      <c r="T76" s="723">
        <v>1</v>
      </c>
    </row>
    <row r="77" spans="1:21">
      <c r="A77" t="str">
        <f t="shared" si="2"/>
        <v>Saint LuciaGAM</v>
      </c>
      <c r="B77" s="528" t="s">
        <v>362</v>
      </c>
      <c r="C77" s="528" t="s">
        <v>873</v>
      </c>
      <c r="D77" s="112"/>
      <c r="E77" s="112"/>
      <c r="F77" s="112"/>
      <c r="G77" s="112"/>
      <c r="H77" s="112"/>
      <c r="I77" s="1"/>
      <c r="J77" s="344"/>
      <c r="K77" s="344"/>
      <c r="L77" s="344"/>
      <c r="M77" s="344"/>
      <c r="N77" s="344"/>
      <c r="O77" s="344"/>
      <c r="P77" s="344"/>
      <c r="Q77" s="344"/>
      <c r="R77" s="344">
        <f>1855/1860</f>
        <v>0.99731182795698925</v>
      </c>
      <c r="T77" s="723">
        <v>1</v>
      </c>
    </row>
    <row r="78" spans="1:21">
      <c r="A78" t="str">
        <f t="shared" si="2"/>
        <v>Saint Vincent &amp; the GrenadinesGAM</v>
      </c>
      <c r="B78" s="528" t="s">
        <v>363</v>
      </c>
      <c r="C78" s="528" t="s">
        <v>873</v>
      </c>
      <c r="D78" s="112"/>
      <c r="E78" s="112"/>
      <c r="F78" s="112"/>
      <c r="G78" s="112"/>
      <c r="H78" s="112"/>
      <c r="I78" s="1"/>
      <c r="J78" s="344"/>
      <c r="K78" s="344"/>
      <c r="L78" s="344"/>
      <c r="M78" s="344"/>
      <c r="N78" s="344"/>
      <c r="O78" s="344"/>
      <c r="P78" s="344"/>
      <c r="Q78" s="344"/>
      <c r="R78" s="344">
        <f>1539/1539</f>
        <v>1</v>
      </c>
      <c r="S78" s="344">
        <f>1539/1539</f>
        <v>1</v>
      </c>
      <c r="T78" s="723"/>
    </row>
    <row r="79" spans="1:21">
      <c r="A79" t="str">
        <f t="shared" si="2"/>
        <v>SamoaGAM</v>
      </c>
      <c r="B79" s="528" t="s">
        <v>183</v>
      </c>
      <c r="C79" s="528" t="s">
        <v>873</v>
      </c>
      <c r="D79" s="112"/>
      <c r="E79" s="112"/>
      <c r="F79" s="112"/>
      <c r="G79" s="112"/>
      <c r="H79" s="112"/>
      <c r="I79" s="1"/>
      <c r="J79" s="344"/>
      <c r="K79" s="344"/>
      <c r="L79" s="344"/>
      <c r="M79" s="344">
        <v>0.88700000000000001</v>
      </c>
      <c r="N79" s="344">
        <v>1</v>
      </c>
      <c r="O79" s="344">
        <v>0.47899999999999998</v>
      </c>
      <c r="P79" s="344">
        <v>0.99</v>
      </c>
      <c r="Q79" s="344">
        <v>0.998</v>
      </c>
      <c r="R79" s="344">
        <f>4384/4825</f>
        <v>0.90860103626943001</v>
      </c>
      <c r="S79" s="344">
        <f>5694/5767</f>
        <v>0.98734177215189878</v>
      </c>
      <c r="T79" s="723">
        <v>0.89400000000000002</v>
      </c>
    </row>
    <row r="80" spans="1:21">
      <c r="A80" t="str">
        <f t="shared" si="2"/>
        <v>Sao Tome &amp; PrincipeGAM</v>
      </c>
      <c r="B80" s="528" t="s">
        <v>364</v>
      </c>
      <c r="C80" s="528" t="s">
        <v>873</v>
      </c>
      <c r="D80" s="112"/>
      <c r="E80" s="112"/>
      <c r="F80" s="112"/>
      <c r="G80" s="112"/>
      <c r="H80" s="112"/>
      <c r="I80" s="406">
        <v>0.98399999999999999</v>
      </c>
      <c r="J80" s="395"/>
      <c r="K80" s="344">
        <v>0.89200000000000002</v>
      </c>
      <c r="L80" s="344">
        <v>0.754</v>
      </c>
      <c r="M80" s="344">
        <v>0.54700000000000004</v>
      </c>
      <c r="N80" s="391"/>
      <c r="O80" s="344">
        <v>1</v>
      </c>
      <c r="P80" s="344">
        <v>0.86099999999999999</v>
      </c>
      <c r="Q80" s="391"/>
      <c r="R80" s="344">
        <f>6107/6686</f>
        <v>0.91340113670355971</v>
      </c>
      <c r="T80" s="723">
        <v>1</v>
      </c>
    </row>
    <row r="81" spans="1:21">
      <c r="A81" t="str">
        <f t="shared" si="2"/>
        <v>Saudi ArabiaGAM</v>
      </c>
      <c r="B81" s="528" t="s">
        <v>935</v>
      </c>
      <c r="C81" s="528" t="s">
        <v>873</v>
      </c>
      <c r="D81" s="723"/>
      <c r="E81" s="723"/>
      <c r="F81" s="723"/>
      <c r="G81" s="723"/>
      <c r="H81" s="723"/>
      <c r="I81" s="723"/>
      <c r="J81" s="723"/>
      <c r="K81" s="723"/>
      <c r="L81" s="723"/>
      <c r="M81" s="723"/>
      <c r="N81" s="723"/>
      <c r="O81" s="723">
        <v>0.42599999999999999</v>
      </c>
      <c r="P81" s="723"/>
      <c r="Q81" s="723">
        <v>0.73199999999999998</v>
      </c>
      <c r="R81" s="723">
        <v>0.58099999999999996</v>
      </c>
      <c r="S81" s="723">
        <v>0.56299999999999994</v>
      </c>
      <c r="T81" s="723">
        <v>0.54200000000000004</v>
      </c>
      <c r="U81" s="723"/>
    </row>
    <row r="82" spans="1:21">
      <c r="A82" t="str">
        <f t="shared" si="2"/>
        <v>SenegalGAM</v>
      </c>
      <c r="B82" s="528" t="s">
        <v>141</v>
      </c>
      <c r="C82" s="528" t="s">
        <v>873</v>
      </c>
      <c r="D82" s="112"/>
      <c r="E82" s="112"/>
      <c r="F82" s="112"/>
      <c r="G82" s="112"/>
      <c r="H82" s="112"/>
      <c r="I82" s="1"/>
      <c r="J82" s="344"/>
      <c r="K82" s="344"/>
      <c r="L82" s="344"/>
      <c r="M82" s="344"/>
      <c r="N82" s="344"/>
      <c r="O82" s="344">
        <v>0.111</v>
      </c>
      <c r="P82" s="344">
        <v>0.29799999999999999</v>
      </c>
      <c r="Q82" s="344">
        <v>0.28999999999999998</v>
      </c>
      <c r="R82" s="344">
        <f>184417/472695</f>
        <v>0.39013951914024902</v>
      </c>
      <c r="S82" s="344">
        <f>367533/582124</f>
        <v>0.63136548226838263</v>
      </c>
      <c r="T82" s="723">
        <v>0.77700000000000002</v>
      </c>
    </row>
    <row r="83" spans="1:21">
      <c r="A83" t="str">
        <f t="shared" si="2"/>
        <v>SeychellesGAM</v>
      </c>
      <c r="B83" s="528" t="s">
        <v>151</v>
      </c>
      <c r="C83" s="528" t="s">
        <v>873</v>
      </c>
      <c r="D83" s="112"/>
      <c r="E83" s="112"/>
      <c r="F83" s="112"/>
      <c r="G83" s="112"/>
      <c r="H83" s="112"/>
      <c r="I83" s="1"/>
      <c r="J83" s="344"/>
      <c r="K83" s="344"/>
      <c r="L83" s="344">
        <v>1</v>
      </c>
      <c r="M83" s="344">
        <v>1</v>
      </c>
      <c r="N83" s="344">
        <v>1</v>
      </c>
      <c r="O83" s="344">
        <v>1</v>
      </c>
      <c r="P83" s="344">
        <v>1</v>
      </c>
      <c r="Q83" s="344">
        <v>1</v>
      </c>
      <c r="R83" s="344">
        <v>1</v>
      </c>
      <c r="S83" s="344">
        <f>1620/1620</f>
        <v>1</v>
      </c>
      <c r="T83" s="723">
        <v>1</v>
      </c>
    </row>
    <row r="84" spans="1:21">
      <c r="A84" t="str">
        <f t="shared" si="2"/>
        <v>Sierra LeoneGAM</v>
      </c>
      <c r="B84" s="528" t="s">
        <v>936</v>
      </c>
      <c r="C84" s="528" t="s">
        <v>873</v>
      </c>
      <c r="D84" s="723"/>
      <c r="E84" s="723"/>
      <c r="F84" s="723"/>
      <c r="G84" s="723"/>
      <c r="H84" s="723"/>
      <c r="I84" s="723"/>
      <c r="J84" s="723"/>
      <c r="K84" s="723"/>
      <c r="L84" s="723"/>
      <c r="M84" s="723"/>
      <c r="N84" s="723"/>
      <c r="O84" s="723"/>
      <c r="P84" s="723"/>
      <c r="Q84" s="723">
        <v>6.3E-2</v>
      </c>
      <c r="R84" s="723">
        <v>8.3000000000000004E-2</v>
      </c>
      <c r="S84" s="723">
        <v>0.64500000000000002</v>
      </c>
      <c r="T84" s="723">
        <v>0.502</v>
      </c>
      <c r="U84" s="723"/>
    </row>
    <row r="85" spans="1:21">
      <c r="A85" t="str">
        <f t="shared" si="2"/>
        <v>SomaliaGAM</v>
      </c>
      <c r="B85" s="528" t="s">
        <v>937</v>
      </c>
      <c r="C85" s="528" t="s">
        <v>873</v>
      </c>
      <c r="D85" s="723"/>
      <c r="E85" s="723"/>
      <c r="F85" s="723"/>
      <c r="G85" s="723"/>
      <c r="H85" s="723"/>
      <c r="I85" s="723"/>
      <c r="J85" s="723"/>
      <c r="K85" s="723"/>
      <c r="L85" s="723"/>
      <c r="M85" s="723"/>
      <c r="N85" s="723"/>
      <c r="O85" s="723">
        <v>1.2999999999999999E-2</v>
      </c>
      <c r="P85" s="723">
        <v>0.26</v>
      </c>
      <c r="Q85" s="723">
        <v>0.434</v>
      </c>
      <c r="R85" s="723"/>
      <c r="S85" s="723">
        <v>9.2999999999999999E-2</v>
      </c>
      <c r="T85" s="723">
        <v>0.106</v>
      </c>
      <c r="U85" s="723"/>
    </row>
    <row r="86" spans="1:21">
      <c r="A86" t="str">
        <f t="shared" si="2"/>
        <v>South AfricaGAM</v>
      </c>
      <c r="B86" s="528" t="s">
        <v>0</v>
      </c>
      <c r="C86" s="528" t="s">
        <v>873</v>
      </c>
      <c r="D86" s="112"/>
      <c r="E86" s="112"/>
      <c r="F86" s="112"/>
      <c r="G86" s="112"/>
      <c r="H86" s="112"/>
      <c r="I86" s="1"/>
      <c r="J86" s="344"/>
      <c r="K86" s="344">
        <v>0.745</v>
      </c>
      <c r="L86" s="344">
        <v>0.745</v>
      </c>
      <c r="M86" s="344">
        <v>0.745</v>
      </c>
      <c r="N86" s="344">
        <v>0.745</v>
      </c>
      <c r="O86" s="344">
        <v>0.745</v>
      </c>
      <c r="P86" s="344">
        <v>0.745</v>
      </c>
      <c r="Q86" s="344">
        <v>0.745</v>
      </c>
      <c r="R86" s="344">
        <v>1</v>
      </c>
      <c r="T86" s="723"/>
    </row>
    <row r="87" spans="1:21">
      <c r="A87" t="str">
        <f t="shared" si="2"/>
        <v>South SudanGAM</v>
      </c>
      <c r="B87" s="528" t="s">
        <v>938</v>
      </c>
      <c r="C87" s="528" t="s">
        <v>873</v>
      </c>
      <c r="D87" s="723"/>
      <c r="E87" s="723"/>
      <c r="F87" s="723"/>
      <c r="G87" s="723"/>
      <c r="H87" s="723"/>
      <c r="I87" s="723"/>
      <c r="J87" s="723"/>
      <c r="K87" s="723"/>
      <c r="L87" s="723"/>
      <c r="M87" s="723"/>
      <c r="N87" s="723"/>
      <c r="O87" s="723"/>
      <c r="P87" s="723"/>
      <c r="Q87" s="723"/>
      <c r="R87" s="723"/>
      <c r="S87" s="723">
        <v>0.47</v>
      </c>
      <c r="T87" s="723">
        <v>3.7999999999999999E-2</v>
      </c>
      <c r="U87" s="723"/>
    </row>
    <row r="88" spans="1:21">
      <c r="A88" t="str">
        <f t="shared" si="2"/>
        <v>Solomon IslandsGAM</v>
      </c>
      <c r="B88" s="528" t="s">
        <v>950</v>
      </c>
      <c r="C88" s="528" t="s">
        <v>873</v>
      </c>
      <c r="D88" s="723"/>
      <c r="E88" s="723"/>
      <c r="F88" s="723"/>
      <c r="G88" s="723"/>
      <c r="H88" s="723"/>
      <c r="I88" s="723"/>
      <c r="J88" s="723"/>
      <c r="K88" s="723"/>
      <c r="L88" s="723"/>
      <c r="M88" s="723"/>
      <c r="N88" s="723"/>
      <c r="O88" s="723"/>
      <c r="P88" s="723"/>
      <c r="Q88" s="723"/>
      <c r="R88" s="723"/>
      <c r="S88" s="723"/>
      <c r="T88" s="723"/>
      <c r="U88" s="723"/>
    </row>
    <row r="89" spans="1:21">
      <c r="A89" t="str">
        <f t="shared" si="2"/>
        <v>Sri LankaGAM</v>
      </c>
      <c r="B89" s="528" t="s">
        <v>374</v>
      </c>
      <c r="C89" s="528" t="s">
        <v>873</v>
      </c>
      <c r="D89" s="112"/>
      <c r="E89" s="112"/>
      <c r="F89" s="112"/>
      <c r="G89" s="112"/>
      <c r="H89" s="112"/>
      <c r="I89" s="1"/>
      <c r="J89" s="344"/>
      <c r="K89" s="344"/>
      <c r="L89" s="344"/>
      <c r="M89" s="344">
        <v>0.56936206623532126</v>
      </c>
      <c r="N89" s="344">
        <v>0.63123561222871705</v>
      </c>
      <c r="O89" s="344">
        <v>0.82693050055044826</v>
      </c>
      <c r="P89" s="344">
        <v>0.9831641384500972</v>
      </c>
      <c r="Q89" s="344">
        <v>1</v>
      </c>
      <c r="R89" s="344">
        <v>1</v>
      </c>
      <c r="S89" s="344">
        <v>0.99333245199078035</v>
      </c>
      <c r="T89" s="723">
        <v>0.997</v>
      </c>
    </row>
    <row r="90" spans="1:21">
      <c r="A90" t="str">
        <f t="shared" si="2"/>
        <v>SurinameGAM</v>
      </c>
      <c r="B90" s="528" t="s">
        <v>365</v>
      </c>
      <c r="C90" s="528" t="s">
        <v>873</v>
      </c>
      <c r="T90" s="723"/>
    </row>
    <row r="91" spans="1:21">
      <c r="A91" t="str">
        <f t="shared" si="2"/>
        <v>TanzaniaGAM</v>
      </c>
      <c r="B91" s="528" t="s">
        <v>143</v>
      </c>
      <c r="C91" s="528" t="s">
        <v>873</v>
      </c>
      <c r="D91" s="112"/>
      <c r="E91" s="112"/>
      <c r="F91" s="112"/>
      <c r="G91" s="344">
        <v>0.36899999999999999</v>
      </c>
      <c r="H91" s="391"/>
      <c r="I91" s="391"/>
      <c r="J91" s="391"/>
      <c r="K91" s="344">
        <v>0.44900000000000001</v>
      </c>
      <c r="L91" s="391"/>
      <c r="M91" s="391"/>
      <c r="N91" s="391"/>
      <c r="O91" s="391"/>
      <c r="P91" s="344">
        <v>0.34300000000000003</v>
      </c>
      <c r="Q91" s="344">
        <v>0.38700000000000001</v>
      </c>
      <c r="R91" s="344">
        <f>878047/2092901</f>
        <v>0.41953584999959387</v>
      </c>
      <c r="S91" s="344">
        <f>1534463/2322990</f>
        <v>0.66055514659985626</v>
      </c>
      <c r="T91" s="723">
        <v>0.72599999999999998</v>
      </c>
    </row>
    <row r="92" spans="1:21">
      <c r="A92" t="str">
        <f t="shared" si="2"/>
        <v>ThailandGAM</v>
      </c>
      <c r="B92" s="528" t="s">
        <v>185</v>
      </c>
      <c r="C92" s="528" t="s">
        <v>873</v>
      </c>
      <c r="D92" s="112"/>
      <c r="E92" s="112"/>
      <c r="F92" s="112"/>
      <c r="G92" s="112"/>
      <c r="H92" s="112"/>
      <c r="I92" s="1"/>
      <c r="J92" s="344"/>
      <c r="K92" s="344"/>
      <c r="L92" s="344"/>
      <c r="M92" s="344">
        <v>0.91600000000000004</v>
      </c>
      <c r="N92" s="344">
        <v>0.95799999999999996</v>
      </c>
      <c r="O92" s="344">
        <v>0.96840000000000004</v>
      </c>
      <c r="P92" s="391"/>
      <c r="Q92" s="344">
        <v>0.99099999999999999</v>
      </c>
      <c r="R92" s="344">
        <f>539001/543702</f>
        <v>0.9913537195007559</v>
      </c>
      <c r="T92" s="723">
        <v>0.996</v>
      </c>
    </row>
    <row r="93" spans="1:21">
      <c r="A93" t="str">
        <f t="shared" si="2"/>
        <v>TogoGAM</v>
      </c>
      <c r="B93" s="528" t="s">
        <v>142</v>
      </c>
      <c r="C93" s="528" t="s">
        <v>873</v>
      </c>
      <c r="D93" s="112"/>
      <c r="E93" s="112"/>
      <c r="F93" s="112"/>
      <c r="G93" s="112"/>
      <c r="H93" s="112"/>
      <c r="I93" s="1"/>
      <c r="J93" s="344"/>
      <c r="K93" s="344"/>
      <c r="L93" s="344"/>
      <c r="M93" s="344"/>
      <c r="N93" s="344">
        <v>0.17499999999999999</v>
      </c>
      <c r="O93" s="344">
        <v>0.106</v>
      </c>
      <c r="P93" s="344">
        <v>9.6000000000000002E-2</v>
      </c>
      <c r="Q93" s="344">
        <v>0.161</v>
      </c>
      <c r="R93" s="344">
        <f>28899/311517</f>
        <v>9.2768612948892035E-2</v>
      </c>
      <c r="S93" s="344">
        <f>73547/213128</f>
        <v>0.34508370556660783</v>
      </c>
      <c r="T93" s="723">
        <v>0.40100000000000002</v>
      </c>
    </row>
    <row r="94" spans="1:21">
      <c r="A94" t="str">
        <f t="shared" si="2"/>
        <v>Trinidad &amp; TobagoGAM</v>
      </c>
      <c r="B94" s="528" t="s">
        <v>366</v>
      </c>
      <c r="C94" s="528" t="s">
        <v>873</v>
      </c>
      <c r="D94" s="112"/>
      <c r="E94" s="112"/>
      <c r="F94" s="112"/>
      <c r="G94" s="112"/>
      <c r="H94" s="112"/>
      <c r="I94" s="1"/>
      <c r="J94" s="344"/>
      <c r="K94" s="344"/>
      <c r="L94" s="344"/>
      <c r="M94" s="344"/>
      <c r="N94" s="344"/>
      <c r="O94" s="344"/>
      <c r="P94" s="344"/>
      <c r="Q94" s="344"/>
      <c r="R94" s="344">
        <f>18688/18795</f>
        <v>0.99430699654163346</v>
      </c>
      <c r="T94" s="723"/>
    </row>
    <row r="95" spans="1:21">
      <c r="A95" t="str">
        <f t="shared" si="2"/>
        <v>UgandaGAM</v>
      </c>
      <c r="B95" s="528" t="s">
        <v>144</v>
      </c>
      <c r="C95" s="528" t="s">
        <v>873</v>
      </c>
      <c r="D95" s="112"/>
      <c r="E95" s="112"/>
      <c r="F95" s="112"/>
      <c r="G95" s="112"/>
      <c r="H95" s="112"/>
      <c r="I95" s="1"/>
      <c r="J95" s="344"/>
      <c r="K95" s="344"/>
      <c r="L95" s="344"/>
      <c r="M95" s="344"/>
      <c r="N95" s="344">
        <v>0.15</v>
      </c>
      <c r="O95" s="344">
        <v>0.17</v>
      </c>
      <c r="P95" s="391"/>
      <c r="Q95" s="344">
        <v>0.433</v>
      </c>
      <c r="R95" s="391"/>
      <c r="S95" s="344">
        <f>1038449/1812399</f>
        <v>0.5729693075310679</v>
      </c>
      <c r="T95" s="723">
        <v>0.87</v>
      </c>
    </row>
    <row r="96" spans="1:21">
      <c r="A96" t="str">
        <f t="shared" si="2"/>
        <v>UkraineGAM</v>
      </c>
      <c r="B96" s="528" t="s">
        <v>186</v>
      </c>
      <c r="C96" s="528" t="s">
        <v>873</v>
      </c>
      <c r="D96" s="112"/>
      <c r="E96" s="112"/>
      <c r="F96" s="112"/>
      <c r="G96" s="112"/>
      <c r="H96" s="112"/>
      <c r="I96" s="1"/>
      <c r="J96" s="344"/>
      <c r="K96" s="344"/>
      <c r="L96" s="344">
        <v>0.92400000000000004</v>
      </c>
      <c r="M96" s="391"/>
      <c r="N96" s="344">
        <v>0.96599999999999997</v>
      </c>
      <c r="O96" s="344">
        <v>0.95899999999999996</v>
      </c>
      <c r="P96" s="344">
        <v>0.97799999999999998</v>
      </c>
      <c r="Q96" s="344">
        <v>0.92500000000000004</v>
      </c>
      <c r="R96" s="344">
        <f>336534/363946</f>
        <v>0.92468113401438679</v>
      </c>
      <c r="S96" s="344">
        <f>306572/328351</f>
        <v>0.93367158924443661</v>
      </c>
      <c r="T96" s="723">
        <v>0.90200000000000002</v>
      </c>
    </row>
    <row r="97" spans="1:21">
      <c r="A97" t="str">
        <f t="shared" si="2"/>
        <v>UruguayGAM</v>
      </c>
      <c r="B97" s="528" t="s">
        <v>187</v>
      </c>
      <c r="C97" s="528" t="s">
        <v>873</v>
      </c>
      <c r="D97" s="112"/>
      <c r="E97" s="112"/>
      <c r="F97" s="112"/>
      <c r="G97" s="112"/>
      <c r="H97" s="112"/>
      <c r="I97" s="1"/>
      <c r="J97" s="344">
        <v>0.94599999999999995</v>
      </c>
      <c r="K97" s="391"/>
      <c r="L97" s="391"/>
      <c r="M97" s="344">
        <v>0.82599999999999996</v>
      </c>
      <c r="N97" s="344">
        <v>0.98899999999999999</v>
      </c>
      <c r="O97" s="391"/>
      <c r="P97" s="344">
        <v>0.96699999999999997</v>
      </c>
      <c r="Q97" s="391"/>
      <c r="R97" s="344">
        <f>46084/47058</f>
        <v>0.97930213778741126</v>
      </c>
      <c r="T97" s="723">
        <v>1</v>
      </c>
    </row>
    <row r="98" spans="1:21">
      <c r="A98" t="str">
        <f t="shared" si="2"/>
        <v>VenezuelaGAM</v>
      </c>
      <c r="B98" s="528" t="s">
        <v>188</v>
      </c>
      <c r="C98" s="528" t="s">
        <v>873</v>
      </c>
      <c r="D98" s="112"/>
      <c r="E98" s="112"/>
      <c r="F98" s="112"/>
      <c r="G98" s="112"/>
      <c r="H98" s="112"/>
      <c r="I98" s="1"/>
      <c r="J98" s="344"/>
      <c r="K98" s="344"/>
      <c r="L98" s="344"/>
      <c r="M98" s="344"/>
      <c r="N98" s="344"/>
      <c r="O98" s="344"/>
      <c r="P98" s="344">
        <v>0.27100000000000002</v>
      </c>
      <c r="Q98" s="344">
        <v>0.30599999999999999</v>
      </c>
      <c r="T98" s="723">
        <v>0.93899999999999995</v>
      </c>
    </row>
    <row r="99" spans="1:21">
      <c r="A99" t="str">
        <f t="shared" si="2"/>
        <v>ZambiaGAM</v>
      </c>
      <c r="B99" s="528" t="s">
        <v>124</v>
      </c>
      <c r="C99" s="528" t="s">
        <v>873</v>
      </c>
      <c r="D99" s="112"/>
      <c r="E99" s="112"/>
      <c r="F99" s="112"/>
      <c r="G99" s="112"/>
      <c r="H99" s="112"/>
      <c r="I99" s="1"/>
      <c r="J99" s="344"/>
      <c r="K99" s="344">
        <v>0.433</v>
      </c>
      <c r="L99" s="344">
        <v>0.43099999999999999</v>
      </c>
      <c r="M99" s="344">
        <v>0.27600000000000002</v>
      </c>
      <c r="N99" s="344">
        <v>0.36299999999999999</v>
      </c>
      <c r="O99" s="344">
        <v>0.502</v>
      </c>
      <c r="P99" s="344">
        <v>0.38800000000000001</v>
      </c>
      <c r="Q99" s="344">
        <v>0.82099999999999995</v>
      </c>
      <c r="R99" s="344">
        <f>387823/692555</f>
        <v>0.55998873735659982</v>
      </c>
      <c r="S99" s="344">
        <f>422238/748112</f>
        <v>0.56440479500395657</v>
      </c>
      <c r="T99" s="723">
        <v>0.65</v>
      </c>
    </row>
    <row r="100" spans="1:21">
      <c r="A100" t="str">
        <f t="shared" si="2"/>
        <v>ZimbabweGAM</v>
      </c>
      <c r="B100" s="528" t="s">
        <v>125</v>
      </c>
      <c r="C100" s="528" t="s">
        <v>873</v>
      </c>
      <c r="D100" s="112"/>
      <c r="E100" s="112"/>
      <c r="F100" s="112"/>
      <c r="G100" s="112"/>
      <c r="H100" s="112"/>
      <c r="I100" s="344">
        <v>0.126</v>
      </c>
      <c r="J100" s="391"/>
      <c r="K100" s="344">
        <v>0.56100000000000005</v>
      </c>
      <c r="L100" s="344">
        <v>0.82299999999999995</v>
      </c>
      <c r="M100" s="344">
        <v>0.95699999999999996</v>
      </c>
      <c r="N100" s="344">
        <v>0.93400000000000005</v>
      </c>
      <c r="O100" s="344">
        <v>0.91200000000000003</v>
      </c>
      <c r="P100" s="344">
        <v>0.99099999999999999</v>
      </c>
      <c r="Q100" s="344">
        <v>0.89600000000000002</v>
      </c>
      <c r="R100" s="344">
        <f>430093/435602</f>
        <v>0.98735313428312999</v>
      </c>
      <c r="S100" s="344">
        <f>438368/448030</f>
        <v>0.97843447983393972</v>
      </c>
      <c r="T100" s="723">
        <v>0.90600000000000003</v>
      </c>
    </row>
    <row r="101" spans="1:21">
      <c r="A101" t="str">
        <f t="shared" si="2"/>
        <v>AfghanistanWorkshops</v>
      </c>
      <c r="B101" s="528" t="s">
        <v>928</v>
      </c>
      <c r="C101" s="528" t="s">
        <v>877</v>
      </c>
      <c r="D101" s="723"/>
      <c r="E101" s="723"/>
      <c r="F101" s="723"/>
      <c r="G101" s="723"/>
      <c r="H101" s="723"/>
      <c r="I101" s="723"/>
      <c r="J101" s="723"/>
      <c r="K101" s="723"/>
      <c r="L101" s="723"/>
      <c r="M101" s="723"/>
      <c r="N101" s="723"/>
      <c r="O101" s="723"/>
      <c r="P101" s="723"/>
      <c r="Q101" s="723"/>
      <c r="R101" s="723"/>
      <c r="S101" s="723"/>
      <c r="T101" s="723"/>
      <c r="U101" s="723"/>
    </row>
    <row r="102" spans="1:21">
      <c r="A102" t="str">
        <f t="shared" ref="A102:A135" si="3">B102&amp;C102</f>
        <v>AngolaWorkshops</v>
      </c>
      <c r="B102" s="528" t="s">
        <v>929</v>
      </c>
      <c r="C102" s="528" t="s">
        <v>877</v>
      </c>
      <c r="D102" s="723"/>
      <c r="E102" s="723"/>
      <c r="F102" s="723"/>
      <c r="G102" s="723"/>
      <c r="H102" s="723"/>
      <c r="I102" s="723"/>
      <c r="J102" s="723"/>
      <c r="K102" s="723"/>
      <c r="L102" s="723"/>
      <c r="M102" s="723"/>
      <c r="N102" s="723"/>
      <c r="O102" s="723"/>
      <c r="P102" s="723"/>
      <c r="Q102" s="723"/>
      <c r="R102" s="723"/>
      <c r="S102" s="723"/>
      <c r="T102" s="723"/>
      <c r="U102" s="723"/>
    </row>
    <row r="103" spans="1:21">
      <c r="A103" t="str">
        <f t="shared" si="3"/>
        <v>Antigua &amp; BarbudaWorkshops</v>
      </c>
      <c r="B103" s="528" t="s">
        <v>343</v>
      </c>
      <c r="C103" s="528" t="s">
        <v>877</v>
      </c>
      <c r="T103" s="723"/>
    </row>
    <row r="104" spans="1:21">
      <c r="A104" t="str">
        <f t="shared" si="3"/>
        <v>ArgentinaWorkshops</v>
      </c>
      <c r="B104" s="528" t="s">
        <v>344</v>
      </c>
      <c r="C104" s="528" t="s">
        <v>877</v>
      </c>
      <c r="T104" s="723"/>
    </row>
    <row r="105" spans="1:21">
      <c r="A105" t="str">
        <f t="shared" si="3"/>
        <v>BahamasWorkshops</v>
      </c>
      <c r="B105" s="528" t="s">
        <v>345</v>
      </c>
      <c r="C105" s="528" t="s">
        <v>877</v>
      </c>
      <c r="T105" s="723"/>
    </row>
    <row r="106" spans="1:21">
      <c r="A106" t="str">
        <f t="shared" si="3"/>
        <v>BangladeshWorkshops</v>
      </c>
      <c r="B106" s="528" t="s">
        <v>865</v>
      </c>
      <c r="C106" s="528" t="s">
        <v>877</v>
      </c>
      <c r="T106" s="723"/>
    </row>
    <row r="107" spans="1:21">
      <c r="A107" t="str">
        <f t="shared" si="3"/>
        <v>BarbadosWorkshops</v>
      </c>
      <c r="B107" s="528" t="s">
        <v>346</v>
      </c>
      <c r="C107" s="528" t="s">
        <v>877</v>
      </c>
      <c r="T107" s="723"/>
    </row>
    <row r="108" spans="1:21">
      <c r="A108" t="str">
        <f t="shared" si="3"/>
        <v>BelarusWorkshops</v>
      </c>
      <c r="B108" s="528" t="s">
        <v>166</v>
      </c>
      <c r="C108" s="528" t="s">
        <v>877</v>
      </c>
      <c r="T108" s="723"/>
    </row>
    <row r="109" spans="1:21">
      <c r="A109" t="str">
        <f t="shared" si="3"/>
        <v>BelizeWorkshops</v>
      </c>
      <c r="B109" s="528" t="s">
        <v>368</v>
      </c>
      <c r="C109" s="528" t="s">
        <v>877</v>
      </c>
      <c r="T109" s="723"/>
    </row>
    <row r="110" spans="1:21">
      <c r="A110" t="str">
        <f t="shared" si="3"/>
        <v>BeninWorkshops</v>
      </c>
      <c r="B110" s="528" t="s">
        <v>126</v>
      </c>
      <c r="C110" s="528" t="s">
        <v>877</v>
      </c>
      <c r="T110" s="723"/>
    </row>
    <row r="111" spans="1:21">
      <c r="A111" t="str">
        <f t="shared" si="3"/>
        <v>BhutanWorkshops</v>
      </c>
      <c r="B111" s="528" t="s">
        <v>951</v>
      </c>
      <c r="C111" s="528" t="s">
        <v>877</v>
      </c>
      <c r="T111" s="723"/>
    </row>
    <row r="112" spans="1:21">
      <c r="A112" t="str">
        <f t="shared" si="3"/>
        <v>BoliviaWorkshops</v>
      </c>
      <c r="B112" s="528" t="s">
        <v>798</v>
      </c>
      <c r="C112" s="528" t="s">
        <v>877</v>
      </c>
      <c r="T112" s="723"/>
    </row>
    <row r="113" spans="1:20">
      <c r="A113" t="str">
        <f t="shared" si="3"/>
        <v>BotswanaWorkshops</v>
      </c>
      <c r="B113" s="528" t="s">
        <v>834</v>
      </c>
      <c r="C113" s="528" t="s">
        <v>877</v>
      </c>
      <c r="T113" s="723"/>
    </row>
    <row r="114" spans="1:20">
      <c r="A114" t="str">
        <f t="shared" si="3"/>
        <v>BrazilWorkshops</v>
      </c>
      <c r="B114" s="528" t="s">
        <v>167</v>
      </c>
      <c r="C114" s="528" t="s">
        <v>877</v>
      </c>
      <c r="T114" s="723"/>
    </row>
    <row r="115" spans="1:20">
      <c r="A115" t="str">
        <f t="shared" si="3"/>
        <v>BruneiWorkshops</v>
      </c>
      <c r="B115" s="528" t="s">
        <v>952</v>
      </c>
      <c r="C115" s="528" t="s">
        <v>877</v>
      </c>
      <c r="T115" s="723"/>
    </row>
    <row r="116" spans="1:20">
      <c r="A116" t="str">
        <f t="shared" si="3"/>
        <v>Burkina FasoWorkshops</v>
      </c>
      <c r="B116" s="528" t="s">
        <v>168</v>
      </c>
      <c r="C116" s="528" t="s">
        <v>877</v>
      </c>
      <c r="T116" s="723"/>
    </row>
    <row r="117" spans="1:20" ht="17" thickBot="1">
      <c r="A117" t="str">
        <f t="shared" si="3"/>
        <v>BurundiWorkshops</v>
      </c>
      <c r="B117" s="528" t="s">
        <v>165</v>
      </c>
      <c r="C117" s="528" t="s">
        <v>877</v>
      </c>
      <c r="T117" s="723"/>
    </row>
    <row r="118" spans="1:20" ht="17" thickBot="1">
      <c r="A118" t="str">
        <f t="shared" si="3"/>
        <v>Cabo VerdeWorkshops</v>
      </c>
      <c r="B118" s="528" t="s">
        <v>149</v>
      </c>
      <c r="C118" s="528" t="s">
        <v>877</v>
      </c>
      <c r="D118" s="757"/>
      <c r="E118" s="757"/>
      <c r="F118" s="757"/>
      <c r="G118" s="757"/>
      <c r="H118" s="757"/>
      <c r="I118" s="757"/>
      <c r="J118" s="757"/>
      <c r="K118" s="757"/>
      <c r="L118" s="757"/>
      <c r="M118" s="757"/>
      <c r="N118" s="757"/>
      <c r="O118" s="757"/>
      <c r="P118" s="757"/>
      <c r="Q118" s="757"/>
      <c r="R118" s="757"/>
      <c r="S118" s="757"/>
      <c r="T118" s="759"/>
    </row>
    <row r="119" spans="1:20">
      <c r="A119" t="str">
        <f t="shared" si="3"/>
        <v>CambodiaWorkshops</v>
      </c>
      <c r="B119" s="528" t="s">
        <v>169</v>
      </c>
      <c r="C119" s="528" t="s">
        <v>877</v>
      </c>
      <c r="T119" s="723"/>
    </row>
    <row r="120" spans="1:20">
      <c r="A120" t="str">
        <f t="shared" si="3"/>
        <v>Central African RepublicWorkshops</v>
      </c>
      <c r="B120" s="528" t="s">
        <v>153</v>
      </c>
      <c r="C120" s="528" t="s">
        <v>877</v>
      </c>
      <c r="T120" s="723"/>
    </row>
    <row r="121" spans="1:20">
      <c r="A121" t="str">
        <f t="shared" si="3"/>
        <v>ChileWorkshops</v>
      </c>
      <c r="B121" s="528" t="s">
        <v>170</v>
      </c>
      <c r="C121" s="528" t="s">
        <v>877</v>
      </c>
      <c r="T121" s="723"/>
    </row>
    <row r="122" spans="1:20" ht="17" thickBot="1">
      <c r="A122" t="str">
        <f t="shared" si="3"/>
        <v>ChinaWorkshops</v>
      </c>
      <c r="B122" s="528" t="s">
        <v>349</v>
      </c>
      <c r="C122" s="528" t="s">
        <v>877</v>
      </c>
      <c r="T122" s="723"/>
    </row>
    <row r="123" spans="1:20" ht="17" thickBot="1">
      <c r="A123" t="str">
        <f t="shared" si="3"/>
        <v>ColombiaWorkshops</v>
      </c>
      <c r="B123" s="528" t="s">
        <v>171</v>
      </c>
      <c r="C123" s="528" t="s">
        <v>877</v>
      </c>
      <c r="D123" s="757"/>
      <c r="E123" s="757"/>
      <c r="F123" s="757"/>
      <c r="G123" s="757"/>
      <c r="H123" s="757"/>
      <c r="I123" s="757"/>
      <c r="J123" s="757"/>
      <c r="K123" s="757"/>
      <c r="L123" s="757"/>
      <c r="M123" s="757"/>
      <c r="N123" s="757"/>
      <c r="O123" s="757"/>
      <c r="P123" s="757"/>
      <c r="Q123" s="757"/>
      <c r="R123" s="757"/>
      <c r="S123" s="757"/>
      <c r="T123" s="723"/>
    </row>
    <row r="124" spans="1:20">
      <c r="A124" t="str">
        <f t="shared" si="3"/>
        <v>Costa RicaWorkshops</v>
      </c>
      <c r="B124" s="528" t="s">
        <v>350</v>
      </c>
      <c r="C124" s="528" t="s">
        <v>877</v>
      </c>
      <c r="T124" s="723"/>
    </row>
    <row r="125" spans="1:20">
      <c r="A125" t="str">
        <f t="shared" si="3"/>
        <v>CubaWorkshops</v>
      </c>
      <c r="B125" s="528" t="s">
        <v>164</v>
      </c>
      <c r="C125" s="528" t="s">
        <v>877</v>
      </c>
      <c r="T125" s="723"/>
    </row>
    <row r="126" spans="1:20">
      <c r="A126" t="str">
        <f t="shared" si="3"/>
        <v>Democratic Republic of CongoWorkshops</v>
      </c>
      <c r="B126" s="528" t="s">
        <v>152</v>
      </c>
      <c r="C126" s="528" t="s">
        <v>877</v>
      </c>
      <c r="T126" s="723"/>
    </row>
    <row r="127" spans="1:20">
      <c r="A127" t="str">
        <f t="shared" si="3"/>
        <v>DominicaWorkshops</v>
      </c>
      <c r="B127" s="528" t="s">
        <v>351</v>
      </c>
      <c r="C127" s="528" t="s">
        <v>877</v>
      </c>
      <c r="T127" s="723"/>
    </row>
    <row r="128" spans="1:20">
      <c r="A128" t="str">
        <f t="shared" si="3"/>
        <v>Dominican RepublicWorkshops</v>
      </c>
      <c r="B128" s="528" t="s">
        <v>172</v>
      </c>
      <c r="C128" s="528" t="s">
        <v>877</v>
      </c>
      <c r="T128" s="723"/>
    </row>
    <row r="129" spans="1:20">
      <c r="A129" t="str">
        <f t="shared" si="3"/>
        <v>EcuadorWorkshops</v>
      </c>
      <c r="B129" s="528" t="s">
        <v>352</v>
      </c>
      <c r="C129" s="528" t="s">
        <v>877</v>
      </c>
      <c r="T129" s="723"/>
    </row>
    <row r="130" spans="1:20">
      <c r="A130" t="str">
        <f t="shared" si="3"/>
        <v>El SalvadorWorkshops</v>
      </c>
      <c r="B130" s="528" t="s">
        <v>353</v>
      </c>
      <c r="C130" s="528" t="s">
        <v>877</v>
      </c>
      <c r="D130" s="740"/>
      <c r="E130" s="740"/>
      <c r="F130" s="740"/>
      <c r="G130" s="740"/>
      <c r="H130" s="740"/>
      <c r="I130" s="740"/>
      <c r="J130" s="740"/>
      <c r="K130" s="740"/>
      <c r="L130" s="740"/>
      <c r="M130" s="740">
        <v>0.88</v>
      </c>
      <c r="N130" s="740">
        <v>0.94</v>
      </c>
      <c r="O130" s="740">
        <v>0.98099999999999998</v>
      </c>
      <c r="P130" s="740">
        <v>0.90500000000000003</v>
      </c>
      <c r="Q130" s="740">
        <v>0.90500000000000003</v>
      </c>
      <c r="R130" s="740">
        <v>0.92900000000000005</v>
      </c>
      <c r="S130" s="740">
        <v>0.88500000000000001</v>
      </c>
      <c r="T130" s="738"/>
    </row>
    <row r="131" spans="1:20" ht="17" thickBot="1">
      <c r="A131" t="str">
        <f t="shared" si="3"/>
        <v>Equatorial GuineaWorkshops</v>
      </c>
      <c r="B131" s="528" t="s">
        <v>129</v>
      </c>
      <c r="C131" s="528" t="s">
        <v>877</v>
      </c>
      <c r="T131" s="723"/>
    </row>
    <row r="132" spans="1:20" ht="17" thickBot="1">
      <c r="A132" t="str">
        <f t="shared" si="3"/>
        <v>EritreaWorkshops</v>
      </c>
      <c r="B132" s="528" t="s">
        <v>128</v>
      </c>
      <c r="C132" s="528" t="s">
        <v>877</v>
      </c>
      <c r="D132" s="757"/>
      <c r="E132" s="757"/>
      <c r="F132" s="757"/>
      <c r="G132" s="757"/>
      <c r="H132" s="757"/>
      <c r="I132" s="757"/>
      <c r="J132" s="757"/>
      <c r="K132" s="757"/>
      <c r="L132" s="757"/>
      <c r="M132" s="757"/>
      <c r="N132" s="757"/>
      <c r="O132" s="757"/>
      <c r="P132" s="757"/>
      <c r="Q132" s="757"/>
      <c r="R132" s="757"/>
      <c r="S132" s="757"/>
      <c r="T132" s="759"/>
    </row>
    <row r="133" spans="1:20">
      <c r="A133" t="str">
        <f t="shared" si="3"/>
        <v>EswatiniWorkshops</v>
      </c>
      <c r="B133" s="528" t="s">
        <v>835</v>
      </c>
      <c r="C133" s="528" t="s">
        <v>877</v>
      </c>
      <c r="T133" s="723"/>
    </row>
    <row r="134" spans="1:20">
      <c r="A134" t="str">
        <f t="shared" si="3"/>
        <v>EthiopiaWorkshops</v>
      </c>
      <c r="B134" s="528" t="s">
        <v>127</v>
      </c>
      <c r="C134" s="528" t="s">
        <v>877</v>
      </c>
      <c r="T134" s="723"/>
    </row>
    <row r="135" spans="1:20">
      <c r="A135" t="str">
        <f t="shared" si="3"/>
        <v>Federated States of MicronesiaWorkshops</v>
      </c>
      <c r="B135" s="528" t="s">
        <v>356</v>
      </c>
      <c r="C135" s="528" t="s">
        <v>877</v>
      </c>
      <c r="T135" s="723"/>
    </row>
    <row r="136" spans="1:20">
      <c r="A136" t="str">
        <f t="shared" ref="A136:A167" si="4">B136&amp;C136</f>
        <v>FijiWorkshops</v>
      </c>
      <c r="B136" s="528" t="s">
        <v>338</v>
      </c>
      <c r="C136" s="528" t="s">
        <v>877</v>
      </c>
      <c r="D136" s="758">
        <v>0.95</v>
      </c>
      <c r="E136" s="758">
        <v>0.95</v>
      </c>
      <c r="F136" s="758">
        <v>0.95</v>
      </c>
      <c r="G136" s="758">
        <v>0.95</v>
      </c>
      <c r="H136" s="758">
        <v>0.95</v>
      </c>
      <c r="I136" s="758">
        <v>0.99</v>
      </c>
      <c r="J136" s="758">
        <v>0.99</v>
      </c>
      <c r="K136" s="758">
        <v>0.99</v>
      </c>
      <c r="L136" s="758">
        <v>0.99</v>
      </c>
      <c r="M136" s="758">
        <v>0.99</v>
      </c>
      <c r="N136" s="758">
        <v>0.99</v>
      </c>
      <c r="O136" s="758">
        <v>0.99</v>
      </c>
      <c r="P136" s="758">
        <v>0.99</v>
      </c>
      <c r="Q136" s="758">
        <v>0.99</v>
      </c>
      <c r="R136" s="758">
        <v>0.99</v>
      </c>
      <c r="S136" s="758">
        <v>0.99</v>
      </c>
      <c r="T136" s="723"/>
    </row>
    <row r="137" spans="1:20">
      <c r="A137" t="str">
        <f t="shared" si="4"/>
        <v>GabonWorkshops</v>
      </c>
      <c r="B137" s="528" t="s">
        <v>130</v>
      </c>
      <c r="C137" s="528" t="s">
        <v>877</v>
      </c>
      <c r="T137" s="723"/>
    </row>
    <row r="138" spans="1:20">
      <c r="A138" t="str">
        <f t="shared" si="4"/>
        <v>GeorgiaWorkshops</v>
      </c>
      <c r="B138" s="528" t="s">
        <v>173</v>
      </c>
      <c r="C138" s="528" t="s">
        <v>877</v>
      </c>
      <c r="T138" s="723"/>
    </row>
    <row r="139" spans="1:20">
      <c r="A139" t="str">
        <f t="shared" si="4"/>
        <v>GhanaWorkshops</v>
      </c>
      <c r="B139" s="528" t="s">
        <v>131</v>
      </c>
      <c r="C139" s="528" t="s">
        <v>877</v>
      </c>
      <c r="T139" s="723"/>
    </row>
    <row r="140" spans="1:20">
      <c r="A140" t="str">
        <f t="shared" si="4"/>
        <v>GrenadaWorkshops</v>
      </c>
      <c r="B140" s="528" t="s">
        <v>354</v>
      </c>
      <c r="C140" s="528" t="s">
        <v>877</v>
      </c>
      <c r="T140" s="723"/>
    </row>
    <row r="141" spans="1:20">
      <c r="A141" t="str">
        <f t="shared" si="4"/>
        <v>GuatemalaWorkshops</v>
      </c>
      <c r="B141" s="528" t="s">
        <v>355</v>
      </c>
      <c r="C141" s="528" t="s">
        <v>877</v>
      </c>
      <c r="T141" s="723"/>
    </row>
    <row r="142" spans="1:20">
      <c r="A142" t="str">
        <f t="shared" si="4"/>
        <v>GuineaWorkshops</v>
      </c>
      <c r="B142" s="528" t="s">
        <v>132</v>
      </c>
      <c r="C142" s="528" t="s">
        <v>877</v>
      </c>
      <c r="T142" s="723"/>
    </row>
    <row r="143" spans="1:20">
      <c r="A143" t="str">
        <f t="shared" si="4"/>
        <v>GuyanaWorkshops</v>
      </c>
      <c r="B143" s="528" t="s">
        <v>357</v>
      </c>
      <c r="C143" s="528" t="s">
        <v>877</v>
      </c>
      <c r="T143" s="723"/>
    </row>
    <row r="144" spans="1:20">
      <c r="A144" t="str">
        <f t="shared" si="4"/>
        <v>HaitiWorkshops</v>
      </c>
      <c r="B144" s="528" t="s">
        <v>174</v>
      </c>
      <c r="C144" s="528" t="s">
        <v>877</v>
      </c>
      <c r="T144" s="723"/>
    </row>
    <row r="145" spans="1:21">
      <c r="A145" t="str">
        <f t="shared" si="4"/>
        <v>HondurasWorkshops</v>
      </c>
      <c r="B145" s="528" t="s">
        <v>358</v>
      </c>
      <c r="C145" s="528" t="s">
        <v>877</v>
      </c>
      <c r="D145" s="740"/>
      <c r="E145" s="740"/>
      <c r="F145" s="740"/>
      <c r="G145" s="740"/>
      <c r="H145" s="740"/>
      <c r="I145" s="740"/>
      <c r="J145" s="740"/>
      <c r="K145" s="740"/>
      <c r="L145" s="740"/>
      <c r="M145" s="740">
        <v>0.40699999999999997</v>
      </c>
      <c r="N145" s="740">
        <v>0.627</v>
      </c>
      <c r="O145" s="740">
        <v>0.67700000000000005</v>
      </c>
      <c r="P145" s="740">
        <v>0.7</v>
      </c>
      <c r="Q145" s="740">
        <v>0.72399999999999998</v>
      </c>
      <c r="R145" s="740">
        <v>0.69</v>
      </c>
      <c r="S145" s="740">
        <v>0.95299999999999996</v>
      </c>
      <c r="T145" s="738"/>
    </row>
    <row r="146" spans="1:21">
      <c r="A146" t="str">
        <f t="shared" si="4"/>
        <v>IndiaWorkshops</v>
      </c>
      <c r="B146" s="528" t="s">
        <v>175</v>
      </c>
      <c r="C146" s="528" t="s">
        <v>877</v>
      </c>
      <c r="T146" s="723"/>
    </row>
    <row r="147" spans="1:21">
      <c r="A147" t="str">
        <f t="shared" si="4"/>
        <v>IndonesiaWorkshops</v>
      </c>
      <c r="B147" s="528" t="s">
        <v>866</v>
      </c>
      <c r="C147" s="528" t="s">
        <v>877</v>
      </c>
    </row>
    <row r="148" spans="1:21" ht="17" thickBot="1">
      <c r="A148" t="str">
        <f t="shared" si="4"/>
        <v>JamaicaWorkshops</v>
      </c>
      <c r="B148" s="528" t="s">
        <v>176</v>
      </c>
      <c r="C148" s="528" t="s">
        <v>877</v>
      </c>
    </row>
    <row r="149" spans="1:21" ht="17" thickBot="1">
      <c r="A149" t="str">
        <f t="shared" si="4"/>
        <v>KenyaWorkshops</v>
      </c>
      <c r="B149" s="528" t="s">
        <v>133</v>
      </c>
      <c r="C149" s="528" t="s">
        <v>877</v>
      </c>
      <c r="D149" s="757"/>
      <c r="E149" s="757"/>
      <c r="F149" s="757"/>
      <c r="G149" s="757"/>
      <c r="H149" s="757"/>
      <c r="I149" s="757"/>
      <c r="J149" s="757"/>
      <c r="K149" s="757"/>
      <c r="L149" s="757"/>
      <c r="M149" s="757"/>
      <c r="N149" s="757"/>
      <c r="O149" s="757"/>
      <c r="P149" s="757"/>
      <c r="Q149" s="757"/>
      <c r="R149" s="757"/>
      <c r="S149" s="757"/>
      <c r="T149" s="757"/>
    </row>
    <row r="150" spans="1:21">
      <c r="A150" t="str">
        <f t="shared" si="4"/>
        <v>LesothoWorkshops</v>
      </c>
      <c r="B150" s="528" t="s">
        <v>930</v>
      </c>
      <c r="C150" s="528" t="s">
        <v>877</v>
      </c>
      <c r="D150" s="723"/>
      <c r="E150" s="723"/>
      <c r="F150" s="723"/>
      <c r="G150" s="723"/>
      <c r="H150" s="723"/>
      <c r="I150" s="723"/>
      <c r="J150" s="723"/>
      <c r="K150" s="723"/>
      <c r="L150" s="723"/>
      <c r="M150" s="723"/>
      <c r="N150" s="723"/>
      <c r="O150" s="723"/>
      <c r="P150" s="723"/>
      <c r="Q150" s="723"/>
      <c r="R150" s="723"/>
      <c r="S150" s="723"/>
      <c r="T150" s="723"/>
      <c r="U150" s="723"/>
    </row>
    <row r="151" spans="1:21">
      <c r="A151" t="str">
        <f t="shared" si="4"/>
        <v>LiberiaWorkshops</v>
      </c>
      <c r="B151" s="528" t="s">
        <v>134</v>
      </c>
      <c r="C151" s="528" t="s">
        <v>877</v>
      </c>
    </row>
    <row r="152" spans="1:21">
      <c r="A152" t="str">
        <f t="shared" si="4"/>
        <v>MadagascarWorkshops</v>
      </c>
      <c r="B152" s="528" t="s">
        <v>135</v>
      </c>
      <c r="C152" s="528" t="s">
        <v>877</v>
      </c>
    </row>
    <row r="153" spans="1:21" ht="17" thickBot="1">
      <c r="A153" t="str">
        <f t="shared" si="4"/>
        <v>MalawiWorkshops</v>
      </c>
      <c r="B153" s="528" t="s">
        <v>136</v>
      </c>
      <c r="C153" s="528" t="s">
        <v>877</v>
      </c>
    </row>
    <row r="154" spans="1:21" ht="17" thickBot="1">
      <c r="A154" t="str">
        <f t="shared" si="4"/>
        <v>MalaysiaWorkshops</v>
      </c>
      <c r="B154" s="528" t="s">
        <v>177</v>
      </c>
      <c r="C154" s="528" t="s">
        <v>877</v>
      </c>
      <c r="D154" s="757"/>
      <c r="E154" s="757"/>
      <c r="F154" s="757"/>
      <c r="G154" s="757"/>
      <c r="H154" s="757"/>
      <c r="I154" s="757"/>
      <c r="J154" s="757"/>
      <c r="K154" s="757"/>
      <c r="L154" s="757"/>
      <c r="M154" s="757"/>
      <c r="N154" s="757"/>
      <c r="O154" s="757"/>
      <c r="P154" s="757"/>
      <c r="Q154" s="757"/>
      <c r="R154" s="757"/>
      <c r="S154" s="757"/>
      <c r="T154" s="757"/>
    </row>
    <row r="155" spans="1:21">
      <c r="A155" t="str">
        <f t="shared" si="4"/>
        <v>MaldivesWorkshops</v>
      </c>
      <c r="B155" s="528" t="s">
        <v>375</v>
      </c>
      <c r="C155" s="528" t="s">
        <v>877</v>
      </c>
    </row>
    <row r="156" spans="1:21">
      <c r="A156" t="str">
        <f t="shared" si="4"/>
        <v>MaliWorkshops</v>
      </c>
      <c r="B156" s="528" t="s">
        <v>137</v>
      </c>
      <c r="C156" s="528" t="s">
        <v>877</v>
      </c>
    </row>
    <row r="157" spans="1:21">
      <c r="A157" t="str">
        <f t="shared" si="4"/>
        <v>MauritiusWorkshops</v>
      </c>
      <c r="B157" s="528" t="s">
        <v>150</v>
      </c>
      <c r="C157" s="528" t="s">
        <v>877</v>
      </c>
    </row>
    <row r="158" spans="1:21" ht="17" thickBot="1">
      <c r="A158" t="str">
        <f t="shared" si="4"/>
        <v>MexicoWorkshops</v>
      </c>
      <c r="B158" s="528" t="s">
        <v>761</v>
      </c>
      <c r="C158" s="528" t="s">
        <v>877</v>
      </c>
    </row>
    <row r="159" spans="1:21" ht="17" thickBot="1">
      <c r="A159" t="str">
        <f t="shared" si="4"/>
        <v>MoldovaWorkshops</v>
      </c>
      <c r="B159" s="528" t="s">
        <v>230</v>
      </c>
      <c r="C159" s="528" t="s">
        <v>877</v>
      </c>
      <c r="D159" s="757"/>
      <c r="E159" s="757"/>
      <c r="F159" s="757"/>
      <c r="G159" s="757"/>
      <c r="H159" s="757"/>
      <c r="I159" s="757"/>
      <c r="J159" s="757"/>
      <c r="K159" s="757"/>
      <c r="L159" s="757"/>
      <c r="M159" s="757"/>
      <c r="N159" s="757"/>
      <c r="O159" s="757"/>
      <c r="P159" s="757"/>
      <c r="Q159" s="757"/>
      <c r="R159" s="760"/>
      <c r="S159" s="760"/>
    </row>
    <row r="160" spans="1:21">
      <c r="A160" t="str">
        <f t="shared" si="4"/>
        <v>MongoliaWorkshops</v>
      </c>
      <c r="B160" s="528" t="s">
        <v>178</v>
      </c>
      <c r="C160" s="528" t="s">
        <v>877</v>
      </c>
    </row>
    <row r="161" spans="1:21">
      <c r="A161" t="str">
        <f t="shared" si="4"/>
        <v>MoroccoWorkshops</v>
      </c>
      <c r="B161" s="528" t="s">
        <v>931</v>
      </c>
      <c r="C161" s="528" t="s">
        <v>877</v>
      </c>
      <c r="D161" s="723"/>
      <c r="E161" s="723"/>
      <c r="F161" s="723"/>
      <c r="G161" s="723"/>
      <c r="H161" s="723"/>
      <c r="I161" s="723"/>
      <c r="J161" s="723"/>
      <c r="K161" s="723"/>
      <c r="L161" s="723"/>
      <c r="M161" s="723"/>
      <c r="N161" s="723"/>
      <c r="O161" s="723"/>
      <c r="P161" s="723"/>
      <c r="Q161" s="723"/>
      <c r="R161" s="723"/>
      <c r="S161" s="723"/>
      <c r="T161" s="723"/>
      <c r="U161" s="723"/>
    </row>
    <row r="162" spans="1:21" ht="17" thickBot="1">
      <c r="A162" t="str">
        <f t="shared" si="4"/>
        <v>MozambiqueWorkshops</v>
      </c>
      <c r="B162" s="528" t="s">
        <v>138</v>
      </c>
      <c r="C162" s="528" t="s">
        <v>877</v>
      </c>
    </row>
    <row r="163" spans="1:21" ht="17" thickBot="1">
      <c r="A163" t="str">
        <f t="shared" si="4"/>
        <v>MyanmarWorkshops</v>
      </c>
      <c r="B163" s="528" t="s">
        <v>932</v>
      </c>
      <c r="C163" s="528" t="s">
        <v>877</v>
      </c>
      <c r="D163" s="759"/>
      <c r="E163" s="759"/>
      <c r="F163" s="759"/>
      <c r="G163" s="759"/>
      <c r="H163" s="759"/>
      <c r="I163" s="759"/>
      <c r="J163" s="759"/>
      <c r="K163" s="759"/>
      <c r="L163" s="759"/>
      <c r="M163" s="759"/>
      <c r="N163" s="759"/>
      <c r="O163" s="759"/>
      <c r="P163" s="759"/>
      <c r="Q163" s="759"/>
      <c r="R163" s="761"/>
      <c r="S163" s="761"/>
      <c r="T163" s="723"/>
      <c r="U163" s="723"/>
    </row>
    <row r="164" spans="1:21">
      <c r="A164" t="str">
        <f t="shared" si="4"/>
        <v>NepalWorkshops</v>
      </c>
      <c r="B164" s="528" t="s">
        <v>179</v>
      </c>
      <c r="C164" s="528" t="s">
        <v>877</v>
      </c>
    </row>
    <row r="165" spans="1:21">
      <c r="A165" t="str">
        <f t="shared" si="4"/>
        <v>NicaraguaWorkshops</v>
      </c>
      <c r="B165" s="528" t="s">
        <v>359</v>
      </c>
      <c r="C165" s="528" t="s">
        <v>877</v>
      </c>
      <c r="D165" s="740"/>
      <c r="E165" s="740"/>
      <c r="F165" s="740"/>
      <c r="G165" s="740"/>
      <c r="H165" s="740"/>
      <c r="I165" s="740"/>
      <c r="J165" s="740"/>
      <c r="K165" s="740"/>
      <c r="L165" s="740"/>
      <c r="M165" s="740">
        <v>0.68</v>
      </c>
      <c r="N165" s="740">
        <v>0.7</v>
      </c>
      <c r="O165" s="740">
        <v>0.7</v>
      </c>
      <c r="P165" s="740">
        <v>0.64</v>
      </c>
      <c r="Q165" s="740">
        <v>0.7</v>
      </c>
      <c r="R165" s="740">
        <v>0.76</v>
      </c>
      <c r="S165" s="740">
        <v>0.75</v>
      </c>
      <c r="T165" s="740"/>
    </row>
    <row r="166" spans="1:21">
      <c r="A166" t="str">
        <f t="shared" si="4"/>
        <v>NigerWorkshops</v>
      </c>
      <c r="B166" s="528" t="s">
        <v>139</v>
      </c>
      <c r="C166" s="528" t="s">
        <v>877</v>
      </c>
    </row>
    <row r="167" spans="1:21">
      <c r="A167" t="str">
        <f t="shared" si="4"/>
        <v>NigeriaWorkshops</v>
      </c>
      <c r="B167" s="528" t="s">
        <v>140</v>
      </c>
      <c r="C167" s="528" t="s">
        <v>877</v>
      </c>
    </row>
    <row r="168" spans="1:21">
      <c r="A168" t="str">
        <f t="shared" ref="A168:A199" si="5">B168&amp;C168</f>
        <v>OmanWorkshops</v>
      </c>
      <c r="B168" s="528" t="s">
        <v>933</v>
      </c>
      <c r="C168" s="528" t="s">
        <v>877</v>
      </c>
      <c r="D168" s="723"/>
      <c r="E168" s="723"/>
      <c r="F168" s="723"/>
      <c r="G168" s="723"/>
      <c r="H168" s="723"/>
      <c r="I168" s="723"/>
      <c r="J168" s="723"/>
      <c r="K168" s="723"/>
      <c r="L168" s="723"/>
      <c r="M168" s="723"/>
      <c r="N168" s="723"/>
      <c r="O168" s="723"/>
      <c r="P168" s="723"/>
      <c r="Q168" s="723"/>
      <c r="R168" s="723"/>
      <c r="S168" s="723"/>
      <c r="T168" s="723"/>
      <c r="U168" s="723"/>
    </row>
    <row r="169" spans="1:21">
      <c r="A169" t="str">
        <f t="shared" si="5"/>
        <v>PanamaWorkshops</v>
      </c>
      <c r="B169" s="528" t="s">
        <v>180</v>
      </c>
      <c r="C169" s="528" t="s">
        <v>877</v>
      </c>
    </row>
    <row r="170" spans="1:21">
      <c r="A170" t="str">
        <f t="shared" si="5"/>
        <v>Papua New GuineaWorkshops</v>
      </c>
      <c r="B170" s="528" t="s">
        <v>181</v>
      </c>
      <c r="C170" s="528" t="s">
        <v>877</v>
      </c>
    </row>
    <row r="171" spans="1:21">
      <c r="A171" t="str">
        <f t="shared" si="5"/>
        <v>ParaguayWorkshops</v>
      </c>
      <c r="B171" s="528" t="s">
        <v>182</v>
      </c>
      <c r="C171" s="528" t="s">
        <v>877</v>
      </c>
      <c r="D171" s="740"/>
      <c r="E171" s="740"/>
      <c r="F171" s="740"/>
      <c r="G171" s="740"/>
      <c r="H171" s="740"/>
      <c r="I171" s="740">
        <v>0.39019999999999999</v>
      </c>
      <c r="J171" s="740">
        <v>0.55100000000000005</v>
      </c>
      <c r="K171" s="740">
        <v>0.52</v>
      </c>
      <c r="L171" s="740">
        <v>0.54700000000000004</v>
      </c>
      <c r="M171" s="740">
        <v>0.70199999999999996</v>
      </c>
      <c r="N171" s="740">
        <v>0.70599999999999996</v>
      </c>
      <c r="O171" s="740">
        <v>0.755</v>
      </c>
      <c r="P171" s="740">
        <v>0.59699999999999998</v>
      </c>
      <c r="Q171" s="740">
        <v>0.64300000000000002</v>
      </c>
      <c r="R171" s="740">
        <v>0.72899999999999998</v>
      </c>
      <c r="S171" s="740">
        <v>0.71199999999999997</v>
      </c>
      <c r="T171" s="740"/>
    </row>
    <row r="172" spans="1:21">
      <c r="A172" t="str">
        <f t="shared" si="5"/>
        <v>PeruWorkshops</v>
      </c>
      <c r="B172" s="528" t="s">
        <v>360</v>
      </c>
      <c r="C172" s="528" t="s">
        <v>877</v>
      </c>
    </row>
    <row r="173" spans="1:21">
      <c r="A173" t="str">
        <f t="shared" si="5"/>
        <v>Republic of the CongoWorkshops</v>
      </c>
      <c r="B173" s="528" t="s">
        <v>934</v>
      </c>
      <c r="C173" s="528" t="s">
        <v>877</v>
      </c>
      <c r="D173" s="723"/>
      <c r="E173" s="723"/>
      <c r="F173" s="723"/>
      <c r="G173" s="723"/>
      <c r="H173" s="723"/>
      <c r="I173" s="723"/>
      <c r="J173" s="723"/>
      <c r="K173" s="723"/>
      <c r="L173" s="723"/>
      <c r="M173" s="723"/>
      <c r="N173" s="723"/>
      <c r="O173" s="723"/>
      <c r="P173" s="723"/>
      <c r="Q173" s="723"/>
      <c r="R173" s="723"/>
      <c r="S173" s="723"/>
      <c r="T173" s="723"/>
      <c r="U173" s="723"/>
    </row>
    <row r="174" spans="1:21">
      <c r="A174" t="str">
        <f t="shared" si="5"/>
        <v>RwandaWorkshops</v>
      </c>
      <c r="B174" s="528" t="s">
        <v>953</v>
      </c>
      <c r="C174" s="528" t="s">
        <v>877</v>
      </c>
      <c r="D174" s="723"/>
      <c r="E174" s="723"/>
      <c r="F174" s="723"/>
      <c r="G174" s="723"/>
      <c r="H174" s="723"/>
      <c r="I174" s="723"/>
      <c r="J174" s="723"/>
      <c r="K174" s="723"/>
      <c r="L174" s="723"/>
      <c r="M174" s="723"/>
      <c r="N174" s="723"/>
      <c r="O174" s="723"/>
      <c r="P174" s="723"/>
      <c r="Q174" s="723"/>
      <c r="R174" s="723"/>
      <c r="S174" s="723"/>
      <c r="T174" s="723"/>
      <c r="U174" s="723"/>
    </row>
    <row r="175" spans="1:21">
      <c r="A175" t="str">
        <f t="shared" si="5"/>
        <v>Saint Kitts &amp; NevisWorkshops</v>
      </c>
      <c r="B175" s="528" t="s">
        <v>361</v>
      </c>
      <c r="C175" s="528" t="s">
        <v>877</v>
      </c>
    </row>
    <row r="176" spans="1:21">
      <c r="A176" t="str">
        <f t="shared" si="5"/>
        <v>Saint LuciaWorkshops</v>
      </c>
      <c r="B176" s="528" t="s">
        <v>362</v>
      </c>
      <c r="C176" s="528" t="s">
        <v>877</v>
      </c>
    </row>
    <row r="177" spans="1:21">
      <c r="A177" t="str">
        <f t="shared" si="5"/>
        <v>Saint Vincent &amp; the GrenadinesWorkshops</v>
      </c>
      <c r="B177" s="528" t="s">
        <v>363</v>
      </c>
      <c r="C177" s="528" t="s">
        <v>877</v>
      </c>
    </row>
    <row r="178" spans="1:21">
      <c r="A178" t="str">
        <f t="shared" si="5"/>
        <v>SamoaWorkshops</v>
      </c>
      <c r="B178" s="528" t="s">
        <v>183</v>
      </c>
      <c r="C178" s="528" t="s">
        <v>877</v>
      </c>
      <c r="D178" s="738"/>
      <c r="E178" s="738"/>
      <c r="F178" s="738"/>
      <c r="G178" s="738"/>
      <c r="H178" s="738"/>
      <c r="I178" s="738"/>
      <c r="J178" s="738"/>
      <c r="K178" s="738"/>
      <c r="L178" s="738"/>
      <c r="M178" s="738">
        <v>0.99</v>
      </c>
      <c r="N178" s="738">
        <v>1</v>
      </c>
      <c r="O178" s="738">
        <v>1</v>
      </c>
      <c r="P178" s="738">
        <v>0.98</v>
      </c>
      <c r="Q178" s="738">
        <v>0.99</v>
      </c>
      <c r="R178" s="738">
        <v>0.91</v>
      </c>
      <c r="S178" s="738">
        <v>0.95</v>
      </c>
    </row>
    <row r="179" spans="1:21">
      <c r="A179" t="str">
        <f t="shared" si="5"/>
        <v>Sao Tome &amp; PrincipeWorkshops</v>
      </c>
      <c r="B179" s="528" t="s">
        <v>364</v>
      </c>
      <c r="C179" s="528" t="s">
        <v>877</v>
      </c>
    </row>
    <row r="180" spans="1:21">
      <c r="A180" t="str">
        <f t="shared" si="5"/>
        <v>Saudi ArabiaWorkshops</v>
      </c>
      <c r="B180" s="528" t="s">
        <v>935</v>
      </c>
      <c r="C180" s="528" t="s">
        <v>877</v>
      </c>
      <c r="D180" s="723"/>
      <c r="E180" s="723"/>
      <c r="F180" s="723"/>
      <c r="G180" s="723"/>
      <c r="H180" s="723"/>
      <c r="I180" s="723"/>
      <c r="J180" s="723"/>
      <c r="K180" s="723"/>
      <c r="L180" s="723"/>
      <c r="M180" s="723"/>
      <c r="N180" s="723"/>
      <c r="O180" s="723"/>
      <c r="P180" s="723"/>
      <c r="Q180" s="723"/>
      <c r="R180" s="723"/>
      <c r="S180" s="723"/>
      <c r="T180" s="723"/>
      <c r="U180" s="723"/>
    </row>
    <row r="181" spans="1:21">
      <c r="A181" t="str">
        <f t="shared" si="5"/>
        <v>SenegalWorkshops</v>
      </c>
      <c r="B181" s="528" t="s">
        <v>141</v>
      </c>
      <c r="C181" s="528" t="s">
        <v>877</v>
      </c>
    </row>
    <row r="182" spans="1:21">
      <c r="A182" t="str">
        <f t="shared" si="5"/>
        <v>SeychellesWorkshops</v>
      </c>
      <c r="B182" s="528" t="s">
        <v>151</v>
      </c>
      <c r="C182" s="528" t="s">
        <v>877</v>
      </c>
    </row>
    <row r="183" spans="1:21">
      <c r="A183" t="str">
        <f t="shared" si="5"/>
        <v>Sierra LeoneWorkshops</v>
      </c>
      <c r="B183" s="528" t="s">
        <v>936</v>
      </c>
      <c r="C183" s="528" t="s">
        <v>877</v>
      </c>
      <c r="D183" s="723"/>
      <c r="E183" s="723"/>
      <c r="F183" s="723"/>
      <c r="G183" s="723"/>
      <c r="H183" s="723"/>
      <c r="I183" s="723"/>
      <c r="J183" s="723"/>
      <c r="K183" s="723"/>
      <c r="L183" s="723"/>
      <c r="M183" s="723"/>
      <c r="N183" s="723"/>
      <c r="O183" s="723"/>
      <c r="P183" s="723"/>
      <c r="Q183" s="723"/>
      <c r="R183" s="723"/>
      <c r="S183" s="723"/>
      <c r="T183" s="723"/>
      <c r="U183" s="723"/>
    </row>
    <row r="184" spans="1:21">
      <c r="A184" t="str">
        <f t="shared" si="5"/>
        <v>SomaliaWorkshops</v>
      </c>
      <c r="B184" s="528" t="s">
        <v>937</v>
      </c>
      <c r="C184" s="528" t="s">
        <v>877</v>
      </c>
      <c r="D184" s="723"/>
      <c r="E184" s="723"/>
      <c r="F184" s="723"/>
      <c r="G184" s="723"/>
      <c r="H184" s="723"/>
      <c r="I184" s="723"/>
      <c r="J184" s="723"/>
      <c r="K184" s="723"/>
      <c r="L184" s="723"/>
      <c r="M184" s="723"/>
      <c r="N184" s="723"/>
      <c r="O184" s="723"/>
      <c r="P184" s="723"/>
      <c r="Q184" s="723"/>
      <c r="R184" s="723"/>
      <c r="S184" s="723"/>
      <c r="T184" s="723"/>
      <c r="U184" s="723"/>
    </row>
    <row r="185" spans="1:21">
      <c r="A185" t="str">
        <f t="shared" si="5"/>
        <v>South AfricaWorkshops</v>
      </c>
      <c r="B185" s="528" t="s">
        <v>0</v>
      </c>
      <c r="C185" s="528" t="s">
        <v>877</v>
      </c>
      <c r="D185" s="738"/>
      <c r="E185" s="738"/>
      <c r="F185" s="738">
        <v>0.71</v>
      </c>
      <c r="G185" s="738"/>
      <c r="H185" s="738"/>
      <c r="I185" s="738"/>
      <c r="J185" s="738">
        <v>0.49</v>
      </c>
      <c r="K185" s="738"/>
      <c r="L185" s="738"/>
      <c r="M185" s="738"/>
      <c r="N185" s="738">
        <v>0.75</v>
      </c>
      <c r="O185" s="738">
        <v>0.8</v>
      </c>
      <c r="P185" s="738">
        <v>0.85</v>
      </c>
      <c r="Q185" s="738">
        <v>0.9</v>
      </c>
      <c r="R185" s="738">
        <v>0.95</v>
      </c>
      <c r="S185" s="738">
        <v>0.95</v>
      </c>
    </row>
    <row r="186" spans="1:21">
      <c r="A186" t="str">
        <f t="shared" si="5"/>
        <v>South SudanWorkshops</v>
      </c>
      <c r="B186" s="528" t="s">
        <v>938</v>
      </c>
      <c r="C186" s="528" t="s">
        <v>877</v>
      </c>
      <c r="D186" s="723"/>
      <c r="E186" s="723"/>
      <c r="F186" s="723"/>
      <c r="G186" s="723"/>
      <c r="H186" s="723"/>
      <c r="I186" s="723"/>
      <c r="J186" s="723"/>
      <c r="K186" s="723"/>
      <c r="L186" s="723"/>
      <c r="M186" s="723"/>
      <c r="N186" s="723"/>
      <c r="O186" s="723"/>
      <c r="P186" s="723"/>
      <c r="Q186" s="723"/>
      <c r="R186" s="723"/>
      <c r="S186" s="723"/>
      <c r="T186" s="723"/>
      <c r="U186" s="723"/>
    </row>
    <row r="187" spans="1:21">
      <c r="A187" t="str">
        <f t="shared" si="5"/>
        <v>Solomon IslandsWorkshops</v>
      </c>
      <c r="B187" s="528" t="s">
        <v>950</v>
      </c>
      <c r="C187" s="528" t="s">
        <v>877</v>
      </c>
      <c r="D187" s="723"/>
      <c r="E187" s="723"/>
      <c r="F187" s="723"/>
      <c r="G187" s="723"/>
      <c r="H187" s="723"/>
      <c r="I187" s="723"/>
      <c r="J187" s="723"/>
      <c r="K187" s="723"/>
      <c r="L187" s="723"/>
      <c r="M187" s="723"/>
      <c r="N187" s="723"/>
      <c r="O187" s="723"/>
      <c r="P187" s="723"/>
      <c r="Q187" s="723"/>
      <c r="R187" s="723"/>
      <c r="S187" s="723"/>
      <c r="T187" s="723"/>
      <c r="U187" s="723"/>
    </row>
    <row r="188" spans="1:21">
      <c r="A188" t="str">
        <f t="shared" si="5"/>
        <v>Sri LankaWorkshops</v>
      </c>
      <c r="B188" s="528" t="s">
        <v>374</v>
      </c>
      <c r="C188" s="528" t="s">
        <v>877</v>
      </c>
    </row>
    <row r="189" spans="1:21">
      <c r="A189" t="str">
        <f t="shared" si="5"/>
        <v>SurinameWorkshops</v>
      </c>
      <c r="B189" s="528" t="s">
        <v>365</v>
      </c>
      <c r="C189" s="528" t="s">
        <v>877</v>
      </c>
    </row>
    <row r="190" spans="1:21">
      <c r="A190" t="str">
        <f t="shared" si="5"/>
        <v>TanzaniaWorkshops</v>
      </c>
      <c r="B190" s="528" t="s">
        <v>143</v>
      </c>
      <c r="C190" s="528" t="s">
        <v>877</v>
      </c>
    </row>
    <row r="191" spans="1:21">
      <c r="A191" t="str">
        <f t="shared" si="5"/>
        <v>ThailandWorkshops</v>
      </c>
      <c r="B191" s="528" t="s">
        <v>185</v>
      </c>
      <c r="C191" s="528" t="s">
        <v>877</v>
      </c>
    </row>
    <row r="192" spans="1:21">
      <c r="A192" t="str">
        <f t="shared" si="5"/>
        <v>TogoWorkshops</v>
      </c>
      <c r="B192" s="528" t="s">
        <v>142</v>
      </c>
      <c r="C192" s="528" t="s">
        <v>877</v>
      </c>
    </row>
    <row r="193" spans="1:21">
      <c r="A193" t="str">
        <f t="shared" si="5"/>
        <v>Trinidad &amp; TobagoWorkshops</v>
      </c>
      <c r="B193" s="528" t="s">
        <v>366</v>
      </c>
      <c r="C193" s="528" t="s">
        <v>877</v>
      </c>
    </row>
    <row r="194" spans="1:21">
      <c r="A194" t="str">
        <f t="shared" si="5"/>
        <v>UgandaWorkshops</v>
      </c>
      <c r="B194" s="528" t="s">
        <v>144</v>
      </c>
      <c r="C194" s="528" t="s">
        <v>877</v>
      </c>
    </row>
    <row r="195" spans="1:21">
      <c r="A195" t="str">
        <f t="shared" si="5"/>
        <v>UkraineWorkshops</v>
      </c>
      <c r="B195" s="528" t="s">
        <v>186</v>
      </c>
      <c r="C195" s="528" t="s">
        <v>877</v>
      </c>
    </row>
    <row r="196" spans="1:21">
      <c r="A196" t="str">
        <f t="shared" si="5"/>
        <v>UruguayWorkshops</v>
      </c>
      <c r="B196" s="528" t="s">
        <v>187</v>
      </c>
      <c r="C196" s="528" t="s">
        <v>877</v>
      </c>
    </row>
    <row r="197" spans="1:21">
      <c r="A197" t="str">
        <f t="shared" si="5"/>
        <v>VenezuelaWorkshops</v>
      </c>
      <c r="B197" s="528" t="s">
        <v>188</v>
      </c>
      <c r="C197" s="528" t="s">
        <v>877</v>
      </c>
    </row>
    <row r="198" spans="1:21">
      <c r="A198" t="str">
        <f t="shared" si="5"/>
        <v>ZambiaWorkshops</v>
      </c>
      <c r="B198" s="528" t="s">
        <v>124</v>
      </c>
      <c r="C198" s="528" t="s">
        <v>877</v>
      </c>
    </row>
    <row r="199" spans="1:21">
      <c r="A199" t="str">
        <f t="shared" si="5"/>
        <v>ZimbabweWorkshops</v>
      </c>
      <c r="B199" s="528" t="s">
        <v>125</v>
      </c>
      <c r="C199" s="528" t="s">
        <v>877</v>
      </c>
    </row>
    <row r="200" spans="1:21">
      <c r="D200" s="723"/>
      <c r="E200" s="723"/>
      <c r="F200" s="723"/>
      <c r="G200" s="723"/>
      <c r="H200" s="723"/>
      <c r="I200" s="723"/>
      <c r="J200" s="723"/>
      <c r="K200" s="723"/>
      <c r="L200" s="723"/>
      <c r="M200" s="723"/>
      <c r="N200" s="723"/>
      <c r="O200" s="723"/>
      <c r="P200" s="723"/>
      <c r="Q200" s="723"/>
      <c r="R200" s="723"/>
      <c r="S200" s="723"/>
      <c r="T200" s="723"/>
      <c r="U200" s="723"/>
    </row>
    <row r="201" spans="1:21">
      <c r="D201" s="723"/>
      <c r="E201" s="723"/>
      <c r="F201" s="723"/>
      <c r="G201" s="723"/>
      <c r="H201" s="723"/>
      <c r="I201" s="723"/>
      <c r="J201" s="723"/>
      <c r="K201" s="723"/>
      <c r="L201" s="723"/>
      <c r="M201" s="723"/>
      <c r="N201" s="723"/>
      <c r="O201" s="723"/>
      <c r="P201" s="723"/>
      <c r="Q201" s="723"/>
      <c r="R201" s="723"/>
      <c r="S201" s="723"/>
      <c r="T201" s="723"/>
      <c r="U201" s="723"/>
    </row>
    <row r="202" spans="1:21">
      <c r="D202" s="723"/>
      <c r="E202" s="723"/>
      <c r="F202" s="723"/>
      <c r="G202" s="723"/>
      <c r="H202" s="723"/>
      <c r="I202" s="723"/>
      <c r="J202" s="723"/>
      <c r="K202" s="723"/>
      <c r="L202" s="723"/>
      <c r="M202" s="723"/>
      <c r="N202" s="723"/>
      <c r="O202" s="723"/>
      <c r="P202" s="723"/>
      <c r="Q202" s="723"/>
      <c r="R202" s="723"/>
      <c r="S202" s="723"/>
      <c r="T202" s="723"/>
      <c r="U202" s="723"/>
    </row>
    <row r="203" spans="1:21">
      <c r="D203" s="723"/>
      <c r="E203" s="723"/>
      <c r="F203" s="723"/>
      <c r="G203" s="723"/>
      <c r="H203" s="723"/>
      <c r="I203" s="723"/>
      <c r="J203" s="723"/>
      <c r="K203" s="723"/>
      <c r="L203" s="723"/>
      <c r="M203" s="723"/>
      <c r="N203" s="723"/>
      <c r="O203" s="723"/>
      <c r="P203" s="723"/>
      <c r="Q203" s="723"/>
      <c r="R203" s="723"/>
      <c r="S203" s="723"/>
      <c r="T203" s="723"/>
      <c r="U203" s="723"/>
    </row>
    <row r="204" spans="1:21">
      <c r="D204" s="723"/>
      <c r="E204" s="723"/>
      <c r="F204" s="723"/>
      <c r="G204" s="723"/>
      <c r="H204" s="723"/>
      <c r="I204" s="723"/>
      <c r="J204" s="723"/>
      <c r="K204" s="723"/>
      <c r="L204" s="723"/>
      <c r="M204" s="723"/>
      <c r="N204" s="723"/>
      <c r="O204" s="723"/>
      <c r="P204" s="723"/>
      <c r="Q204" s="723"/>
      <c r="R204" s="723"/>
      <c r="S204" s="723"/>
      <c r="T204" s="723"/>
      <c r="U204" s="723"/>
    </row>
    <row r="205" spans="1:21">
      <c r="D205" s="723"/>
      <c r="E205" s="723"/>
      <c r="F205" s="723"/>
      <c r="G205" s="723"/>
      <c r="H205" s="723"/>
      <c r="I205" s="723"/>
      <c r="J205" s="723"/>
      <c r="K205" s="723"/>
      <c r="L205" s="723"/>
      <c r="M205" s="723"/>
      <c r="N205" s="723"/>
      <c r="O205" s="723"/>
      <c r="P205" s="723"/>
      <c r="Q205" s="723"/>
      <c r="R205" s="723"/>
      <c r="S205" s="723"/>
      <c r="T205" s="723"/>
      <c r="U205" s="723"/>
    </row>
    <row r="206" spans="1:21">
      <c r="D206" s="723"/>
      <c r="E206" s="723"/>
      <c r="F206" s="723"/>
      <c r="G206" s="723"/>
      <c r="H206" s="723"/>
      <c r="I206" s="723"/>
      <c r="J206" s="723"/>
      <c r="K206" s="723"/>
      <c r="L206" s="723"/>
      <c r="M206" s="723"/>
      <c r="N206" s="723"/>
      <c r="O206" s="723"/>
      <c r="P206" s="723"/>
      <c r="Q206" s="723"/>
      <c r="R206" s="723"/>
      <c r="S206" s="723"/>
      <c r="T206" s="723"/>
      <c r="U206" s="723"/>
    </row>
    <row r="207" spans="1:21">
      <c r="D207" s="723"/>
      <c r="E207" s="723"/>
      <c r="F207" s="723"/>
      <c r="G207" s="723"/>
      <c r="H207" s="723"/>
      <c r="I207" s="723"/>
      <c r="J207" s="723"/>
      <c r="K207" s="723"/>
      <c r="L207" s="723"/>
      <c r="M207" s="723"/>
      <c r="N207" s="723"/>
      <c r="O207" s="723"/>
      <c r="P207" s="723"/>
      <c r="Q207" s="723"/>
      <c r="R207" s="723"/>
      <c r="S207" s="723"/>
      <c r="T207" s="723"/>
      <c r="U207" s="723"/>
    </row>
    <row r="208" spans="1:21">
      <c r="D208" s="723"/>
      <c r="E208" s="723"/>
      <c r="F208" s="723"/>
      <c r="G208" s="723"/>
      <c r="H208" s="723"/>
      <c r="I208" s="723"/>
      <c r="J208" s="723"/>
      <c r="K208" s="723"/>
      <c r="L208" s="723"/>
      <c r="M208" s="723"/>
      <c r="N208" s="723"/>
      <c r="O208" s="723"/>
      <c r="P208" s="723"/>
      <c r="Q208" s="723"/>
      <c r="R208" s="723"/>
      <c r="S208" s="723"/>
      <c r="T208" s="723"/>
      <c r="U208" s="723"/>
    </row>
  </sheetData>
  <sortState xmlns:xlrd2="http://schemas.microsoft.com/office/spreadsheetml/2017/richdata2" ref="A2:U208">
    <sortCondition ref="C2:C208"/>
    <sortCondition ref="B2:B208"/>
  </sortState>
  <customSheetViews>
    <customSheetView guid="{8967CA62-3554-8A40-ACFF-3515F2B518C8}" scale="87">
      <selection activeCell="D148" sqref="D148:T148"/>
      <pageMargins left="0.7" right="0.7" top="0.75" bottom="0.75" header="0.3" footer="0.3"/>
    </customSheetView>
    <customSheetView guid="{EB877D66-0749-4C48-89AA-FFA94A34014C}" scale="87" state="hidden">
      <selection activeCell="N48" sqref="N48"/>
      <pageMargins left="0.7" right="0.7" top="0.75" bottom="0.75" header="0.3" footer="0.3"/>
    </customSheetView>
  </customSheetViews>
  <dataValidations count="2">
    <dataValidation type="list" allowBlank="1" showInputMessage="1" showErrorMessage="1" sqref="D123:S123 D163:S163 D159:S159" xr:uid="{00000000-0002-0000-0D00-000000000000}">
      <formula1>$B$3:$B$107</formula1>
    </dataValidation>
    <dataValidation type="decimal" allowBlank="1" showInputMessage="1" showErrorMessage="1" sqref="D118:T118 D132:T132 D149:T149 D154:T154" xr:uid="{00000000-0002-0000-0D00-000001000000}">
      <formula1>0</formula1>
      <formula2>100</formula2>
    </dataValidation>
  </dataValidation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V211"/>
  <sheetViews>
    <sheetView topLeftCell="A107" zoomScale="88" workbookViewId="0">
      <selection activeCell="N48" sqref="N48"/>
    </sheetView>
  </sheetViews>
  <sheetFormatPr baseColWidth="10" defaultRowHeight="16"/>
  <cols>
    <col min="2" max="3" width="10.83203125" style="528"/>
  </cols>
  <sheetData>
    <row r="1" spans="1:22" s="540" customFormat="1">
      <c r="A1" s="540" t="s">
        <v>875</v>
      </c>
      <c r="B1" s="540" t="s">
        <v>871</v>
      </c>
      <c r="C1" s="540" t="s">
        <v>872</v>
      </c>
      <c r="D1" s="541">
        <v>2003</v>
      </c>
      <c r="E1" s="541">
        <v>2004</v>
      </c>
      <c r="F1" s="541">
        <v>2005</v>
      </c>
      <c r="G1" s="541">
        <v>2006</v>
      </c>
      <c r="H1" s="541">
        <v>2007</v>
      </c>
      <c r="I1" s="541">
        <v>2008</v>
      </c>
      <c r="J1" s="541">
        <v>2009</v>
      </c>
      <c r="K1" s="541">
        <v>2010</v>
      </c>
      <c r="L1" s="541">
        <v>2011</v>
      </c>
      <c r="M1" s="541">
        <v>2012</v>
      </c>
      <c r="N1" s="541">
        <v>2013</v>
      </c>
      <c r="O1" s="541">
        <v>2014</v>
      </c>
      <c r="P1" s="541">
        <v>2015</v>
      </c>
      <c r="Q1" s="541">
        <v>2016</v>
      </c>
      <c r="R1" s="541">
        <v>2017</v>
      </c>
      <c r="S1" s="541">
        <v>2018</v>
      </c>
      <c r="T1" s="541">
        <v>2019</v>
      </c>
      <c r="U1" s="540">
        <v>2020</v>
      </c>
    </row>
    <row r="2" spans="1:22">
      <c r="A2" t="str">
        <f t="shared" ref="A2:A35" si="0">B2&amp;C2</f>
        <v>AfghanistanGAM</v>
      </c>
      <c r="B2" s="528" t="s">
        <v>928</v>
      </c>
      <c r="C2" s="528" t="s">
        <v>873</v>
      </c>
      <c r="D2" s="723"/>
      <c r="E2" s="723"/>
      <c r="F2" s="723"/>
      <c r="G2" s="723"/>
      <c r="H2" s="723"/>
      <c r="I2" s="723"/>
      <c r="J2" s="723"/>
      <c r="K2" s="723"/>
      <c r="L2" s="723"/>
      <c r="M2" s="723"/>
      <c r="N2" s="723"/>
      <c r="O2" s="723"/>
      <c r="P2" s="723"/>
      <c r="Q2" s="723">
        <v>1</v>
      </c>
      <c r="R2" s="723">
        <v>1</v>
      </c>
      <c r="S2" s="723"/>
      <c r="T2" s="723"/>
      <c r="U2" s="723"/>
      <c r="V2" s="723"/>
    </row>
    <row r="3" spans="1:22">
      <c r="A3" t="str">
        <f t="shared" si="0"/>
        <v>AngolaGAM</v>
      </c>
      <c r="B3" s="528" t="s">
        <v>929</v>
      </c>
      <c r="C3" s="528" t="s">
        <v>873</v>
      </c>
      <c r="D3" s="723"/>
      <c r="E3" s="723"/>
      <c r="F3" s="723"/>
      <c r="G3" s="723"/>
      <c r="H3" s="723"/>
      <c r="I3" s="723"/>
      <c r="J3" s="723"/>
      <c r="K3" s="723"/>
      <c r="L3" s="723"/>
      <c r="M3" s="723"/>
      <c r="N3" s="723"/>
      <c r="O3" s="723"/>
      <c r="P3" s="723"/>
      <c r="Q3" s="723"/>
      <c r="R3" s="723"/>
      <c r="S3" s="723">
        <v>0.98399999999999999</v>
      </c>
      <c r="T3" s="723">
        <v>0.88800000000000001</v>
      </c>
      <c r="U3" s="723"/>
      <c r="V3" s="723"/>
    </row>
    <row r="4" spans="1:22">
      <c r="A4" t="str">
        <f t="shared" si="0"/>
        <v>Antigua &amp; BarbudaGAM</v>
      </c>
      <c r="B4" s="528" t="s">
        <v>343</v>
      </c>
      <c r="C4" s="528" t="s">
        <v>873</v>
      </c>
      <c r="D4" s="112"/>
      <c r="E4" s="112"/>
      <c r="F4" s="112"/>
      <c r="G4" s="112"/>
      <c r="H4" s="112"/>
      <c r="I4" s="1"/>
      <c r="J4" s="344"/>
      <c r="K4" s="344"/>
      <c r="L4" s="344"/>
      <c r="M4" s="344"/>
      <c r="N4" s="344"/>
      <c r="O4" s="344"/>
      <c r="P4" s="344"/>
      <c r="Q4" s="344">
        <v>1</v>
      </c>
      <c r="R4" s="344">
        <v>1</v>
      </c>
      <c r="S4" s="344">
        <f>8/8</f>
        <v>1</v>
      </c>
      <c r="T4" s="723">
        <v>1</v>
      </c>
    </row>
    <row r="5" spans="1:22">
      <c r="A5" t="str">
        <f t="shared" si="0"/>
        <v>ArgentinaGAM</v>
      </c>
      <c r="B5" s="528" t="s">
        <v>344</v>
      </c>
      <c r="C5" s="528" t="s">
        <v>873</v>
      </c>
      <c r="T5" s="723"/>
    </row>
    <row r="6" spans="1:22">
      <c r="A6" t="str">
        <f t="shared" si="0"/>
        <v>BahamasGAM</v>
      </c>
      <c r="B6" s="528" t="s">
        <v>345</v>
      </c>
      <c r="C6" s="528" t="s">
        <v>873</v>
      </c>
      <c r="Q6" s="755">
        <v>1</v>
      </c>
      <c r="T6" s="723"/>
    </row>
    <row r="7" spans="1:22">
      <c r="A7" t="str">
        <f t="shared" si="0"/>
        <v>BangladeshGAM</v>
      </c>
      <c r="B7" s="528" t="s">
        <v>865</v>
      </c>
      <c r="C7" s="528" t="s">
        <v>873</v>
      </c>
      <c r="Q7" s="755"/>
      <c r="R7" s="755"/>
      <c r="S7" s="755"/>
      <c r="T7" s="723"/>
    </row>
    <row r="8" spans="1:22">
      <c r="A8" t="str">
        <f t="shared" si="0"/>
        <v>BarbadosGAM</v>
      </c>
      <c r="B8" s="528" t="s">
        <v>346</v>
      </c>
      <c r="C8" s="528" t="s">
        <v>873</v>
      </c>
      <c r="D8" s="112"/>
      <c r="E8" s="112"/>
      <c r="F8" s="112"/>
      <c r="G8" s="112"/>
      <c r="H8" s="112"/>
      <c r="I8" s="1"/>
      <c r="J8" s="344"/>
      <c r="K8" s="344"/>
      <c r="L8" s="344"/>
      <c r="M8" s="344"/>
      <c r="N8" s="344"/>
      <c r="O8" s="344"/>
      <c r="P8" s="344"/>
      <c r="Q8" s="344"/>
      <c r="R8" s="344">
        <v>0.85699999999999998</v>
      </c>
      <c r="T8" s="723"/>
    </row>
    <row r="9" spans="1:22">
      <c r="A9" t="str">
        <f t="shared" si="0"/>
        <v>BelarusGAM</v>
      </c>
      <c r="B9" s="528" t="s">
        <v>166</v>
      </c>
      <c r="C9" s="528" t="s">
        <v>873</v>
      </c>
      <c r="D9" s="112"/>
      <c r="E9" s="112"/>
      <c r="F9" s="112"/>
      <c r="G9" s="112"/>
      <c r="H9" s="112"/>
      <c r="I9" s="1"/>
      <c r="J9" s="344"/>
      <c r="K9" s="344"/>
      <c r="L9" s="344">
        <v>1</v>
      </c>
      <c r="M9" s="344">
        <v>1</v>
      </c>
      <c r="N9" s="344">
        <v>1</v>
      </c>
      <c r="O9" s="344">
        <v>1</v>
      </c>
      <c r="P9" s="344">
        <v>1</v>
      </c>
      <c r="Q9" s="344">
        <v>1</v>
      </c>
      <c r="R9" s="420">
        <v>1</v>
      </c>
      <c r="S9" s="420">
        <f>27/27</f>
        <v>1</v>
      </c>
      <c r="T9" s="723">
        <v>1</v>
      </c>
    </row>
    <row r="10" spans="1:22">
      <c r="A10" t="str">
        <f t="shared" si="0"/>
        <v>BelizeGAM</v>
      </c>
      <c r="B10" s="528" t="s">
        <v>368</v>
      </c>
      <c r="C10" s="528" t="s">
        <v>873</v>
      </c>
      <c r="T10" s="723"/>
    </row>
    <row r="11" spans="1:22">
      <c r="A11" t="str">
        <f t="shared" si="0"/>
        <v>BeninGAM</v>
      </c>
      <c r="B11" s="528" t="s">
        <v>126</v>
      </c>
      <c r="C11" s="528" t="s">
        <v>873</v>
      </c>
      <c r="D11" s="112"/>
      <c r="E11" s="112"/>
      <c r="F11" s="112"/>
      <c r="G11" s="112"/>
      <c r="H11" s="112"/>
      <c r="I11" s="1"/>
      <c r="J11" s="344"/>
      <c r="K11" s="344"/>
      <c r="L11" s="344"/>
      <c r="M11" s="344">
        <v>1</v>
      </c>
      <c r="N11" s="344">
        <v>1</v>
      </c>
      <c r="O11" s="344">
        <v>1</v>
      </c>
      <c r="P11" s="344">
        <v>1</v>
      </c>
      <c r="Q11" s="344">
        <v>1</v>
      </c>
      <c r="R11" s="344">
        <v>1</v>
      </c>
      <c r="T11" s="723"/>
    </row>
    <row r="12" spans="1:22">
      <c r="A12" t="str">
        <f t="shared" si="0"/>
        <v>BhutanGAM</v>
      </c>
      <c r="B12" s="528" t="s">
        <v>951</v>
      </c>
      <c r="C12" s="528" t="s">
        <v>873</v>
      </c>
      <c r="D12" s="112"/>
      <c r="E12" s="112"/>
      <c r="F12" s="112"/>
      <c r="G12" s="112"/>
      <c r="H12" s="112"/>
      <c r="I12" s="1"/>
      <c r="J12" s="344"/>
      <c r="K12" s="344"/>
      <c r="L12" s="344"/>
      <c r="M12" s="344"/>
      <c r="N12" s="344"/>
      <c r="O12" s="344"/>
      <c r="P12" s="344"/>
      <c r="Q12" s="344"/>
      <c r="R12" s="344"/>
      <c r="T12" s="723"/>
    </row>
    <row r="13" spans="1:22">
      <c r="A13" t="str">
        <f t="shared" si="0"/>
        <v>BoliviaGAM</v>
      </c>
      <c r="B13" s="528" t="s">
        <v>798</v>
      </c>
      <c r="C13" s="528" t="s">
        <v>873</v>
      </c>
      <c r="D13" s="112"/>
      <c r="E13" s="112"/>
      <c r="F13" s="112"/>
      <c r="G13" s="112"/>
      <c r="H13" s="112"/>
      <c r="I13" s="1"/>
      <c r="J13" s="344"/>
      <c r="K13" s="344"/>
      <c r="L13" s="344"/>
      <c r="M13" s="344">
        <v>1</v>
      </c>
      <c r="N13" s="344">
        <v>0.78700000000000003</v>
      </c>
      <c r="O13" s="344">
        <v>0.92900000000000005</v>
      </c>
      <c r="P13" s="344">
        <v>0.95499999999999996</v>
      </c>
      <c r="Q13" s="344">
        <v>1</v>
      </c>
      <c r="R13" s="344">
        <v>1</v>
      </c>
      <c r="T13" s="723"/>
    </row>
    <row r="14" spans="1:22">
      <c r="A14" t="str">
        <f t="shared" si="0"/>
        <v>BotswanaGAM</v>
      </c>
      <c r="B14" s="528" t="s">
        <v>834</v>
      </c>
      <c r="C14" s="528" t="s">
        <v>873</v>
      </c>
      <c r="T14" s="723">
        <v>0.42199999999999999</v>
      </c>
    </row>
    <row r="15" spans="1:22">
      <c r="A15" t="str">
        <f t="shared" si="0"/>
        <v>BrazilGAM</v>
      </c>
      <c r="B15" s="528" t="s">
        <v>167</v>
      </c>
      <c r="C15" s="528" t="s">
        <v>873</v>
      </c>
      <c r="D15" s="112"/>
      <c r="E15" s="112"/>
      <c r="F15" s="112"/>
      <c r="G15" s="112"/>
      <c r="H15" s="112"/>
      <c r="I15" s="1"/>
      <c r="J15" s="344"/>
      <c r="K15" s="344">
        <v>0.80600000000000005</v>
      </c>
      <c r="L15" s="391"/>
      <c r="M15" s="344">
        <v>0.83399999999999996</v>
      </c>
      <c r="N15" s="344">
        <v>0.86299999999999999</v>
      </c>
      <c r="O15" s="391"/>
      <c r="P15" s="391"/>
      <c r="Q15" s="391"/>
      <c r="R15" s="344">
        <v>0.88900000000000001</v>
      </c>
      <c r="S15" s="344">
        <f>44141/49013</f>
        <v>0.90059780058351868</v>
      </c>
      <c r="T15" s="723">
        <v>0.89600000000000002</v>
      </c>
    </row>
    <row r="16" spans="1:22">
      <c r="A16" t="str">
        <f t="shared" si="0"/>
        <v>BruneiGAM</v>
      </c>
      <c r="B16" s="528" t="s">
        <v>952</v>
      </c>
      <c r="C16" s="528" t="s">
        <v>873</v>
      </c>
      <c r="D16" s="112"/>
      <c r="E16" s="112"/>
      <c r="F16" s="112"/>
      <c r="G16" s="112"/>
      <c r="H16" s="112"/>
      <c r="I16" s="1"/>
      <c r="J16" s="344"/>
      <c r="K16" s="344"/>
      <c r="L16" s="391"/>
      <c r="M16" s="344"/>
      <c r="N16" s="344"/>
      <c r="O16" s="391"/>
      <c r="P16" s="391"/>
      <c r="Q16" s="391"/>
      <c r="R16" s="344"/>
      <c r="S16" s="344"/>
      <c r="T16" s="723"/>
    </row>
    <row r="17" spans="1:20">
      <c r="A17" t="str">
        <f t="shared" si="0"/>
        <v>Burkina FasoGAM</v>
      </c>
      <c r="B17" s="528" t="s">
        <v>168</v>
      </c>
      <c r="C17" s="528" t="s">
        <v>873</v>
      </c>
      <c r="D17" s="112"/>
      <c r="E17" s="112"/>
      <c r="F17" s="112"/>
      <c r="G17" s="112"/>
      <c r="H17" s="112"/>
      <c r="I17" s="1"/>
      <c r="J17" s="344"/>
      <c r="K17" s="344">
        <v>1</v>
      </c>
      <c r="L17" s="344">
        <v>1</v>
      </c>
      <c r="M17" s="344">
        <v>1</v>
      </c>
      <c r="N17" s="391"/>
      <c r="O17" s="344">
        <v>1</v>
      </c>
      <c r="P17" s="391"/>
      <c r="Q17" s="344">
        <v>1</v>
      </c>
      <c r="R17" s="344">
        <v>1</v>
      </c>
      <c r="S17" s="344">
        <f>52/52</f>
        <v>1</v>
      </c>
      <c r="T17" s="723">
        <v>1</v>
      </c>
    </row>
    <row r="18" spans="1:20">
      <c r="A18" t="str">
        <f t="shared" si="0"/>
        <v>BurundiGAM</v>
      </c>
      <c r="B18" s="528" t="s">
        <v>165</v>
      </c>
      <c r="C18" s="528" t="s">
        <v>873</v>
      </c>
      <c r="T18" s="723"/>
    </row>
    <row r="19" spans="1:20">
      <c r="A19" t="str">
        <f t="shared" si="0"/>
        <v>Cabo VerdeGAM</v>
      </c>
      <c r="B19" s="528" t="s">
        <v>149</v>
      </c>
      <c r="C19" s="528" t="s">
        <v>873</v>
      </c>
      <c r="D19" s="112"/>
      <c r="E19" s="112"/>
      <c r="F19" s="112"/>
      <c r="G19" s="112"/>
      <c r="H19" s="112"/>
      <c r="I19" s="1"/>
      <c r="J19" s="1"/>
      <c r="K19" s="1"/>
      <c r="L19" s="1"/>
      <c r="M19" s="352">
        <v>1</v>
      </c>
      <c r="N19" s="411">
        <v>0.67600000000000005</v>
      </c>
      <c r="O19" s="351">
        <v>1</v>
      </c>
      <c r="P19" s="351">
        <v>1</v>
      </c>
      <c r="T19" s="723"/>
    </row>
    <row r="20" spans="1:20">
      <c r="A20" t="str">
        <f t="shared" si="0"/>
        <v>CambodiaGAM</v>
      </c>
      <c r="B20" s="528" t="s">
        <v>169</v>
      </c>
      <c r="C20" s="528" t="s">
        <v>873</v>
      </c>
      <c r="D20" s="112"/>
      <c r="E20" s="112"/>
      <c r="F20" s="112"/>
      <c r="G20" s="112"/>
      <c r="H20" s="112"/>
      <c r="I20" s="1"/>
      <c r="J20" s="344"/>
      <c r="K20" s="344">
        <v>1</v>
      </c>
      <c r="L20" s="391"/>
      <c r="M20" s="344">
        <v>0.98499999999999999</v>
      </c>
      <c r="N20" s="391"/>
      <c r="O20" s="344">
        <v>0.97299999999999998</v>
      </c>
      <c r="P20" s="344">
        <v>0.91400000000000003</v>
      </c>
      <c r="Q20" s="344">
        <v>0.93300000000000005</v>
      </c>
      <c r="R20" s="344">
        <v>0.83899999999999997</v>
      </c>
      <c r="S20" s="420">
        <f>93/110</f>
        <v>0.84545454545454546</v>
      </c>
      <c r="T20" s="723"/>
    </row>
    <row r="21" spans="1:20">
      <c r="A21" t="str">
        <f t="shared" si="0"/>
        <v>Central African RepublicGAM</v>
      </c>
      <c r="B21" s="528" t="s">
        <v>153</v>
      </c>
      <c r="C21" s="528" t="s">
        <v>873</v>
      </c>
      <c r="D21" s="112"/>
      <c r="E21" s="112"/>
      <c r="F21" s="112"/>
      <c r="G21" s="112"/>
      <c r="H21" s="112"/>
      <c r="I21" s="1"/>
      <c r="J21" s="344"/>
      <c r="K21" s="344">
        <v>0.999</v>
      </c>
      <c r="L21" s="344">
        <v>0.97799999999999998</v>
      </c>
      <c r="M21" s="391"/>
      <c r="N21" s="344">
        <v>1</v>
      </c>
      <c r="O21" s="391"/>
      <c r="P21" s="344">
        <v>0.42699999999999999</v>
      </c>
      <c r="Q21" s="344">
        <v>0.88400000000000001</v>
      </c>
      <c r="R21" s="344">
        <v>0.97399999999999998</v>
      </c>
      <c r="S21" s="344">
        <f>2446/2446</f>
        <v>1</v>
      </c>
      <c r="T21" s="723">
        <v>0.89800000000000002</v>
      </c>
    </row>
    <row r="22" spans="1:20">
      <c r="A22" t="str">
        <f t="shared" si="0"/>
        <v>ChileGAM</v>
      </c>
      <c r="B22" s="528" t="s">
        <v>170</v>
      </c>
      <c r="C22" s="528" t="s">
        <v>873</v>
      </c>
      <c r="D22" s="112"/>
      <c r="E22" s="112"/>
      <c r="F22" s="112"/>
      <c r="G22" s="112"/>
      <c r="H22" s="112"/>
      <c r="I22" s="1"/>
      <c r="J22" s="344"/>
      <c r="K22" s="344">
        <v>1</v>
      </c>
      <c r="L22" s="344">
        <v>1</v>
      </c>
      <c r="M22" s="391"/>
      <c r="N22" s="344">
        <v>0.93600000000000005</v>
      </c>
      <c r="O22" s="344">
        <v>0.93200000000000005</v>
      </c>
      <c r="P22" s="344">
        <v>0.93200000000000005</v>
      </c>
      <c r="Q22" s="391"/>
      <c r="R22" s="344">
        <v>0.94499999999999995</v>
      </c>
      <c r="T22" s="723">
        <v>0.92500000000000004</v>
      </c>
    </row>
    <row r="23" spans="1:20">
      <c r="A23" t="str">
        <f t="shared" si="0"/>
        <v>ChinaGAM</v>
      </c>
      <c r="B23" s="528" t="s">
        <v>349</v>
      </c>
      <c r="C23" s="528" t="s">
        <v>873</v>
      </c>
      <c r="D23" s="112"/>
      <c r="E23" s="112"/>
      <c r="F23" s="112"/>
      <c r="G23" s="344"/>
      <c r="H23" s="1"/>
      <c r="I23" s="344"/>
      <c r="J23" s="344"/>
      <c r="K23" s="344"/>
      <c r="L23" s="344">
        <v>0.89400000000000002</v>
      </c>
      <c r="M23" s="344">
        <v>0.92400000000000004</v>
      </c>
      <c r="N23" s="344">
        <v>0.8</v>
      </c>
      <c r="O23" s="391"/>
      <c r="P23" s="344">
        <v>0.94899999999999995</v>
      </c>
      <c r="Q23" s="345">
        <v>0.81899999999999995</v>
      </c>
      <c r="R23" s="345">
        <v>0.92500000000000004</v>
      </c>
      <c r="S23" s="345">
        <f>1250/3338</f>
        <v>0.37447573397243861</v>
      </c>
      <c r="T23" s="723">
        <v>0.88700000000000001</v>
      </c>
    </row>
    <row r="24" spans="1:20">
      <c r="A24" t="str">
        <f t="shared" si="0"/>
        <v>ColombiaGAM</v>
      </c>
      <c r="B24" s="528" t="s">
        <v>171</v>
      </c>
      <c r="C24" s="528" t="s">
        <v>873</v>
      </c>
      <c r="T24" s="723">
        <v>0.749</v>
      </c>
    </row>
    <row r="25" spans="1:20">
      <c r="A25" t="str">
        <f t="shared" si="0"/>
        <v>Costa RicaGAM</v>
      </c>
      <c r="B25" s="528" t="s">
        <v>350</v>
      </c>
      <c r="C25" s="528" t="s">
        <v>873</v>
      </c>
      <c r="D25" s="112"/>
      <c r="E25" s="112"/>
      <c r="F25" s="112"/>
      <c r="G25" s="112"/>
      <c r="H25" s="112"/>
      <c r="I25" s="1"/>
      <c r="J25" s="344"/>
      <c r="K25" s="344"/>
      <c r="L25" s="344"/>
      <c r="M25" s="344"/>
      <c r="N25" s="344"/>
      <c r="O25" s="344"/>
      <c r="P25" s="344"/>
      <c r="Q25" s="344"/>
      <c r="R25" s="344">
        <v>0.58199999999999996</v>
      </c>
      <c r="S25" s="344">
        <f>302/444</f>
        <v>0.68018018018018023</v>
      </c>
      <c r="T25" s="723">
        <v>0.71499999999999997</v>
      </c>
    </row>
    <row r="26" spans="1:20">
      <c r="A26" t="str">
        <f t="shared" si="0"/>
        <v>CubaGAM</v>
      </c>
      <c r="B26" s="528" t="s">
        <v>164</v>
      </c>
      <c r="C26" s="528" t="s">
        <v>873</v>
      </c>
      <c r="D26" s="112"/>
      <c r="E26" s="112"/>
      <c r="F26" s="112"/>
      <c r="G26" s="112"/>
      <c r="H26" s="112"/>
      <c r="I26" s="112"/>
      <c r="J26" s="1"/>
      <c r="K26" s="351">
        <v>1</v>
      </c>
      <c r="L26" s="351">
        <v>0.97099999999999997</v>
      </c>
      <c r="M26" s="351">
        <v>1</v>
      </c>
      <c r="N26" s="400">
        <v>0.97199999999999998</v>
      </c>
      <c r="O26" s="351">
        <v>0.97599999999999998</v>
      </c>
      <c r="P26" s="351">
        <v>0.99199999999999999</v>
      </c>
      <c r="Q26" s="351">
        <v>0.997</v>
      </c>
      <c r="R26" s="344">
        <v>0.99299999999999999</v>
      </c>
      <c r="S26" s="344">
        <f>423/423</f>
        <v>1</v>
      </c>
      <c r="T26" s="723">
        <v>0.97799999999999998</v>
      </c>
    </row>
    <row r="27" spans="1:20">
      <c r="A27" t="str">
        <f t="shared" si="0"/>
        <v>Democratic Republic of CongoGAM</v>
      </c>
      <c r="B27" s="528" t="s">
        <v>152</v>
      </c>
      <c r="C27" s="528" t="s">
        <v>873</v>
      </c>
      <c r="D27" s="112"/>
      <c r="E27" s="112"/>
      <c r="F27" s="112"/>
      <c r="G27" s="112"/>
      <c r="H27" s="112"/>
      <c r="I27" s="1"/>
      <c r="J27" s="344">
        <v>1</v>
      </c>
      <c r="K27" s="404"/>
      <c r="L27" s="404"/>
      <c r="M27" s="404"/>
      <c r="N27" s="404"/>
      <c r="O27" s="344">
        <v>6.0999999999999999E-2</v>
      </c>
      <c r="P27" s="344">
        <v>0.46100000000000002</v>
      </c>
      <c r="Q27" s="404"/>
      <c r="R27" s="344">
        <v>0.6</v>
      </c>
      <c r="S27" s="344">
        <f>5268/9158</f>
        <v>0.57523476741646651</v>
      </c>
      <c r="T27" s="723">
        <v>0.434</v>
      </c>
    </row>
    <row r="28" spans="1:20">
      <c r="A28" t="str">
        <f t="shared" si="0"/>
        <v>DominicaGAM</v>
      </c>
      <c r="B28" s="528" t="s">
        <v>351</v>
      </c>
      <c r="C28" s="528" t="s">
        <v>873</v>
      </c>
      <c r="D28" s="112"/>
      <c r="E28" s="112"/>
      <c r="F28" s="112"/>
      <c r="G28" s="112"/>
      <c r="H28" s="112"/>
      <c r="I28" s="1"/>
      <c r="J28" s="344"/>
      <c r="K28" s="344"/>
      <c r="L28" s="344"/>
      <c r="M28" s="344"/>
      <c r="N28" s="344"/>
      <c r="O28" s="344"/>
      <c r="P28" s="344"/>
      <c r="Q28" s="344"/>
      <c r="R28" s="344">
        <v>1</v>
      </c>
      <c r="T28" s="723">
        <v>0.6</v>
      </c>
    </row>
    <row r="29" spans="1:20">
      <c r="A29" t="str">
        <f t="shared" si="0"/>
        <v>Dominican RepublicGAM</v>
      </c>
      <c r="B29" s="528" t="s">
        <v>172</v>
      </c>
      <c r="C29" s="528" t="s">
        <v>873</v>
      </c>
      <c r="D29" s="112"/>
      <c r="E29" s="112"/>
      <c r="F29" s="112"/>
      <c r="G29" s="112"/>
      <c r="H29" s="112"/>
      <c r="I29" s="1"/>
      <c r="J29" s="344"/>
      <c r="K29" s="344"/>
      <c r="L29" s="344"/>
      <c r="M29" s="344"/>
      <c r="N29" s="344"/>
      <c r="O29" s="344">
        <v>0.82699999999999996</v>
      </c>
      <c r="P29" s="344">
        <v>0.67900000000000005</v>
      </c>
      <c r="Q29" s="344">
        <v>0.52900000000000003</v>
      </c>
      <c r="R29" s="344">
        <v>0.54100000000000004</v>
      </c>
      <c r="S29" s="344">
        <f>1106/2001</f>
        <v>0.55272363818090953</v>
      </c>
      <c r="T29" s="723"/>
    </row>
    <row r="30" spans="1:20">
      <c r="A30" t="str">
        <f t="shared" si="0"/>
        <v>EcuadorGAM</v>
      </c>
      <c r="B30" s="528" t="s">
        <v>352</v>
      </c>
      <c r="C30" s="528" t="s">
        <v>873</v>
      </c>
      <c r="T30" s="723"/>
    </row>
    <row r="31" spans="1:20">
      <c r="A31" t="str">
        <f t="shared" si="0"/>
        <v>El SalvadorGAM</v>
      </c>
      <c r="B31" s="528" t="s">
        <v>353</v>
      </c>
      <c r="C31" s="528" t="s">
        <v>873</v>
      </c>
      <c r="D31" s="112"/>
      <c r="E31" s="112"/>
      <c r="F31" s="112"/>
      <c r="G31" s="112"/>
      <c r="H31" s="112"/>
      <c r="I31" s="1"/>
      <c r="J31" s="344"/>
      <c r="K31" s="344"/>
      <c r="L31" s="344"/>
      <c r="M31" s="344"/>
      <c r="N31" s="344"/>
      <c r="O31" s="344"/>
      <c r="P31" s="344"/>
      <c r="Q31" s="344"/>
      <c r="R31" s="344">
        <v>0.50600000000000001</v>
      </c>
      <c r="S31" s="344">
        <f>37/106</f>
        <v>0.34905660377358488</v>
      </c>
      <c r="T31" s="723">
        <v>0.4</v>
      </c>
    </row>
    <row r="32" spans="1:20">
      <c r="A32" t="str">
        <f t="shared" si="0"/>
        <v>Equatorial GuineaGAM</v>
      </c>
      <c r="B32" s="528" t="s">
        <v>129</v>
      </c>
      <c r="C32" s="528" t="s">
        <v>873</v>
      </c>
      <c r="T32" s="723"/>
    </row>
    <row r="33" spans="1:22">
      <c r="A33" t="str">
        <f t="shared" si="0"/>
        <v>EritreaGAM</v>
      </c>
      <c r="B33" s="528" t="s">
        <v>128</v>
      </c>
      <c r="C33" s="528" t="s">
        <v>873</v>
      </c>
      <c r="D33" s="112"/>
      <c r="E33" s="112"/>
      <c r="F33" s="112"/>
      <c r="G33" s="112"/>
      <c r="H33" s="112"/>
      <c r="I33" s="1"/>
      <c r="J33" s="344"/>
      <c r="K33" s="344"/>
      <c r="L33" s="344"/>
      <c r="M33" s="344"/>
      <c r="N33" s="344"/>
      <c r="O33" s="344"/>
      <c r="P33" s="344">
        <v>1</v>
      </c>
      <c r="Q33" s="344">
        <v>1</v>
      </c>
      <c r="R33" s="344">
        <v>1</v>
      </c>
      <c r="S33" s="344">
        <f>1112/1112</f>
        <v>1</v>
      </c>
      <c r="T33" s="723">
        <v>1</v>
      </c>
    </row>
    <row r="34" spans="1:22">
      <c r="A34" t="str">
        <f t="shared" si="0"/>
        <v>EswatiniGAM</v>
      </c>
      <c r="B34" s="528" t="s">
        <v>835</v>
      </c>
      <c r="C34" s="528" t="s">
        <v>873</v>
      </c>
      <c r="D34" s="112"/>
      <c r="E34" s="112"/>
      <c r="F34" s="112"/>
      <c r="G34" s="112"/>
      <c r="H34" s="112"/>
      <c r="I34" s="1"/>
      <c r="J34" s="344"/>
      <c r="K34" s="344"/>
      <c r="L34" s="344"/>
      <c r="M34" s="344"/>
      <c r="N34" s="344">
        <v>0.93300000000000005</v>
      </c>
      <c r="O34" s="344">
        <v>0.98</v>
      </c>
      <c r="P34" s="391"/>
      <c r="Q34" s="344">
        <v>0.90200000000000002</v>
      </c>
      <c r="T34" s="723"/>
    </row>
    <row r="35" spans="1:22">
      <c r="A35" t="str">
        <f t="shared" si="0"/>
        <v>EthiopiaGAM</v>
      </c>
      <c r="B35" s="528" t="s">
        <v>127</v>
      </c>
      <c r="C35" s="528" t="s">
        <v>873</v>
      </c>
      <c r="T35" s="723">
        <v>1</v>
      </c>
    </row>
    <row r="36" spans="1:22">
      <c r="A36" t="str">
        <f t="shared" ref="A36:A67" si="1">B36&amp;C36</f>
        <v>Federated States of MicronesiaGAM</v>
      </c>
      <c r="B36" s="528" t="s">
        <v>356</v>
      </c>
      <c r="C36" s="528" t="s">
        <v>873</v>
      </c>
      <c r="D36" s="418"/>
      <c r="E36" s="418"/>
      <c r="F36" s="418"/>
      <c r="G36" s="418"/>
      <c r="H36" s="418"/>
      <c r="I36" s="353"/>
      <c r="J36" s="420"/>
      <c r="K36" s="420"/>
      <c r="L36" s="420"/>
      <c r="M36" s="420">
        <v>1</v>
      </c>
      <c r="N36" s="420">
        <v>0.83599999999999997</v>
      </c>
      <c r="O36" s="420">
        <v>0.63500000000000001</v>
      </c>
      <c r="P36" s="420">
        <v>0.84399999999999997</v>
      </c>
      <c r="Q36" s="344">
        <v>0.82099999999999995</v>
      </c>
      <c r="R36" s="344">
        <v>0.7</v>
      </c>
      <c r="T36" s="723"/>
    </row>
    <row r="37" spans="1:22">
      <c r="A37" t="str">
        <f t="shared" si="1"/>
        <v>FijiGAM</v>
      </c>
      <c r="B37" s="528" t="s">
        <v>338</v>
      </c>
      <c r="C37" s="528" t="s">
        <v>873</v>
      </c>
      <c r="D37" s="112"/>
      <c r="E37" s="112"/>
      <c r="F37" s="112"/>
      <c r="G37" s="112"/>
      <c r="H37" s="112"/>
      <c r="I37" s="406">
        <v>0.98299999999999998</v>
      </c>
      <c r="T37" s="723"/>
    </row>
    <row r="38" spans="1:22">
      <c r="A38" t="str">
        <f t="shared" si="1"/>
        <v>GabonGAM</v>
      </c>
      <c r="B38" s="528" t="s">
        <v>130</v>
      </c>
      <c r="C38" s="528" t="s">
        <v>873</v>
      </c>
      <c r="D38" s="112"/>
      <c r="E38" s="112"/>
      <c r="F38" s="112"/>
      <c r="G38" s="112"/>
      <c r="H38" s="112"/>
      <c r="I38" s="1"/>
      <c r="J38" s="344"/>
      <c r="K38" s="344"/>
      <c r="L38" s="344">
        <v>1</v>
      </c>
      <c r="M38" s="344">
        <v>1</v>
      </c>
      <c r="N38" s="344">
        <v>0.69699999999999995</v>
      </c>
      <c r="O38" s="344">
        <v>0.66900000000000004</v>
      </c>
      <c r="P38" s="344">
        <v>1</v>
      </c>
      <c r="Q38" s="344">
        <v>1</v>
      </c>
      <c r="R38" s="344">
        <v>1</v>
      </c>
      <c r="S38" s="344">
        <f>269/269</f>
        <v>1</v>
      </c>
      <c r="T38" s="723">
        <v>1</v>
      </c>
    </row>
    <row r="39" spans="1:22">
      <c r="A39" t="str">
        <f t="shared" si="1"/>
        <v>GeorgiaGAM</v>
      </c>
      <c r="B39" s="528" t="s">
        <v>173</v>
      </c>
      <c r="C39" s="528" t="s">
        <v>873</v>
      </c>
      <c r="D39" s="112"/>
      <c r="E39" s="112"/>
      <c r="F39" s="112"/>
      <c r="G39" s="112"/>
      <c r="H39" s="112"/>
      <c r="I39" s="1"/>
      <c r="J39" s="344"/>
      <c r="K39" s="344"/>
      <c r="L39" s="344"/>
      <c r="M39" s="344"/>
      <c r="N39" s="344"/>
      <c r="O39" s="344">
        <v>0.91800000000000004</v>
      </c>
      <c r="P39" s="344">
        <v>0.182</v>
      </c>
      <c r="T39" s="723">
        <v>0.97899999999999998</v>
      </c>
    </row>
    <row r="40" spans="1:22">
      <c r="A40" t="str">
        <f t="shared" si="1"/>
        <v>GhanaGAM</v>
      </c>
      <c r="B40" s="528" t="s">
        <v>131</v>
      </c>
      <c r="C40" s="528" t="s">
        <v>873</v>
      </c>
      <c r="D40" s="112"/>
      <c r="E40" s="112"/>
      <c r="F40" s="112"/>
      <c r="G40" s="112"/>
      <c r="H40" s="112"/>
      <c r="I40" s="1"/>
      <c r="J40" s="344"/>
      <c r="K40" s="344">
        <v>0.98199999999999998</v>
      </c>
      <c r="L40" s="404"/>
      <c r="M40" s="344">
        <v>0.91900000000000004</v>
      </c>
      <c r="N40" s="344">
        <v>0.75</v>
      </c>
      <c r="O40" s="344">
        <v>0.90300000000000002</v>
      </c>
      <c r="P40" s="344">
        <v>0.96899999999999997</v>
      </c>
      <c r="Q40" s="352">
        <v>1</v>
      </c>
      <c r="R40" s="344">
        <v>0.91</v>
      </c>
      <c r="T40" s="723">
        <v>0.95199999999999996</v>
      </c>
    </row>
    <row r="41" spans="1:22">
      <c r="A41" t="str">
        <f t="shared" si="1"/>
        <v>GrenadaGAM</v>
      </c>
      <c r="B41" s="528" t="s">
        <v>354</v>
      </c>
      <c r="C41" s="528" t="s">
        <v>873</v>
      </c>
      <c r="D41" s="112"/>
      <c r="E41" s="112"/>
      <c r="F41" s="112"/>
      <c r="G41" s="112"/>
      <c r="H41" s="112"/>
      <c r="I41" s="1"/>
      <c r="J41" s="344"/>
      <c r="K41" s="344"/>
      <c r="L41" s="344"/>
      <c r="M41" s="344"/>
      <c r="N41" s="344"/>
      <c r="O41" s="344"/>
      <c r="P41" s="344"/>
      <c r="Q41" s="344"/>
      <c r="R41" s="344"/>
      <c r="S41" s="344">
        <f>3/9</f>
        <v>0.33333333333333331</v>
      </c>
      <c r="T41" s="723"/>
    </row>
    <row r="42" spans="1:22" s="313" customFormat="1">
      <c r="A42" t="str">
        <f t="shared" si="1"/>
        <v>GuatemalaGAM</v>
      </c>
      <c r="B42" s="528" t="s">
        <v>355</v>
      </c>
      <c r="C42" s="528" t="s">
        <v>873</v>
      </c>
      <c r="D42" s="112"/>
      <c r="E42" s="112"/>
      <c r="F42" s="112"/>
      <c r="G42" s="112"/>
      <c r="H42" s="112"/>
      <c r="I42" s="1"/>
      <c r="J42" s="344"/>
      <c r="K42" s="344"/>
      <c r="L42" s="344"/>
      <c r="M42" s="344"/>
      <c r="N42" s="344"/>
      <c r="O42" s="344"/>
      <c r="P42" s="344"/>
      <c r="Q42" s="344"/>
      <c r="R42" s="391"/>
      <c r="S42" s="344">
        <f>30/63</f>
        <v>0.47619047619047616</v>
      </c>
      <c r="T42" s="723">
        <v>0.54800000000000004</v>
      </c>
      <c r="U42"/>
      <c r="V42"/>
    </row>
    <row r="43" spans="1:22" s="313" customFormat="1">
      <c r="A43" t="str">
        <f t="shared" si="1"/>
        <v>GuineaGAM</v>
      </c>
      <c r="B43" s="528" t="s">
        <v>132</v>
      </c>
      <c r="C43" s="528" t="s">
        <v>873</v>
      </c>
      <c r="D43" s="112"/>
      <c r="E43" s="112"/>
      <c r="F43" s="112"/>
      <c r="G43" s="112"/>
      <c r="H43" s="112"/>
      <c r="I43" s="1"/>
      <c r="J43" s="344"/>
      <c r="K43" s="344"/>
      <c r="L43" s="344"/>
      <c r="M43" s="344"/>
      <c r="N43" s="344"/>
      <c r="O43" s="344"/>
      <c r="P43" s="344"/>
      <c r="Q43" s="344">
        <v>1</v>
      </c>
      <c r="R43" s="344">
        <v>1</v>
      </c>
      <c r="S43"/>
      <c r="T43" s="723"/>
      <c r="U43"/>
      <c r="V43"/>
    </row>
    <row r="44" spans="1:22" s="313" customFormat="1">
      <c r="A44" t="str">
        <f t="shared" si="1"/>
        <v>GuyanaGAM</v>
      </c>
      <c r="B44" s="544" t="s">
        <v>357</v>
      </c>
      <c r="C44" s="544" t="s">
        <v>873</v>
      </c>
      <c r="T44" s="723"/>
    </row>
    <row r="45" spans="1:22" s="313" customFormat="1">
      <c r="A45" t="str">
        <f t="shared" si="1"/>
        <v>HaitiGAM</v>
      </c>
      <c r="B45" s="544" t="s">
        <v>174</v>
      </c>
      <c r="C45" s="544" t="s">
        <v>873</v>
      </c>
      <c r="D45" s="542"/>
      <c r="E45" s="542"/>
      <c r="F45" s="542"/>
      <c r="G45" s="542"/>
      <c r="H45" s="542"/>
      <c r="I45" s="433"/>
      <c r="J45" s="68"/>
      <c r="K45" s="68"/>
      <c r="L45" s="68">
        <v>0.80500000000000005</v>
      </c>
      <c r="M45" s="403"/>
      <c r="N45" s="68">
        <v>0.84399999999999997</v>
      </c>
      <c r="O45" s="68">
        <v>0.86499999999999999</v>
      </c>
      <c r="P45" s="68">
        <v>0.88100000000000001</v>
      </c>
      <c r="Q45" s="68">
        <v>0.90200000000000002</v>
      </c>
      <c r="R45" s="68">
        <v>0.89800000000000002</v>
      </c>
      <c r="S45" s="68">
        <f>6267/6937</f>
        <v>0.90341646244774398</v>
      </c>
      <c r="T45" s="723">
        <v>0.94099999999999995</v>
      </c>
    </row>
    <row r="46" spans="1:22" s="313" customFormat="1">
      <c r="A46" t="str">
        <f t="shared" si="1"/>
        <v>HondurasGAM</v>
      </c>
      <c r="B46" s="544" t="s">
        <v>358</v>
      </c>
      <c r="C46" s="544" t="s">
        <v>873</v>
      </c>
      <c r="D46" s="736"/>
      <c r="E46" s="736"/>
      <c r="F46" s="736"/>
      <c r="G46" s="736"/>
      <c r="H46" s="736"/>
      <c r="I46" s="433"/>
      <c r="J46" s="68"/>
      <c r="K46" s="68"/>
      <c r="L46" s="68"/>
      <c r="M46" s="68">
        <v>1</v>
      </c>
      <c r="N46" s="68"/>
      <c r="O46" s="68">
        <v>1</v>
      </c>
      <c r="P46" s="68"/>
      <c r="Q46" s="68"/>
      <c r="R46" s="68"/>
      <c r="S46" s="68">
        <f>348/348</f>
        <v>1</v>
      </c>
      <c r="T46" s="723">
        <v>1</v>
      </c>
    </row>
    <row r="47" spans="1:22" s="313" customFormat="1">
      <c r="A47" t="str">
        <f t="shared" si="1"/>
        <v>IndiaGAM</v>
      </c>
      <c r="B47" s="544" t="s">
        <v>175</v>
      </c>
      <c r="C47" s="544" t="s">
        <v>873</v>
      </c>
      <c r="D47" s="542"/>
      <c r="E47" s="542"/>
      <c r="F47" s="542"/>
      <c r="G47" s="542"/>
      <c r="H47" s="542"/>
      <c r="I47" s="433"/>
      <c r="J47" s="68"/>
      <c r="K47" s="68">
        <v>0.86199999999999999</v>
      </c>
      <c r="L47" s="68">
        <v>0.89</v>
      </c>
      <c r="M47" s="68">
        <v>0.92600000000000005</v>
      </c>
      <c r="N47" s="68">
        <v>0.92600000000000005</v>
      </c>
      <c r="O47" s="68">
        <v>0.20899999999999999</v>
      </c>
      <c r="P47" s="68">
        <v>0.23699999999999999</v>
      </c>
      <c r="Q47" s="68">
        <v>0.747</v>
      </c>
      <c r="R47" s="68">
        <v>0.47599999999999998</v>
      </c>
      <c r="T47" s="723">
        <f>2805/4011</f>
        <v>0.69932685115931192</v>
      </c>
    </row>
    <row r="48" spans="1:22" s="313" customFormat="1">
      <c r="A48" t="str">
        <f t="shared" si="1"/>
        <v>IndonesiaGAM</v>
      </c>
      <c r="B48" s="544" t="s">
        <v>866</v>
      </c>
      <c r="C48" s="544" t="s">
        <v>873</v>
      </c>
      <c r="T48" s="723">
        <v>0.58899999999999997</v>
      </c>
    </row>
    <row r="49" spans="1:22">
      <c r="A49" t="str">
        <f t="shared" si="1"/>
        <v>JamaicaGAM</v>
      </c>
      <c r="B49" s="544" t="s">
        <v>176</v>
      </c>
      <c r="C49" s="544" t="s">
        <v>873</v>
      </c>
      <c r="D49" s="736"/>
      <c r="E49" s="736"/>
      <c r="F49" s="736"/>
      <c r="G49" s="736"/>
      <c r="H49" s="736"/>
      <c r="I49" s="433"/>
      <c r="J49" s="68"/>
      <c r="K49" s="68"/>
      <c r="L49" s="68"/>
      <c r="M49" s="68"/>
      <c r="N49" s="68"/>
      <c r="O49" s="68">
        <v>0.64600000000000002</v>
      </c>
      <c r="P49" s="68">
        <v>0.23300000000000001</v>
      </c>
      <c r="Q49" s="68">
        <v>0.70899999999999996</v>
      </c>
      <c r="R49" s="313"/>
      <c r="S49" s="313"/>
      <c r="T49" s="723"/>
      <c r="U49" s="313"/>
      <c r="V49" s="313"/>
    </row>
    <row r="50" spans="1:22">
      <c r="A50" t="str">
        <f t="shared" si="1"/>
        <v>KenyaGAM</v>
      </c>
      <c r="B50" s="544" t="s">
        <v>133</v>
      </c>
      <c r="C50" s="544" t="s">
        <v>873</v>
      </c>
      <c r="D50" s="736"/>
      <c r="E50" s="736"/>
      <c r="F50" s="736"/>
      <c r="G50" s="736"/>
      <c r="H50" s="736"/>
      <c r="I50" s="433"/>
      <c r="J50" s="68"/>
      <c r="K50" s="68"/>
      <c r="L50" s="68"/>
      <c r="M50" s="68"/>
      <c r="N50" s="68"/>
      <c r="O50" s="68"/>
      <c r="P50" s="68"/>
      <c r="Q50" s="68">
        <v>0.5</v>
      </c>
      <c r="R50" s="313"/>
      <c r="S50" s="313"/>
      <c r="T50" s="723">
        <v>1</v>
      </c>
      <c r="U50" s="313"/>
      <c r="V50" s="313"/>
    </row>
    <row r="51" spans="1:22">
      <c r="A51" t="str">
        <f t="shared" si="1"/>
        <v>LesothoGAM</v>
      </c>
      <c r="B51" s="528" t="s">
        <v>930</v>
      </c>
      <c r="C51" s="528" t="s">
        <v>873</v>
      </c>
      <c r="D51" s="723"/>
      <c r="E51" s="723"/>
      <c r="F51" s="723"/>
      <c r="G51" s="723"/>
      <c r="H51" s="723"/>
      <c r="I51" s="723"/>
      <c r="J51" s="723"/>
      <c r="K51" s="723"/>
      <c r="L51" s="723"/>
      <c r="M51" s="723"/>
      <c r="N51" s="723"/>
      <c r="O51" s="723"/>
      <c r="P51" s="723"/>
      <c r="Q51" s="723"/>
      <c r="R51" s="723"/>
      <c r="S51" s="723"/>
      <c r="T51" s="723"/>
      <c r="U51" s="723"/>
      <c r="V51" s="723"/>
    </row>
    <row r="52" spans="1:22">
      <c r="A52" t="str">
        <f t="shared" si="1"/>
        <v>LiberiaGAM</v>
      </c>
      <c r="B52" s="528" t="s">
        <v>134</v>
      </c>
      <c r="C52" s="528" t="s">
        <v>873</v>
      </c>
      <c r="D52" s="112"/>
      <c r="E52" s="112"/>
      <c r="F52" s="112"/>
      <c r="G52" s="112"/>
      <c r="H52" s="112"/>
      <c r="I52" s="1"/>
      <c r="J52" s="344"/>
      <c r="K52" s="344">
        <v>1</v>
      </c>
      <c r="L52" s="391"/>
      <c r="M52" s="391"/>
      <c r="N52" s="344">
        <v>1</v>
      </c>
      <c r="O52" s="391"/>
      <c r="P52" s="344">
        <v>1</v>
      </c>
      <c r="T52" s="723"/>
    </row>
    <row r="53" spans="1:22">
      <c r="A53" t="str">
        <f t="shared" si="1"/>
        <v>MadagascarGAM</v>
      </c>
      <c r="B53" s="528" t="s">
        <v>135</v>
      </c>
      <c r="C53" s="528" t="s">
        <v>873</v>
      </c>
      <c r="D53" s="112"/>
      <c r="E53" s="112"/>
      <c r="F53" s="112"/>
      <c r="G53" s="112"/>
      <c r="H53" s="112"/>
      <c r="I53" s="1"/>
      <c r="J53" s="344"/>
      <c r="K53" s="344">
        <v>0.16600000000000001</v>
      </c>
      <c r="L53" s="344">
        <v>0.55800000000000005</v>
      </c>
      <c r="M53" s="344">
        <v>0.64600000000000002</v>
      </c>
      <c r="N53" s="344">
        <v>0.624</v>
      </c>
      <c r="O53" s="344">
        <v>0.65100000000000002</v>
      </c>
      <c r="P53" s="344">
        <v>0.52900000000000003</v>
      </c>
      <c r="Q53" s="344">
        <v>0.59399999999999997</v>
      </c>
      <c r="R53" s="344">
        <v>0.61</v>
      </c>
      <c r="S53" s="344">
        <f>2050/2659</f>
        <v>0.77096652877021432</v>
      </c>
      <c r="T53" s="723">
        <v>0.47799999999999998</v>
      </c>
    </row>
    <row r="54" spans="1:22">
      <c r="A54" t="str">
        <f t="shared" si="1"/>
        <v>MalawiGAM</v>
      </c>
      <c r="B54" s="528" t="s">
        <v>136</v>
      </c>
      <c r="C54" s="528" t="s">
        <v>873</v>
      </c>
      <c r="D54" s="112"/>
      <c r="E54" s="112"/>
      <c r="F54" s="112"/>
      <c r="G54" s="112"/>
      <c r="H54" s="112"/>
      <c r="I54" s="1"/>
      <c r="J54" s="344"/>
      <c r="K54" s="344"/>
      <c r="L54" s="344"/>
      <c r="M54" s="344">
        <v>1</v>
      </c>
      <c r="N54" s="391"/>
      <c r="O54" s="344">
        <v>1</v>
      </c>
      <c r="P54" s="344">
        <v>1</v>
      </c>
      <c r="Q54" s="344">
        <v>1</v>
      </c>
      <c r="T54" s="723">
        <v>1</v>
      </c>
    </row>
    <row r="55" spans="1:22">
      <c r="A55" t="str">
        <f t="shared" si="1"/>
        <v>MalaysiaGAM</v>
      </c>
      <c r="B55" s="528" t="s">
        <v>177</v>
      </c>
      <c r="C55" s="528" t="s">
        <v>873</v>
      </c>
      <c r="D55" s="112"/>
      <c r="E55" s="112"/>
      <c r="F55" s="112"/>
      <c r="G55" s="112"/>
      <c r="H55" s="112"/>
      <c r="I55" s="1"/>
      <c r="J55" s="1"/>
      <c r="K55" s="351">
        <v>1</v>
      </c>
      <c r="L55" s="351">
        <v>1</v>
      </c>
      <c r="M55" s="351">
        <v>1</v>
      </c>
      <c r="N55" s="351">
        <v>1</v>
      </c>
      <c r="O55" s="351">
        <v>1</v>
      </c>
      <c r="P55" s="351">
        <v>1</v>
      </c>
      <c r="Q55" s="351">
        <v>1</v>
      </c>
      <c r="R55" s="344">
        <v>1</v>
      </c>
      <c r="S55" s="344">
        <f>264/275</f>
        <v>0.96</v>
      </c>
      <c r="T55" s="723">
        <v>0.95899999999999996</v>
      </c>
    </row>
    <row r="56" spans="1:22">
      <c r="A56" t="str">
        <f t="shared" si="1"/>
        <v>MaldivesGAM</v>
      </c>
      <c r="B56" s="528" t="s">
        <v>375</v>
      </c>
      <c r="C56" s="528" t="s">
        <v>873</v>
      </c>
      <c r="D56" s="112"/>
      <c r="E56" s="112"/>
      <c r="F56" s="112"/>
      <c r="G56" s="112"/>
      <c r="H56" s="112"/>
      <c r="I56" s="1"/>
      <c r="J56" s="344"/>
      <c r="K56" s="344"/>
      <c r="L56" s="344"/>
      <c r="M56" s="344"/>
      <c r="N56" s="391"/>
      <c r="O56" s="344">
        <v>1</v>
      </c>
      <c r="P56" s="344">
        <v>1</v>
      </c>
      <c r="Q56" s="344">
        <v>1</v>
      </c>
      <c r="R56" s="344">
        <v>1</v>
      </c>
      <c r="T56" s="723"/>
    </row>
    <row r="57" spans="1:22">
      <c r="A57" t="str">
        <f t="shared" si="1"/>
        <v>MaliGAM</v>
      </c>
      <c r="B57" s="528" t="s">
        <v>137</v>
      </c>
      <c r="C57" s="528" t="s">
        <v>873</v>
      </c>
      <c r="D57" s="112"/>
      <c r="E57" s="112"/>
      <c r="F57" s="112"/>
      <c r="G57" s="112"/>
      <c r="H57" s="112"/>
      <c r="I57" s="1"/>
      <c r="J57" s="344"/>
      <c r="K57" s="344"/>
      <c r="L57" s="344"/>
      <c r="M57" s="344"/>
      <c r="N57" s="344"/>
      <c r="O57" s="344"/>
      <c r="P57" s="344"/>
      <c r="Q57" s="344">
        <v>1</v>
      </c>
      <c r="R57" s="344">
        <v>1</v>
      </c>
      <c r="T57" s="723">
        <v>1</v>
      </c>
    </row>
    <row r="58" spans="1:22">
      <c r="A58" t="str">
        <f t="shared" si="1"/>
        <v>MauritiusGAM</v>
      </c>
      <c r="B58" s="528" t="s">
        <v>150</v>
      </c>
      <c r="C58" s="528" t="s">
        <v>873</v>
      </c>
      <c r="D58" s="112"/>
      <c r="E58" s="112"/>
      <c r="F58" s="112"/>
      <c r="G58" s="112"/>
      <c r="H58" s="112"/>
      <c r="I58" s="1"/>
      <c r="J58" s="344"/>
      <c r="K58" s="344">
        <v>1</v>
      </c>
      <c r="L58" s="344">
        <v>1</v>
      </c>
      <c r="M58" s="344">
        <v>1</v>
      </c>
      <c r="N58" s="344">
        <v>1</v>
      </c>
      <c r="O58" s="344">
        <v>1</v>
      </c>
      <c r="P58" s="344">
        <v>1</v>
      </c>
      <c r="Q58" s="344">
        <v>1</v>
      </c>
      <c r="R58" s="344">
        <v>1</v>
      </c>
      <c r="T58" s="723">
        <v>1</v>
      </c>
    </row>
    <row r="59" spans="1:22">
      <c r="A59" t="str">
        <f t="shared" si="1"/>
        <v>MexicoGAM</v>
      </c>
      <c r="B59" s="528" t="s">
        <v>761</v>
      </c>
      <c r="C59" s="528" t="s">
        <v>873</v>
      </c>
      <c r="T59" s="723"/>
    </row>
    <row r="60" spans="1:22">
      <c r="A60" t="str">
        <f t="shared" si="1"/>
        <v>MoldovaGAM</v>
      </c>
      <c r="B60" s="528" t="s">
        <v>230</v>
      </c>
      <c r="C60" s="528" t="s">
        <v>873</v>
      </c>
      <c r="D60" s="112"/>
      <c r="E60" s="112"/>
      <c r="F60" s="112"/>
      <c r="G60" s="112"/>
      <c r="H60" s="112"/>
      <c r="I60" s="1"/>
      <c r="J60" s="344"/>
      <c r="K60" s="344">
        <v>1</v>
      </c>
      <c r="L60" s="344">
        <v>1</v>
      </c>
      <c r="M60" s="344">
        <v>0.98699999999999999</v>
      </c>
      <c r="N60" s="344">
        <v>1</v>
      </c>
      <c r="O60" s="344">
        <v>1</v>
      </c>
      <c r="P60" s="344">
        <v>0.96599999999999997</v>
      </c>
      <c r="Q60" s="344">
        <v>1</v>
      </c>
      <c r="R60" s="344">
        <v>0.86599999999999999</v>
      </c>
      <c r="S60" s="344">
        <f>150/153</f>
        <v>0.98039215686274506</v>
      </c>
      <c r="T60" s="723">
        <v>0.98499999999999999</v>
      </c>
    </row>
    <row r="61" spans="1:22">
      <c r="A61" t="str">
        <f t="shared" si="1"/>
        <v>MongoliaGAM</v>
      </c>
      <c r="B61" s="528" t="s">
        <v>178</v>
      </c>
      <c r="C61" s="528" t="s">
        <v>873</v>
      </c>
      <c r="D61" s="351"/>
      <c r="E61" s="344"/>
      <c r="F61" s="344"/>
      <c r="G61" s="344"/>
      <c r="H61" s="344"/>
      <c r="I61" s="344"/>
      <c r="J61" s="344"/>
      <c r="K61" s="344">
        <v>0.94699999999999995</v>
      </c>
      <c r="L61" s="344">
        <v>0.99399999999999999</v>
      </c>
      <c r="M61" s="344">
        <v>0.89300000000000002</v>
      </c>
      <c r="T61" s="723">
        <v>1</v>
      </c>
    </row>
    <row r="62" spans="1:22">
      <c r="A62" t="str">
        <f t="shared" si="1"/>
        <v>MoroccoGAM</v>
      </c>
      <c r="B62" s="528" t="s">
        <v>931</v>
      </c>
      <c r="C62" s="528" t="s">
        <v>873</v>
      </c>
      <c r="D62" s="723"/>
      <c r="E62" s="723"/>
      <c r="F62" s="723"/>
      <c r="G62" s="723"/>
      <c r="H62" s="723"/>
      <c r="I62" s="723"/>
      <c r="J62" s="723"/>
      <c r="K62" s="723"/>
      <c r="L62" s="723"/>
      <c r="M62" s="723"/>
      <c r="N62" s="723"/>
      <c r="O62" s="723"/>
      <c r="P62" s="723"/>
      <c r="Q62" s="723"/>
      <c r="R62" s="723">
        <v>0.52600000000000002</v>
      </c>
      <c r="S62" s="723">
        <v>0.41699999999999998</v>
      </c>
      <c r="T62" s="723">
        <v>0.86699999999999999</v>
      </c>
      <c r="U62" s="723"/>
      <c r="V62" s="723"/>
    </row>
    <row r="63" spans="1:22">
      <c r="A63" t="str">
        <f t="shared" si="1"/>
        <v>MozambiqueGAM</v>
      </c>
      <c r="B63" s="528" t="s">
        <v>138</v>
      </c>
      <c r="C63" s="528" t="s">
        <v>873</v>
      </c>
      <c r="D63" s="112"/>
      <c r="E63" s="112"/>
      <c r="F63" s="112"/>
      <c r="G63" s="112"/>
      <c r="H63" s="112"/>
      <c r="I63" s="1"/>
      <c r="J63" s="344"/>
      <c r="K63" s="344"/>
      <c r="L63" s="344"/>
      <c r="M63" s="344">
        <v>0.872</v>
      </c>
      <c r="N63" s="391"/>
      <c r="O63" s="344">
        <v>0.72399999999999998</v>
      </c>
      <c r="P63" s="344">
        <v>0.96899999999999997</v>
      </c>
      <c r="Q63" s="391"/>
      <c r="R63" s="391"/>
      <c r="S63" s="344">
        <f>32887/43828</f>
        <v>0.75036506342977094</v>
      </c>
      <c r="T63" s="723"/>
    </row>
    <row r="64" spans="1:22">
      <c r="A64" t="str">
        <f t="shared" si="1"/>
        <v>MyanmarGAM</v>
      </c>
      <c r="B64" s="528" t="s">
        <v>932</v>
      </c>
      <c r="C64" s="528" t="s">
        <v>873</v>
      </c>
      <c r="D64" s="723"/>
      <c r="E64" s="723"/>
      <c r="F64" s="723"/>
      <c r="G64" s="723"/>
      <c r="H64" s="723"/>
      <c r="I64" s="723"/>
      <c r="J64" s="723"/>
      <c r="K64" s="723"/>
      <c r="L64" s="723"/>
      <c r="M64" s="723"/>
      <c r="N64" s="723"/>
      <c r="O64" s="723"/>
      <c r="P64" s="723"/>
      <c r="Q64" s="723"/>
      <c r="R64" s="723">
        <v>0.71399999999999997</v>
      </c>
      <c r="S64" s="723">
        <v>0.68200000000000005</v>
      </c>
      <c r="T64" s="723">
        <v>0.84299999999999997</v>
      </c>
      <c r="U64" s="723"/>
      <c r="V64" s="723"/>
    </row>
    <row r="65" spans="1:22">
      <c r="A65" t="str">
        <f t="shared" si="1"/>
        <v>NepalGAM</v>
      </c>
      <c r="B65" s="528" t="s">
        <v>179</v>
      </c>
      <c r="C65" s="528" t="s">
        <v>873</v>
      </c>
      <c r="D65" s="112"/>
      <c r="E65" s="112"/>
      <c r="F65" s="112"/>
      <c r="G65" s="112"/>
      <c r="H65" s="112"/>
      <c r="I65" s="1"/>
      <c r="J65" s="344"/>
      <c r="K65" s="344"/>
      <c r="L65" s="344"/>
      <c r="M65" s="344"/>
      <c r="N65" s="344"/>
      <c r="O65" s="344"/>
      <c r="P65" s="344"/>
      <c r="Q65" s="344">
        <v>0.66700000000000004</v>
      </c>
      <c r="R65" s="344">
        <v>0.16700000000000001</v>
      </c>
      <c r="S65" s="344">
        <f>2/2</f>
        <v>1</v>
      </c>
      <c r="T65" s="723"/>
    </row>
    <row r="66" spans="1:22">
      <c r="A66" t="str">
        <f t="shared" si="1"/>
        <v>NicaraguaGAM</v>
      </c>
      <c r="B66" s="528" t="s">
        <v>359</v>
      </c>
      <c r="C66" s="528" t="s">
        <v>873</v>
      </c>
      <c r="D66" s="112"/>
      <c r="E66" s="112"/>
      <c r="F66" s="112"/>
      <c r="G66" s="112"/>
      <c r="H66" s="112"/>
      <c r="I66" s="1"/>
      <c r="J66" s="344"/>
      <c r="K66" s="344"/>
      <c r="L66" s="344"/>
      <c r="M66" s="344"/>
      <c r="N66" s="344"/>
      <c r="O66" s="344"/>
      <c r="P66" s="344"/>
      <c r="Q66" s="344"/>
      <c r="R66" s="432">
        <v>0.98299999999999998</v>
      </c>
      <c r="S66" s="432">
        <f>116/116</f>
        <v>1</v>
      </c>
      <c r="T66" s="723">
        <v>0.93200000000000005</v>
      </c>
    </row>
    <row r="67" spans="1:22">
      <c r="A67" t="str">
        <f t="shared" si="1"/>
        <v>NigerGAM</v>
      </c>
      <c r="B67" s="528" t="s">
        <v>139</v>
      </c>
      <c r="C67" s="528" t="s">
        <v>873</v>
      </c>
      <c r="D67" s="112"/>
      <c r="E67" s="112"/>
      <c r="F67" s="112"/>
      <c r="G67" s="112"/>
      <c r="H67" s="112"/>
      <c r="I67" s="1"/>
      <c r="J67" s="344"/>
      <c r="K67" s="344"/>
      <c r="L67" s="344"/>
      <c r="M67" s="344"/>
      <c r="N67" s="344"/>
      <c r="O67" s="344">
        <v>9.1999999999999998E-2</v>
      </c>
      <c r="P67" s="344">
        <v>0.51900000000000002</v>
      </c>
      <c r="Q67" s="344">
        <v>1</v>
      </c>
      <c r="T67" s="723">
        <v>1</v>
      </c>
    </row>
    <row r="68" spans="1:22">
      <c r="A68" t="str">
        <f t="shared" ref="A68:A101" si="2">B68&amp;C68</f>
        <v>NigeriaGAM</v>
      </c>
      <c r="B68" s="528" t="s">
        <v>140</v>
      </c>
      <c r="C68" s="528" t="s">
        <v>873</v>
      </c>
      <c r="D68" s="112"/>
      <c r="E68" s="112"/>
      <c r="F68" s="112"/>
      <c r="G68" s="112"/>
      <c r="H68" s="112"/>
      <c r="I68" s="1"/>
      <c r="J68" s="344"/>
      <c r="K68" s="344"/>
      <c r="L68" s="344"/>
      <c r="M68" s="344"/>
      <c r="N68" s="344"/>
      <c r="O68" s="344">
        <v>0.72299999999999998</v>
      </c>
      <c r="P68" s="344">
        <v>0.61199999999999999</v>
      </c>
      <c r="Q68" s="344">
        <v>0.99399999999999999</v>
      </c>
      <c r="R68" s="344">
        <v>0.748</v>
      </c>
      <c r="S68" s="344">
        <f>1767/2359</f>
        <v>0.74904620601949978</v>
      </c>
      <c r="T68" s="723">
        <v>0.81299999999999994</v>
      </c>
    </row>
    <row r="69" spans="1:22">
      <c r="A69" t="str">
        <f t="shared" si="2"/>
        <v>OmanGAM</v>
      </c>
      <c r="B69" s="528" t="s">
        <v>933</v>
      </c>
      <c r="C69" s="528" t="s">
        <v>873</v>
      </c>
      <c r="D69" s="723"/>
      <c r="E69" s="723"/>
      <c r="F69" s="723"/>
      <c r="G69" s="723"/>
      <c r="H69" s="723"/>
      <c r="I69" s="723"/>
      <c r="J69" s="723"/>
      <c r="K69" s="723"/>
      <c r="L69" s="723"/>
      <c r="M69" s="723"/>
      <c r="N69" s="723"/>
      <c r="O69" s="723"/>
      <c r="P69" s="723"/>
      <c r="Q69" s="723">
        <v>1</v>
      </c>
      <c r="R69" s="723">
        <v>1</v>
      </c>
      <c r="S69" s="723">
        <v>1</v>
      </c>
      <c r="T69" s="723"/>
      <c r="U69" s="723"/>
      <c r="V69" s="723"/>
    </row>
    <row r="70" spans="1:22">
      <c r="A70" t="str">
        <f t="shared" si="2"/>
        <v>PanamaGAM</v>
      </c>
      <c r="B70" s="528" t="s">
        <v>180</v>
      </c>
      <c r="C70" s="528" t="s">
        <v>873</v>
      </c>
      <c r="D70" s="112"/>
      <c r="E70" s="112"/>
      <c r="F70" s="112"/>
      <c r="G70" s="112"/>
      <c r="H70" s="112"/>
      <c r="I70" s="1"/>
      <c r="J70" s="344"/>
      <c r="K70" s="344"/>
      <c r="L70" s="344"/>
      <c r="M70" s="344"/>
      <c r="N70" s="344">
        <v>9.1999999999999998E-2</v>
      </c>
      <c r="O70" s="391"/>
      <c r="P70" s="344">
        <v>0.78300000000000003</v>
      </c>
      <c r="Q70" s="391"/>
      <c r="R70" s="344">
        <f>701/836</f>
        <v>0.83851674641148322</v>
      </c>
      <c r="T70" s="723">
        <v>0.89800000000000002</v>
      </c>
    </row>
    <row r="71" spans="1:22">
      <c r="A71" t="str">
        <f t="shared" si="2"/>
        <v>Papua New GuineaGAM</v>
      </c>
      <c r="B71" s="528" t="s">
        <v>181</v>
      </c>
      <c r="C71" s="528" t="s">
        <v>873</v>
      </c>
      <c r="D71" s="112"/>
      <c r="E71" s="112"/>
      <c r="F71" s="112"/>
      <c r="G71" s="112"/>
      <c r="H71" s="112"/>
      <c r="I71" s="1"/>
      <c r="J71" s="344"/>
      <c r="K71" s="344"/>
      <c r="L71" s="344"/>
      <c r="M71" s="344"/>
      <c r="N71" s="344"/>
      <c r="O71" s="344"/>
      <c r="P71" s="344"/>
      <c r="Q71" s="344">
        <v>0.81299999999999994</v>
      </c>
      <c r="R71" s="344">
        <f>1184/1540</f>
        <v>0.76883116883116887</v>
      </c>
      <c r="S71" s="344">
        <f>641/832</f>
        <v>0.77043269230769229</v>
      </c>
      <c r="T71" s="723">
        <v>0.79600000000000004</v>
      </c>
    </row>
    <row r="72" spans="1:22">
      <c r="A72" t="str">
        <f t="shared" si="2"/>
        <v>ParaguayGAM</v>
      </c>
      <c r="B72" s="528" t="s">
        <v>182</v>
      </c>
      <c r="C72" s="528" t="s">
        <v>873</v>
      </c>
      <c r="D72" s="112"/>
      <c r="E72" s="112"/>
      <c r="F72" s="112"/>
      <c r="G72" s="112"/>
      <c r="H72" s="112"/>
      <c r="I72" s="1"/>
      <c r="J72" s="344"/>
      <c r="K72" s="344"/>
      <c r="L72" s="344"/>
      <c r="M72" s="344">
        <v>0.64</v>
      </c>
      <c r="N72" s="344">
        <v>0.60899999999999999</v>
      </c>
      <c r="O72" s="344">
        <v>0.82499999999999996</v>
      </c>
      <c r="P72" s="344">
        <v>0.56999999999999995</v>
      </c>
      <c r="Q72" s="344">
        <v>0.62</v>
      </c>
      <c r="R72" s="344">
        <f>1309/1959</f>
        <v>0.66819806023481365</v>
      </c>
      <c r="S72" s="344">
        <f>1299/2312</f>
        <v>0.56185121107266434</v>
      </c>
      <c r="T72" s="723">
        <v>0.57999999999999996</v>
      </c>
    </row>
    <row r="73" spans="1:22">
      <c r="A73" t="str">
        <f t="shared" si="2"/>
        <v>PeruGAM</v>
      </c>
      <c r="B73" s="528" t="s">
        <v>360</v>
      </c>
      <c r="C73" s="528" t="s">
        <v>873</v>
      </c>
      <c r="D73" s="112"/>
      <c r="E73" s="112"/>
      <c r="F73" s="112"/>
      <c r="G73" s="112"/>
      <c r="H73" s="112"/>
      <c r="I73" s="1"/>
      <c r="J73" s="344"/>
      <c r="K73" s="344"/>
      <c r="L73" s="344"/>
      <c r="M73" s="344"/>
      <c r="N73" s="344"/>
      <c r="O73" s="344"/>
      <c r="P73" s="344"/>
      <c r="Q73" s="344"/>
      <c r="R73" s="351">
        <f>1191/1332</f>
        <v>0.89414414414414412</v>
      </c>
      <c r="T73" s="723">
        <v>0.96</v>
      </c>
    </row>
    <row r="74" spans="1:22">
      <c r="A74" t="str">
        <f t="shared" si="2"/>
        <v>Republic of the CongoGAM</v>
      </c>
      <c r="B74" s="528" t="s">
        <v>934</v>
      </c>
      <c r="C74" s="528" t="s">
        <v>873</v>
      </c>
      <c r="D74" s="723"/>
      <c r="E74" s="723"/>
      <c r="F74" s="723"/>
      <c r="G74" s="723"/>
      <c r="H74" s="723"/>
      <c r="I74" s="723"/>
      <c r="J74" s="723"/>
      <c r="K74" s="723"/>
      <c r="L74" s="723"/>
      <c r="M74" s="723"/>
      <c r="N74" s="723"/>
      <c r="O74" s="723"/>
      <c r="P74" s="723"/>
      <c r="Q74" s="723"/>
      <c r="R74" s="723"/>
      <c r="S74" s="723"/>
      <c r="T74" s="723">
        <v>1</v>
      </c>
      <c r="U74" s="723"/>
      <c r="V74" s="723"/>
    </row>
    <row r="75" spans="1:22">
      <c r="A75" t="str">
        <f t="shared" si="2"/>
        <v>RwandaGAM</v>
      </c>
      <c r="B75" s="528" t="s">
        <v>953</v>
      </c>
      <c r="C75" s="528" t="s">
        <v>873</v>
      </c>
      <c r="D75" s="723"/>
      <c r="E75" s="723"/>
      <c r="F75" s="723"/>
      <c r="G75" s="723"/>
      <c r="H75" s="723"/>
      <c r="I75" s="723"/>
      <c r="J75" s="723"/>
      <c r="K75" s="723"/>
      <c r="L75" s="723"/>
      <c r="M75" s="723"/>
      <c r="N75" s="723"/>
      <c r="O75" s="723"/>
      <c r="P75" s="723"/>
      <c r="Q75" s="723"/>
      <c r="R75" s="723"/>
      <c r="S75" s="723"/>
      <c r="T75" s="723"/>
      <c r="U75" s="723"/>
      <c r="V75" s="723"/>
    </row>
    <row r="76" spans="1:22">
      <c r="A76" t="str">
        <f t="shared" si="2"/>
        <v>Saint Kitts &amp; NevisGAM</v>
      </c>
      <c r="B76" s="528" t="s">
        <v>361</v>
      </c>
      <c r="C76" s="528" t="s">
        <v>873</v>
      </c>
      <c r="D76" s="112"/>
      <c r="E76" s="112"/>
      <c r="F76" s="112"/>
      <c r="G76" s="112"/>
      <c r="H76" s="112"/>
      <c r="I76" s="1"/>
      <c r="J76" s="344"/>
      <c r="K76" s="344"/>
      <c r="L76" s="344"/>
      <c r="M76" s="344"/>
      <c r="N76" s="344"/>
      <c r="O76" s="344"/>
      <c r="P76" s="344"/>
      <c r="Q76" s="344"/>
      <c r="R76" s="344">
        <v>0</v>
      </c>
      <c r="S76" s="344">
        <f>2/2</f>
        <v>1</v>
      </c>
      <c r="T76" s="723">
        <v>1</v>
      </c>
    </row>
    <row r="77" spans="1:22">
      <c r="A77" t="str">
        <f t="shared" si="2"/>
        <v>Saint LuciaGAM</v>
      </c>
      <c r="B77" s="528" t="s">
        <v>362</v>
      </c>
      <c r="C77" s="528" t="s">
        <v>873</v>
      </c>
      <c r="D77" s="112"/>
      <c r="E77" s="112"/>
      <c r="F77" s="112"/>
      <c r="G77" s="112"/>
      <c r="H77" s="112"/>
      <c r="I77" s="1"/>
      <c r="J77" s="344"/>
      <c r="K77" s="344"/>
      <c r="L77" s="344"/>
      <c r="M77" s="344"/>
      <c r="N77" s="344"/>
      <c r="O77" s="344"/>
      <c r="P77" s="344"/>
      <c r="Q77" s="344"/>
      <c r="R77" s="344">
        <f>41/46</f>
        <v>0.89130434782608692</v>
      </c>
      <c r="T77" s="723">
        <v>0.87929999999999997</v>
      </c>
    </row>
    <row r="78" spans="1:22">
      <c r="A78" t="str">
        <f t="shared" si="2"/>
        <v>Saint Vincent &amp; the GrenadinesGAM</v>
      </c>
      <c r="B78" s="528" t="s">
        <v>363</v>
      </c>
      <c r="C78" s="528" t="s">
        <v>873</v>
      </c>
      <c r="D78" s="112"/>
      <c r="E78" s="112"/>
      <c r="F78" s="112"/>
      <c r="G78" s="112"/>
      <c r="H78" s="112"/>
      <c r="I78" s="1"/>
      <c r="J78" s="344"/>
      <c r="K78" s="344"/>
      <c r="L78" s="344"/>
      <c r="M78" s="344"/>
      <c r="N78" s="344"/>
      <c r="O78" s="344"/>
      <c r="P78" s="344"/>
      <c r="Q78" s="344"/>
      <c r="R78" s="344">
        <f>1/1539</f>
        <v>6.4977257959714096E-4</v>
      </c>
      <c r="S78" s="344">
        <f>1/1539</f>
        <v>6.4977257959714096E-4</v>
      </c>
      <c r="T78" s="723"/>
    </row>
    <row r="79" spans="1:22">
      <c r="A79" t="str">
        <f t="shared" si="2"/>
        <v>SamoaGAM</v>
      </c>
      <c r="B79" s="528" t="s">
        <v>183</v>
      </c>
      <c r="C79" s="528" t="s">
        <v>873</v>
      </c>
      <c r="D79" s="112"/>
      <c r="E79" s="112"/>
      <c r="F79" s="112"/>
      <c r="G79" s="112"/>
      <c r="H79" s="112"/>
      <c r="I79" s="1"/>
      <c r="J79" s="344"/>
      <c r="K79" s="344"/>
      <c r="L79" s="344">
        <v>1</v>
      </c>
      <c r="M79" s="391"/>
      <c r="N79" s="391"/>
      <c r="O79" s="344">
        <v>1</v>
      </c>
      <c r="P79" s="344">
        <v>1</v>
      </c>
      <c r="Q79" s="344">
        <v>1</v>
      </c>
      <c r="R79" s="344">
        <v>1</v>
      </c>
      <c r="S79" s="344">
        <f>38/38</f>
        <v>1</v>
      </c>
      <c r="T79" s="723">
        <v>1</v>
      </c>
    </row>
    <row r="80" spans="1:22">
      <c r="A80" t="str">
        <f t="shared" si="2"/>
        <v>Sao Tome &amp; PrincipeGAM</v>
      </c>
      <c r="B80" s="528" t="s">
        <v>364</v>
      </c>
      <c r="C80" s="528" t="s">
        <v>873</v>
      </c>
      <c r="D80" s="112"/>
      <c r="E80" s="112"/>
      <c r="F80" s="112"/>
      <c r="G80" s="112"/>
      <c r="H80" s="112"/>
      <c r="I80" s="1"/>
      <c r="J80" s="344"/>
      <c r="K80" s="344">
        <v>1</v>
      </c>
      <c r="L80" s="344">
        <v>1</v>
      </c>
      <c r="M80" s="344">
        <v>1</v>
      </c>
      <c r="N80" s="391"/>
      <c r="O80" s="344">
        <v>1</v>
      </c>
      <c r="P80" s="344">
        <v>1</v>
      </c>
      <c r="Q80" s="391"/>
      <c r="R80" s="344">
        <v>1</v>
      </c>
      <c r="T80" s="723">
        <v>1</v>
      </c>
    </row>
    <row r="81" spans="1:22">
      <c r="A81" t="str">
        <f t="shared" si="2"/>
        <v>Saudi ArabiaGAM</v>
      </c>
      <c r="B81" s="528" t="s">
        <v>935</v>
      </c>
      <c r="C81" s="528" t="s">
        <v>873</v>
      </c>
      <c r="D81" s="723"/>
      <c r="E81" s="723"/>
      <c r="F81" s="723"/>
      <c r="G81" s="723"/>
      <c r="H81" s="723"/>
      <c r="I81" s="723"/>
      <c r="J81" s="723"/>
      <c r="K81" s="723"/>
      <c r="L81" s="723"/>
      <c r="M81" s="723"/>
      <c r="N81" s="723"/>
      <c r="O81" s="723"/>
      <c r="P81" s="723"/>
      <c r="Q81" s="723"/>
      <c r="R81" s="723">
        <v>1</v>
      </c>
      <c r="S81" s="723">
        <v>1</v>
      </c>
      <c r="T81" s="723">
        <v>1</v>
      </c>
      <c r="U81" s="723"/>
      <c r="V81" s="723"/>
    </row>
    <row r="82" spans="1:22">
      <c r="A82" t="str">
        <f t="shared" si="2"/>
        <v>SenegalGAM</v>
      </c>
      <c r="B82" s="528" t="s">
        <v>141</v>
      </c>
      <c r="C82" s="528" t="s">
        <v>873</v>
      </c>
      <c r="D82" s="112"/>
      <c r="E82" s="112"/>
      <c r="F82" s="112"/>
      <c r="G82" s="112"/>
      <c r="H82" s="112"/>
      <c r="I82" s="1"/>
      <c r="J82" s="344"/>
      <c r="K82" s="344"/>
      <c r="L82" s="344"/>
      <c r="M82" s="344"/>
      <c r="N82" s="344"/>
      <c r="O82" s="344"/>
      <c r="P82" s="344">
        <v>0.61399999999999999</v>
      </c>
      <c r="Q82" s="391"/>
      <c r="R82" s="344">
        <f>2787/4463</f>
        <v>0.62446784673986111</v>
      </c>
      <c r="S82" s="344">
        <f>1642/1642</f>
        <v>1</v>
      </c>
      <c r="T82" s="723">
        <v>0.89900000000000002</v>
      </c>
    </row>
    <row r="83" spans="1:22">
      <c r="A83" t="str">
        <f t="shared" si="2"/>
        <v>SeychellesGAM</v>
      </c>
      <c r="B83" s="528" t="s">
        <v>151</v>
      </c>
      <c r="C83" s="528" t="s">
        <v>873</v>
      </c>
      <c r="D83" s="112"/>
      <c r="E83" s="112"/>
      <c r="F83" s="112"/>
      <c r="G83" s="112"/>
      <c r="H83" s="112"/>
      <c r="I83" s="1"/>
      <c r="J83" s="344"/>
      <c r="K83" s="344"/>
      <c r="L83" s="344"/>
      <c r="M83" s="344">
        <v>1</v>
      </c>
      <c r="N83" s="391"/>
      <c r="O83" s="344">
        <v>1</v>
      </c>
      <c r="P83" s="391"/>
      <c r="Q83" s="344">
        <v>1</v>
      </c>
      <c r="R83" s="344">
        <v>1</v>
      </c>
      <c r="S83" s="344">
        <v>1</v>
      </c>
      <c r="T83" s="723">
        <v>1</v>
      </c>
    </row>
    <row r="84" spans="1:22">
      <c r="A84" t="str">
        <f t="shared" si="2"/>
        <v>Sierra LeoneGAM</v>
      </c>
      <c r="B84" s="528" t="s">
        <v>936</v>
      </c>
      <c r="C84" s="528" t="s">
        <v>873</v>
      </c>
      <c r="D84" s="723"/>
      <c r="E84" s="723"/>
      <c r="F84" s="723"/>
      <c r="G84" s="723"/>
      <c r="H84" s="723"/>
      <c r="I84" s="723"/>
      <c r="J84" s="723"/>
      <c r="K84" s="723"/>
      <c r="L84" s="723"/>
      <c r="M84" s="723"/>
      <c r="N84" s="723"/>
      <c r="O84" s="723"/>
      <c r="P84" s="723"/>
      <c r="Q84" s="723"/>
      <c r="R84" s="723">
        <v>1</v>
      </c>
      <c r="S84" s="723">
        <v>0.85699999999999998</v>
      </c>
      <c r="T84" s="723">
        <v>0.96</v>
      </c>
      <c r="U84" s="723"/>
      <c r="V84" s="723"/>
    </row>
    <row r="85" spans="1:22">
      <c r="A85" t="str">
        <f t="shared" si="2"/>
        <v>SomaliaGAM</v>
      </c>
      <c r="B85" s="528" t="s">
        <v>937</v>
      </c>
      <c r="C85" s="528" t="s">
        <v>873</v>
      </c>
      <c r="D85" s="723"/>
      <c r="E85" s="723"/>
      <c r="F85" s="723"/>
      <c r="G85" s="723"/>
      <c r="H85" s="723"/>
      <c r="I85" s="723"/>
      <c r="J85" s="723"/>
      <c r="K85" s="723"/>
      <c r="L85" s="723"/>
      <c r="M85" s="723"/>
      <c r="N85" s="723"/>
      <c r="O85" s="723"/>
      <c r="P85" s="723"/>
      <c r="Q85" s="723"/>
      <c r="R85" s="723"/>
      <c r="S85" s="723"/>
      <c r="T85" s="723"/>
      <c r="U85" s="723"/>
      <c r="V85" s="723"/>
    </row>
    <row r="86" spans="1:22">
      <c r="A86" t="str">
        <f t="shared" si="2"/>
        <v>South AfricaGAM</v>
      </c>
      <c r="B86" s="528" t="s">
        <v>0</v>
      </c>
      <c r="C86" s="528" t="s">
        <v>873</v>
      </c>
      <c r="D86" s="112"/>
      <c r="E86" s="112"/>
      <c r="F86" s="112"/>
      <c r="G86" s="112"/>
      <c r="H86" s="112"/>
      <c r="I86" s="1"/>
      <c r="J86" s="344"/>
      <c r="K86" s="344"/>
      <c r="L86" s="344"/>
      <c r="M86" s="344"/>
      <c r="N86" s="344"/>
      <c r="O86" s="344"/>
      <c r="P86" s="344"/>
      <c r="Q86" s="344"/>
      <c r="R86" s="344">
        <v>0.8</v>
      </c>
      <c r="S86" s="344">
        <f>351/459</f>
        <v>0.76470588235294112</v>
      </c>
      <c r="T86" s="723">
        <v>0.71699999999999997</v>
      </c>
    </row>
    <row r="87" spans="1:22">
      <c r="A87" t="str">
        <f t="shared" si="2"/>
        <v>South SudanGAM</v>
      </c>
      <c r="B87" s="528" t="s">
        <v>938</v>
      </c>
      <c r="C87" s="528" t="s">
        <v>873</v>
      </c>
      <c r="D87" s="723"/>
      <c r="E87" s="723"/>
      <c r="F87" s="723"/>
      <c r="G87" s="723"/>
      <c r="H87" s="723"/>
      <c r="I87" s="723"/>
      <c r="J87" s="723"/>
      <c r="K87" s="723"/>
      <c r="L87" s="723"/>
      <c r="M87" s="723"/>
      <c r="N87" s="723"/>
      <c r="O87" s="723"/>
      <c r="P87" s="723"/>
      <c r="Q87" s="723"/>
      <c r="R87" s="723"/>
      <c r="S87" s="723">
        <v>1</v>
      </c>
      <c r="T87" s="723">
        <v>1</v>
      </c>
      <c r="U87" s="723"/>
      <c r="V87" s="723"/>
    </row>
    <row r="88" spans="1:22">
      <c r="A88" t="str">
        <f t="shared" si="2"/>
        <v>Solomon IslandsGAM</v>
      </c>
      <c r="B88" s="528" t="s">
        <v>950</v>
      </c>
      <c r="C88" s="528" t="s">
        <v>873</v>
      </c>
      <c r="D88" s="723"/>
      <c r="E88" s="723"/>
      <c r="F88" s="723"/>
      <c r="G88" s="723"/>
      <c r="H88" s="723"/>
      <c r="I88" s="723"/>
      <c r="J88" s="723"/>
      <c r="K88" s="723"/>
      <c r="L88" s="723"/>
      <c r="M88" s="723"/>
      <c r="N88" s="723"/>
      <c r="O88" s="723"/>
      <c r="P88" s="723"/>
      <c r="Q88" s="723"/>
      <c r="R88" s="723"/>
      <c r="S88" s="723"/>
      <c r="T88" s="723"/>
      <c r="U88" s="723"/>
      <c r="V88" s="723"/>
    </row>
    <row r="89" spans="1:22">
      <c r="A89" t="str">
        <f t="shared" si="2"/>
        <v>Sri LankaGAM</v>
      </c>
      <c r="B89" s="528" t="s">
        <v>374</v>
      </c>
      <c r="C89" s="528" t="s">
        <v>873</v>
      </c>
      <c r="D89" s="112"/>
      <c r="E89" s="112"/>
      <c r="F89" s="112"/>
      <c r="G89" s="112"/>
      <c r="H89" s="112"/>
      <c r="I89" s="1"/>
      <c r="J89" s="344"/>
      <c r="K89" s="344"/>
      <c r="L89" s="344"/>
      <c r="M89" s="344"/>
      <c r="N89" s="344">
        <v>0.92708333333333304</v>
      </c>
      <c r="O89" s="344">
        <v>0.88793103448275901</v>
      </c>
      <c r="P89" s="344">
        <v>0.875</v>
      </c>
      <c r="Q89" s="344">
        <v>0.96250000000000002</v>
      </c>
      <c r="R89" s="344">
        <v>1</v>
      </c>
      <c r="S89" s="344">
        <f>26/29</f>
        <v>0.89655172413793105</v>
      </c>
      <c r="T89" s="723">
        <v>0.97699999999999998</v>
      </c>
    </row>
    <row r="90" spans="1:22">
      <c r="A90" t="str">
        <f t="shared" si="2"/>
        <v>SurinameGAM</v>
      </c>
      <c r="B90" s="528" t="s">
        <v>365</v>
      </c>
      <c r="C90" s="528" t="s">
        <v>873</v>
      </c>
      <c r="T90" s="723"/>
    </row>
    <row r="91" spans="1:22">
      <c r="A91" t="str">
        <f t="shared" si="2"/>
        <v>TanzaniaGAM</v>
      </c>
      <c r="B91" s="528" t="s">
        <v>143</v>
      </c>
      <c r="C91" s="528" t="s">
        <v>873</v>
      </c>
      <c r="D91" s="112"/>
      <c r="E91" s="112"/>
      <c r="F91" s="112"/>
      <c r="G91" s="112"/>
      <c r="H91" s="112"/>
      <c r="I91" s="1"/>
      <c r="J91" s="344"/>
      <c r="K91" s="344">
        <v>1</v>
      </c>
      <c r="L91" s="391"/>
      <c r="M91" s="391"/>
      <c r="N91" s="391"/>
      <c r="O91" s="344">
        <v>0.40400000000000003</v>
      </c>
      <c r="P91" s="344">
        <v>0.53200000000000003</v>
      </c>
      <c r="Q91" s="344">
        <v>0.56899999999999995</v>
      </c>
      <c r="R91" s="391"/>
      <c r="S91" s="344">
        <f>17394/25863</f>
        <v>0.67254378842361673</v>
      </c>
      <c r="T91" s="723">
        <v>0.73299999999999998</v>
      </c>
    </row>
    <row r="92" spans="1:22">
      <c r="A92" t="str">
        <f t="shared" si="2"/>
        <v>ThailandGAM</v>
      </c>
      <c r="B92" s="528" t="s">
        <v>185</v>
      </c>
      <c r="C92" s="528" t="s">
        <v>873</v>
      </c>
      <c r="D92" s="112"/>
      <c r="E92" s="112"/>
      <c r="F92" s="112"/>
      <c r="G92" s="112"/>
      <c r="H92" s="112"/>
      <c r="I92" s="1"/>
      <c r="J92" s="344"/>
      <c r="K92" s="344"/>
      <c r="L92" s="344">
        <v>1</v>
      </c>
      <c r="M92" s="344">
        <v>0.93100000000000005</v>
      </c>
      <c r="N92" s="344">
        <v>0.97899999999999998</v>
      </c>
      <c r="O92" s="344">
        <v>0.97799999999999998</v>
      </c>
      <c r="P92" s="344">
        <v>0.96099999999999997</v>
      </c>
      <c r="Q92" s="391"/>
      <c r="R92" s="344">
        <f>911/934</f>
        <v>0.97537473233404715</v>
      </c>
      <c r="T92" s="723">
        <v>0.97499999999999998</v>
      </c>
    </row>
    <row r="93" spans="1:22">
      <c r="A93" t="str">
        <f t="shared" si="2"/>
        <v>TogoGAM</v>
      </c>
      <c r="B93" s="528" t="s">
        <v>142</v>
      </c>
      <c r="C93" s="528" t="s">
        <v>873</v>
      </c>
      <c r="D93" s="112"/>
      <c r="E93" s="112"/>
      <c r="F93" s="112"/>
      <c r="G93" s="112"/>
      <c r="H93" s="112"/>
      <c r="I93" s="1"/>
      <c r="J93" s="344"/>
      <c r="K93" s="344">
        <v>1</v>
      </c>
      <c r="L93" s="391"/>
      <c r="M93" s="391"/>
      <c r="N93" s="344">
        <v>0.75</v>
      </c>
      <c r="O93" s="344">
        <v>0.79600000000000004</v>
      </c>
      <c r="P93" s="344">
        <v>0.86</v>
      </c>
      <c r="Q93" s="344">
        <v>0.67700000000000005</v>
      </c>
      <c r="R93" s="344">
        <v>1</v>
      </c>
      <c r="S93" s="344">
        <f>791/1093</f>
        <v>0.72369624885635864</v>
      </c>
      <c r="T93" s="723">
        <v>0.48799999999999999</v>
      </c>
    </row>
    <row r="94" spans="1:22">
      <c r="A94" t="str">
        <f t="shared" si="2"/>
        <v>Trinidad &amp; TobagoGAM</v>
      </c>
      <c r="B94" s="528" t="s">
        <v>366</v>
      </c>
      <c r="C94" s="528" t="s">
        <v>873</v>
      </c>
      <c r="D94" s="112"/>
      <c r="E94" s="112"/>
      <c r="F94" s="112"/>
      <c r="G94" s="112"/>
      <c r="H94" s="112"/>
      <c r="I94" s="1"/>
      <c r="J94" s="344"/>
      <c r="K94" s="344"/>
      <c r="L94" s="344"/>
      <c r="M94" s="344"/>
      <c r="N94" s="344"/>
      <c r="O94" s="344"/>
      <c r="P94" s="344"/>
      <c r="Q94" s="344"/>
      <c r="R94" s="344">
        <f>18/19</f>
        <v>0.94736842105263153</v>
      </c>
      <c r="T94" s="723"/>
    </row>
    <row r="95" spans="1:22">
      <c r="A95" t="str">
        <f t="shared" si="2"/>
        <v>UgandaGAM</v>
      </c>
      <c r="B95" s="528" t="s">
        <v>144</v>
      </c>
      <c r="C95" s="528" t="s">
        <v>873</v>
      </c>
      <c r="D95" s="112"/>
      <c r="E95" s="112"/>
      <c r="F95" s="112"/>
      <c r="G95" s="112"/>
      <c r="H95" s="112"/>
      <c r="I95" s="1"/>
      <c r="J95" s="344"/>
      <c r="K95" s="344"/>
      <c r="L95" s="344"/>
      <c r="M95" s="344"/>
      <c r="N95" s="393"/>
      <c r="O95" s="393"/>
      <c r="P95" s="393"/>
      <c r="Q95" s="393"/>
      <c r="R95" s="393"/>
      <c r="S95" s="344">
        <f>17394/25863</f>
        <v>0.67254378842361673</v>
      </c>
      <c r="T95" s="723"/>
    </row>
    <row r="96" spans="1:22">
      <c r="A96" t="str">
        <f t="shared" si="2"/>
        <v>UkraineGAM</v>
      </c>
      <c r="B96" s="528" t="s">
        <v>186</v>
      </c>
      <c r="C96" s="528" t="s">
        <v>873</v>
      </c>
      <c r="D96" s="112"/>
      <c r="E96" s="112"/>
      <c r="F96" s="112"/>
      <c r="G96" s="112"/>
      <c r="H96" s="112"/>
      <c r="I96" s="1"/>
      <c r="J96" s="344"/>
      <c r="K96" s="344"/>
      <c r="L96" s="344"/>
      <c r="M96" s="344"/>
      <c r="N96" s="344">
        <v>1</v>
      </c>
      <c r="O96" s="344">
        <v>1</v>
      </c>
      <c r="P96" s="344">
        <v>1</v>
      </c>
      <c r="Q96" s="344">
        <v>1</v>
      </c>
      <c r="R96" s="344">
        <v>1</v>
      </c>
      <c r="S96" s="344">
        <f>211/211</f>
        <v>1</v>
      </c>
      <c r="T96" s="723">
        <v>1</v>
      </c>
    </row>
    <row r="97" spans="1:22">
      <c r="A97" t="str">
        <f t="shared" si="2"/>
        <v>UruguayGAM</v>
      </c>
      <c r="B97" s="528" t="s">
        <v>187</v>
      </c>
      <c r="C97" s="528" t="s">
        <v>873</v>
      </c>
      <c r="D97" s="112"/>
      <c r="E97" s="112"/>
      <c r="F97" s="112"/>
      <c r="G97" s="112"/>
      <c r="H97" s="112"/>
      <c r="I97" s="1"/>
      <c r="J97" s="344">
        <v>0.23899999999999999</v>
      </c>
      <c r="K97" s="391"/>
      <c r="L97" s="391"/>
      <c r="M97" s="344">
        <v>0.80500000000000005</v>
      </c>
      <c r="N97" s="344">
        <v>0.71099999999999997</v>
      </c>
      <c r="O97" s="344">
        <v>0.95899999999999996</v>
      </c>
      <c r="P97" s="344">
        <v>0.98099999999999998</v>
      </c>
      <c r="Q97" s="391"/>
      <c r="R97" s="344">
        <f>268/329</f>
        <v>0.81458966565349544</v>
      </c>
      <c r="T97" s="723">
        <v>0.41599999999999998</v>
      </c>
    </row>
    <row r="98" spans="1:22">
      <c r="A98" t="str">
        <f t="shared" si="2"/>
        <v>VenezuelaGAM</v>
      </c>
      <c r="B98" s="528" t="s">
        <v>188</v>
      </c>
      <c r="C98" s="528" t="s">
        <v>873</v>
      </c>
      <c r="T98" s="723">
        <v>0.13100000000000001</v>
      </c>
    </row>
    <row r="99" spans="1:22">
      <c r="A99" t="str">
        <f t="shared" si="2"/>
        <v>ZambiaGAM</v>
      </c>
      <c r="B99" s="528" t="s">
        <v>124</v>
      </c>
      <c r="C99" s="528" t="s">
        <v>873</v>
      </c>
      <c r="D99" s="112"/>
      <c r="E99" s="112"/>
      <c r="F99" s="112"/>
      <c r="G99" s="112"/>
      <c r="H99" s="112"/>
      <c r="I99" s="1"/>
      <c r="J99" s="344"/>
      <c r="K99" s="344">
        <v>1</v>
      </c>
      <c r="L99" s="344">
        <v>1</v>
      </c>
      <c r="M99" s="391"/>
      <c r="N99" s="344">
        <v>1</v>
      </c>
      <c r="O99" s="344">
        <v>1</v>
      </c>
      <c r="P99" s="391"/>
      <c r="Q99" s="344">
        <v>1</v>
      </c>
      <c r="R99" s="344">
        <v>1</v>
      </c>
      <c r="T99" s="723">
        <v>0.873</v>
      </c>
    </row>
    <row r="100" spans="1:22">
      <c r="A100" t="str">
        <f t="shared" si="2"/>
        <v>ZimbabweGAM</v>
      </c>
      <c r="B100" s="528" t="s">
        <v>125</v>
      </c>
      <c r="C100" s="528" t="s">
        <v>873</v>
      </c>
      <c r="D100" s="112"/>
      <c r="E100" s="112"/>
      <c r="F100" s="112"/>
      <c r="G100" s="112"/>
      <c r="H100" s="112"/>
      <c r="I100" s="1"/>
      <c r="J100" s="344"/>
      <c r="K100" s="344"/>
      <c r="L100" s="344"/>
      <c r="M100" s="344"/>
      <c r="N100" s="344"/>
      <c r="O100" s="344"/>
      <c r="P100" s="344"/>
      <c r="Q100" s="344">
        <v>0.69599999999999995</v>
      </c>
      <c r="R100" s="344">
        <f>6284/8017</f>
        <v>0.7838343520019958</v>
      </c>
      <c r="S100" s="344">
        <f>7608/9463</f>
        <v>0.80397336996724078</v>
      </c>
      <c r="T100" s="723">
        <v>0.80400000000000005</v>
      </c>
    </row>
    <row r="101" spans="1:22">
      <c r="A101" t="str">
        <f t="shared" si="2"/>
        <v>AfghanistanWorkshops</v>
      </c>
      <c r="B101" s="528" t="s">
        <v>928</v>
      </c>
      <c r="C101" s="528" t="s">
        <v>877</v>
      </c>
      <c r="D101" s="723"/>
      <c r="E101" s="723"/>
      <c r="F101" s="723"/>
      <c r="G101" s="723"/>
      <c r="H101" s="723"/>
      <c r="I101" s="723"/>
      <c r="J101" s="723"/>
      <c r="K101" s="723"/>
      <c r="L101" s="723"/>
      <c r="M101" s="723"/>
      <c r="N101" s="723"/>
      <c r="O101" s="723"/>
      <c r="P101" s="723"/>
      <c r="Q101" s="723"/>
      <c r="R101" s="723"/>
      <c r="S101" s="723"/>
      <c r="T101" s="723"/>
      <c r="U101" s="723"/>
      <c r="V101" s="723"/>
    </row>
    <row r="102" spans="1:22">
      <c r="A102" t="str">
        <f t="shared" ref="A102:A135" si="3">B102&amp;C102</f>
        <v>AngolaWorkshops</v>
      </c>
      <c r="B102" s="528" t="s">
        <v>929</v>
      </c>
      <c r="C102" s="528" t="s">
        <v>877</v>
      </c>
      <c r="D102" s="723"/>
      <c r="E102" s="723"/>
      <c r="F102" s="723"/>
      <c r="G102" s="723"/>
      <c r="H102" s="723"/>
      <c r="I102" s="723"/>
      <c r="J102" s="723"/>
      <c r="K102" s="723"/>
      <c r="L102" s="723"/>
      <c r="M102" s="723"/>
      <c r="N102" s="723"/>
      <c r="O102" s="723"/>
      <c r="P102" s="723"/>
      <c r="Q102" s="723"/>
      <c r="R102" s="723"/>
      <c r="S102" s="723"/>
      <c r="T102" s="723"/>
      <c r="U102" s="723"/>
      <c r="V102" s="723"/>
    </row>
    <row r="103" spans="1:22">
      <c r="A103" t="str">
        <f t="shared" si="3"/>
        <v>Antigua &amp; BarbudaWorkshops</v>
      </c>
      <c r="B103" s="528" t="s">
        <v>343</v>
      </c>
      <c r="C103" s="528" t="s">
        <v>877</v>
      </c>
      <c r="T103" s="723"/>
    </row>
    <row r="104" spans="1:22">
      <c r="A104" t="str">
        <f t="shared" si="3"/>
        <v>ArgentinaWorkshops</v>
      </c>
      <c r="B104" s="528" t="s">
        <v>344</v>
      </c>
      <c r="C104" s="528" t="s">
        <v>877</v>
      </c>
      <c r="T104" s="723"/>
    </row>
    <row r="105" spans="1:22">
      <c r="A105" t="str">
        <f t="shared" si="3"/>
        <v>BahamasWorkshops</v>
      </c>
      <c r="B105" s="528" t="s">
        <v>345</v>
      </c>
      <c r="C105" s="528" t="s">
        <v>877</v>
      </c>
      <c r="T105" s="723"/>
    </row>
    <row r="106" spans="1:22">
      <c r="A106" t="str">
        <f t="shared" si="3"/>
        <v>BangladeshWorkshops</v>
      </c>
      <c r="B106" s="528" t="s">
        <v>865</v>
      </c>
      <c r="C106" s="528" t="s">
        <v>877</v>
      </c>
      <c r="T106" s="723"/>
    </row>
    <row r="107" spans="1:22">
      <c r="A107" t="str">
        <f t="shared" si="3"/>
        <v>BarbadosWorkshops</v>
      </c>
      <c r="B107" s="528" t="s">
        <v>346</v>
      </c>
      <c r="C107" s="528" t="s">
        <v>877</v>
      </c>
      <c r="T107" s="723"/>
    </row>
    <row r="108" spans="1:22">
      <c r="A108" t="str">
        <f t="shared" si="3"/>
        <v>BelarusWorkshops</v>
      </c>
      <c r="B108" s="528" t="s">
        <v>166</v>
      </c>
      <c r="C108" s="528" t="s">
        <v>877</v>
      </c>
      <c r="T108" s="723"/>
    </row>
    <row r="109" spans="1:22">
      <c r="A109" t="str">
        <f t="shared" si="3"/>
        <v>BelizeWorkshops</v>
      </c>
      <c r="B109" s="528" t="s">
        <v>368</v>
      </c>
      <c r="C109" s="528" t="s">
        <v>877</v>
      </c>
      <c r="T109" s="723"/>
    </row>
    <row r="110" spans="1:22">
      <c r="A110" t="str">
        <f t="shared" si="3"/>
        <v>BeninWorkshops</v>
      </c>
      <c r="B110" s="528" t="s">
        <v>126</v>
      </c>
      <c r="C110" s="528" t="s">
        <v>877</v>
      </c>
      <c r="T110" s="723"/>
    </row>
    <row r="111" spans="1:22">
      <c r="A111" t="str">
        <f t="shared" si="3"/>
        <v>BhutanWorkshops</v>
      </c>
      <c r="B111" s="528" t="s">
        <v>951</v>
      </c>
      <c r="C111" s="528" t="s">
        <v>877</v>
      </c>
      <c r="T111" s="723"/>
    </row>
    <row r="112" spans="1:22">
      <c r="A112" t="str">
        <f t="shared" si="3"/>
        <v>BoliviaWorkshops</v>
      </c>
      <c r="B112" s="528" t="s">
        <v>798</v>
      </c>
      <c r="C112" s="528" t="s">
        <v>877</v>
      </c>
      <c r="T112" s="723"/>
    </row>
    <row r="113" spans="1:20">
      <c r="A113" t="str">
        <f t="shared" si="3"/>
        <v>BotswanaWorkshops</v>
      </c>
      <c r="B113" s="528" t="s">
        <v>834</v>
      </c>
      <c r="C113" s="528" t="s">
        <v>877</v>
      </c>
      <c r="T113" s="723"/>
    </row>
    <row r="114" spans="1:20">
      <c r="A114" t="str">
        <f t="shared" si="3"/>
        <v>BrazilWorkshops</v>
      </c>
      <c r="B114" s="528" t="s">
        <v>167</v>
      </c>
      <c r="C114" s="528" t="s">
        <v>877</v>
      </c>
      <c r="T114" s="723"/>
    </row>
    <row r="115" spans="1:20">
      <c r="A115" t="str">
        <f t="shared" si="3"/>
        <v>BruneiWorkshops</v>
      </c>
      <c r="B115" s="528" t="s">
        <v>952</v>
      </c>
      <c r="C115" s="528" t="s">
        <v>877</v>
      </c>
      <c r="T115" s="723"/>
    </row>
    <row r="116" spans="1:20">
      <c r="A116" t="str">
        <f t="shared" si="3"/>
        <v>Burkina FasoWorkshops</v>
      </c>
      <c r="B116" s="528" t="s">
        <v>168</v>
      </c>
      <c r="C116" s="528" t="s">
        <v>877</v>
      </c>
      <c r="T116" s="723"/>
    </row>
    <row r="117" spans="1:20" ht="17" thickBot="1">
      <c r="A117" t="str">
        <f t="shared" si="3"/>
        <v>BurundiWorkshops</v>
      </c>
      <c r="B117" s="528" t="s">
        <v>165</v>
      </c>
      <c r="C117" s="528" t="s">
        <v>877</v>
      </c>
      <c r="T117" s="723"/>
    </row>
    <row r="118" spans="1:20" ht="17" thickBot="1">
      <c r="A118" t="str">
        <f t="shared" si="3"/>
        <v>Cabo VerdeWorkshops</v>
      </c>
      <c r="B118" s="528" t="s">
        <v>149</v>
      </c>
      <c r="C118" s="528" t="s">
        <v>877</v>
      </c>
      <c r="D118" s="757"/>
      <c r="E118" s="757"/>
      <c r="F118" s="757"/>
      <c r="G118" s="757"/>
      <c r="H118" s="757"/>
      <c r="I118" s="757"/>
      <c r="J118" s="757"/>
      <c r="K118" s="757"/>
      <c r="L118" s="757"/>
      <c r="M118" s="757"/>
      <c r="N118" s="757"/>
      <c r="O118" s="757"/>
      <c r="P118" s="757"/>
      <c r="Q118" s="757"/>
      <c r="R118" s="757"/>
      <c r="S118" s="757"/>
      <c r="T118" s="759"/>
    </row>
    <row r="119" spans="1:20">
      <c r="A119" t="str">
        <f t="shared" si="3"/>
        <v>CambodiaWorkshops</v>
      </c>
      <c r="B119" s="528" t="s">
        <v>169</v>
      </c>
      <c r="C119" s="528" t="s">
        <v>877</v>
      </c>
      <c r="T119" s="723"/>
    </row>
    <row r="120" spans="1:20">
      <c r="A120" t="str">
        <f t="shared" si="3"/>
        <v>Central African RepublicWorkshops</v>
      </c>
      <c r="B120" s="528" t="s">
        <v>153</v>
      </c>
      <c r="C120" s="528" t="s">
        <v>877</v>
      </c>
      <c r="T120" s="723"/>
    </row>
    <row r="121" spans="1:20">
      <c r="A121" t="str">
        <f t="shared" si="3"/>
        <v>ChileWorkshops</v>
      </c>
      <c r="B121" s="528" t="s">
        <v>170</v>
      </c>
      <c r="C121" s="528" t="s">
        <v>877</v>
      </c>
      <c r="T121" s="723"/>
    </row>
    <row r="122" spans="1:20" ht="17" thickBot="1">
      <c r="A122" t="str">
        <f t="shared" si="3"/>
        <v>ChinaWorkshops</v>
      </c>
      <c r="B122" s="528" t="s">
        <v>349</v>
      </c>
      <c r="C122" s="528" t="s">
        <v>877</v>
      </c>
      <c r="T122" s="723"/>
    </row>
    <row r="123" spans="1:20" ht="17" thickBot="1">
      <c r="A123" t="str">
        <f t="shared" si="3"/>
        <v>ColombiaWorkshops</v>
      </c>
      <c r="B123" s="528" t="s">
        <v>171</v>
      </c>
      <c r="C123" s="528" t="s">
        <v>877</v>
      </c>
      <c r="D123" s="757"/>
      <c r="E123" s="757"/>
      <c r="F123" s="757"/>
      <c r="G123" s="757"/>
      <c r="H123" s="757"/>
      <c r="I123" s="757"/>
      <c r="J123" s="757"/>
      <c r="K123" s="757"/>
      <c r="L123" s="757"/>
      <c r="M123" s="757"/>
      <c r="N123" s="757"/>
      <c r="O123" s="757"/>
      <c r="P123" s="757"/>
      <c r="Q123" s="757"/>
      <c r="R123" s="757"/>
      <c r="S123" s="757"/>
      <c r="T123" s="723"/>
    </row>
    <row r="124" spans="1:20">
      <c r="A124" t="str">
        <f t="shared" si="3"/>
        <v>Costa RicaWorkshops</v>
      </c>
      <c r="B124" s="528" t="s">
        <v>350</v>
      </c>
      <c r="C124" s="528" t="s">
        <v>877</v>
      </c>
      <c r="T124" s="723"/>
    </row>
    <row r="125" spans="1:20">
      <c r="A125" t="str">
        <f t="shared" si="3"/>
        <v>CubaWorkshops</v>
      </c>
      <c r="B125" s="528" t="s">
        <v>164</v>
      </c>
      <c r="C125" s="528" t="s">
        <v>877</v>
      </c>
      <c r="T125" s="723"/>
    </row>
    <row r="126" spans="1:20">
      <c r="A126" t="str">
        <f t="shared" si="3"/>
        <v>Democratic Republic of CongoWorkshops</v>
      </c>
      <c r="B126" s="528" t="s">
        <v>152</v>
      </c>
      <c r="C126" s="528" t="s">
        <v>877</v>
      </c>
      <c r="T126" s="723"/>
    </row>
    <row r="127" spans="1:20">
      <c r="A127" t="str">
        <f t="shared" si="3"/>
        <v>DominicaWorkshops</v>
      </c>
      <c r="B127" s="528" t="s">
        <v>351</v>
      </c>
      <c r="C127" s="528" t="s">
        <v>877</v>
      </c>
      <c r="T127" s="723"/>
    </row>
    <row r="128" spans="1:20">
      <c r="A128" t="str">
        <f t="shared" si="3"/>
        <v>Dominican RepublicWorkshops</v>
      </c>
      <c r="B128" s="528" t="s">
        <v>172</v>
      </c>
      <c r="C128" s="528" t="s">
        <v>877</v>
      </c>
      <c r="T128" s="723"/>
    </row>
    <row r="129" spans="1:20">
      <c r="A129" t="str">
        <f t="shared" si="3"/>
        <v>EcuadorWorkshops</v>
      </c>
      <c r="B129" s="528" t="s">
        <v>352</v>
      </c>
      <c r="C129" s="528" t="s">
        <v>877</v>
      </c>
      <c r="T129" s="723"/>
    </row>
    <row r="130" spans="1:20">
      <c r="A130" t="str">
        <f t="shared" si="3"/>
        <v>El SalvadorWorkshops</v>
      </c>
      <c r="B130" s="528" t="s">
        <v>353</v>
      </c>
      <c r="C130" s="528" t="s">
        <v>877</v>
      </c>
      <c r="D130" s="740"/>
      <c r="E130" s="740"/>
      <c r="F130" s="740"/>
      <c r="G130" s="740"/>
      <c r="H130" s="740"/>
      <c r="I130" s="740"/>
      <c r="J130" s="740"/>
      <c r="K130" s="740"/>
      <c r="L130" s="740"/>
      <c r="M130" s="740"/>
      <c r="N130" s="740"/>
      <c r="O130" s="740"/>
      <c r="P130" s="740"/>
      <c r="Q130" s="740"/>
      <c r="R130" s="740">
        <v>0.50600000000000001</v>
      </c>
      <c r="S130" s="740">
        <v>0.34899999999999998</v>
      </c>
      <c r="T130" s="738"/>
    </row>
    <row r="131" spans="1:20" ht="17" thickBot="1">
      <c r="A131" t="str">
        <f t="shared" si="3"/>
        <v>Equatorial GuineaWorkshops</v>
      </c>
      <c r="B131" s="528" t="s">
        <v>129</v>
      </c>
      <c r="C131" s="528" t="s">
        <v>877</v>
      </c>
      <c r="T131" s="723"/>
    </row>
    <row r="132" spans="1:20" ht="17" thickBot="1">
      <c r="A132" t="str">
        <f t="shared" si="3"/>
        <v>EritreaWorkshops</v>
      </c>
      <c r="B132" s="528" t="s">
        <v>128</v>
      </c>
      <c r="C132" s="528" t="s">
        <v>877</v>
      </c>
      <c r="D132" s="757"/>
      <c r="E132" s="757"/>
      <c r="F132" s="757"/>
      <c r="G132" s="757"/>
      <c r="H132" s="757"/>
      <c r="I132" s="757"/>
      <c r="J132" s="757"/>
      <c r="K132" s="757"/>
      <c r="L132" s="757"/>
      <c r="M132" s="757"/>
      <c r="N132" s="757"/>
      <c r="O132" s="757"/>
      <c r="P132" s="757"/>
      <c r="Q132" s="757"/>
      <c r="R132" s="757"/>
      <c r="S132" s="757"/>
      <c r="T132" s="759"/>
    </row>
    <row r="133" spans="1:20">
      <c r="A133" t="str">
        <f t="shared" si="3"/>
        <v>EswatiniWorkshops</v>
      </c>
      <c r="B133" s="528" t="s">
        <v>835</v>
      </c>
      <c r="C133" s="528" t="s">
        <v>877</v>
      </c>
      <c r="T133" s="723"/>
    </row>
    <row r="134" spans="1:20">
      <c r="A134" t="str">
        <f t="shared" si="3"/>
        <v>EthiopiaWorkshops</v>
      </c>
      <c r="B134" s="528" t="s">
        <v>127</v>
      </c>
      <c r="C134" s="528" t="s">
        <v>877</v>
      </c>
      <c r="T134" s="723"/>
    </row>
    <row r="135" spans="1:20">
      <c r="A135" t="str">
        <f t="shared" si="3"/>
        <v>Federated States of MicronesiaWorkshops</v>
      </c>
      <c r="B135" s="528" t="s">
        <v>356</v>
      </c>
      <c r="C135" s="528" t="s">
        <v>877</v>
      </c>
      <c r="T135" s="723"/>
    </row>
    <row r="136" spans="1:20">
      <c r="A136" t="str">
        <f t="shared" ref="A136:A167" si="4">B136&amp;C136</f>
        <v>FijiWorkshops</v>
      </c>
      <c r="B136" s="528" t="s">
        <v>338</v>
      </c>
      <c r="C136" s="528" t="s">
        <v>877</v>
      </c>
      <c r="D136" s="758">
        <v>0.95</v>
      </c>
      <c r="E136" s="758">
        <v>0.95</v>
      </c>
      <c r="F136" s="758">
        <v>0.95</v>
      </c>
      <c r="G136" s="758">
        <v>0.95</v>
      </c>
      <c r="H136" s="758">
        <v>0.95</v>
      </c>
      <c r="I136" s="758">
        <v>0.95</v>
      </c>
      <c r="J136" s="758">
        <v>0.95</v>
      </c>
      <c r="K136" s="758">
        <v>0.95</v>
      </c>
      <c r="L136" s="758">
        <v>0.95</v>
      </c>
      <c r="M136" s="758">
        <v>0.95</v>
      </c>
      <c r="N136" s="758">
        <v>0.95</v>
      </c>
      <c r="O136" s="758">
        <v>0.95</v>
      </c>
      <c r="P136" s="758">
        <v>0.95</v>
      </c>
      <c r="Q136" s="758">
        <v>0.95</v>
      </c>
      <c r="R136" s="758">
        <v>0.95</v>
      </c>
      <c r="S136" s="758">
        <v>0.95</v>
      </c>
      <c r="T136" s="723"/>
    </row>
    <row r="137" spans="1:20">
      <c r="A137" t="str">
        <f t="shared" si="4"/>
        <v>GabonWorkshops</v>
      </c>
      <c r="B137" s="528" t="s">
        <v>130</v>
      </c>
      <c r="C137" s="528" t="s">
        <v>877</v>
      </c>
      <c r="T137" s="723"/>
    </row>
    <row r="138" spans="1:20">
      <c r="A138" t="str">
        <f t="shared" si="4"/>
        <v>GeorgiaWorkshops</v>
      </c>
      <c r="B138" s="528" t="s">
        <v>173</v>
      </c>
      <c r="C138" s="528" t="s">
        <v>877</v>
      </c>
      <c r="T138" s="723"/>
    </row>
    <row r="139" spans="1:20">
      <c r="A139" t="str">
        <f t="shared" si="4"/>
        <v>GhanaWorkshops</v>
      </c>
      <c r="B139" s="528" t="s">
        <v>131</v>
      </c>
      <c r="C139" s="528" t="s">
        <v>877</v>
      </c>
      <c r="T139" s="723"/>
    </row>
    <row r="140" spans="1:20">
      <c r="A140" t="str">
        <f t="shared" si="4"/>
        <v>GrenadaWorkshops</v>
      </c>
      <c r="B140" s="528" t="s">
        <v>354</v>
      </c>
      <c r="C140" s="528" t="s">
        <v>877</v>
      </c>
      <c r="T140" s="723"/>
    </row>
    <row r="141" spans="1:20">
      <c r="A141" t="str">
        <f t="shared" si="4"/>
        <v>GuatemalaWorkshops</v>
      </c>
      <c r="B141" s="528" t="s">
        <v>355</v>
      </c>
      <c r="C141" s="528" t="s">
        <v>877</v>
      </c>
      <c r="T141" s="723"/>
    </row>
    <row r="142" spans="1:20">
      <c r="A142" t="str">
        <f t="shared" si="4"/>
        <v>GuineaWorkshops</v>
      </c>
      <c r="B142" s="528" t="s">
        <v>132</v>
      </c>
      <c r="C142" s="528" t="s">
        <v>877</v>
      </c>
      <c r="T142" s="723"/>
    </row>
    <row r="143" spans="1:20">
      <c r="A143" t="str">
        <f t="shared" si="4"/>
        <v>GuyanaWorkshops</v>
      </c>
      <c r="B143" s="528" t="s">
        <v>357</v>
      </c>
      <c r="C143" s="528" t="s">
        <v>877</v>
      </c>
      <c r="T143" s="723"/>
    </row>
    <row r="144" spans="1:20">
      <c r="A144" t="str">
        <f t="shared" si="4"/>
        <v>HaitiWorkshops</v>
      </c>
      <c r="B144" s="528" t="s">
        <v>174</v>
      </c>
      <c r="C144" s="528" t="s">
        <v>877</v>
      </c>
      <c r="T144" s="723"/>
    </row>
    <row r="145" spans="1:22">
      <c r="A145" t="str">
        <f t="shared" si="4"/>
        <v>HondurasWorkshops</v>
      </c>
      <c r="B145" s="528" t="s">
        <v>358</v>
      </c>
      <c r="C145" s="528" t="s">
        <v>877</v>
      </c>
      <c r="D145" s="740"/>
      <c r="E145" s="740"/>
      <c r="F145" s="740"/>
      <c r="G145" s="740"/>
      <c r="H145" s="740"/>
      <c r="I145" s="740"/>
      <c r="J145" s="740"/>
      <c r="K145" s="740"/>
      <c r="L145" s="740"/>
      <c r="M145" s="740">
        <v>0.95</v>
      </c>
      <c r="N145" s="740">
        <v>0.95</v>
      </c>
      <c r="O145" s="740">
        <v>0.95</v>
      </c>
      <c r="P145" s="740">
        <v>0.95</v>
      </c>
      <c r="Q145" s="740">
        <v>0.95</v>
      </c>
      <c r="R145" s="740">
        <v>0.95</v>
      </c>
      <c r="S145" s="740">
        <v>0.95</v>
      </c>
      <c r="T145" s="738"/>
    </row>
    <row r="146" spans="1:22">
      <c r="A146" t="str">
        <f t="shared" si="4"/>
        <v>IndiaWorkshops</v>
      </c>
      <c r="B146" s="528" t="s">
        <v>175</v>
      </c>
      <c r="C146" s="528" t="s">
        <v>877</v>
      </c>
      <c r="T146" s="723"/>
    </row>
    <row r="147" spans="1:22">
      <c r="A147" t="str">
        <f t="shared" si="4"/>
        <v>IndonesiaWorkshops</v>
      </c>
      <c r="B147" s="528" t="s">
        <v>866</v>
      </c>
      <c r="C147" s="528" t="s">
        <v>877</v>
      </c>
    </row>
    <row r="148" spans="1:22" ht="17" thickBot="1">
      <c r="A148" t="str">
        <f t="shared" si="4"/>
        <v>JamaicaWorkshops</v>
      </c>
      <c r="B148" s="528" t="s">
        <v>176</v>
      </c>
      <c r="C148" s="528" t="s">
        <v>877</v>
      </c>
    </row>
    <row r="149" spans="1:22" ht="17" thickBot="1">
      <c r="A149" t="str">
        <f t="shared" si="4"/>
        <v>KenyaWorkshops</v>
      </c>
      <c r="B149" s="528" t="s">
        <v>133</v>
      </c>
      <c r="C149" s="528" t="s">
        <v>877</v>
      </c>
      <c r="D149" s="757"/>
      <c r="E149" s="757"/>
      <c r="F149" s="757"/>
      <c r="G149" s="757"/>
      <c r="H149" s="757"/>
      <c r="I149" s="757"/>
      <c r="J149" s="757"/>
      <c r="K149" s="757"/>
      <c r="L149" s="757"/>
      <c r="M149" s="757"/>
      <c r="N149" s="757"/>
      <c r="O149" s="757"/>
      <c r="P149" s="757"/>
      <c r="Q149" s="757"/>
      <c r="R149" s="757"/>
      <c r="S149" s="757"/>
      <c r="T149" s="757"/>
    </row>
    <row r="150" spans="1:22">
      <c r="A150" t="str">
        <f t="shared" si="4"/>
        <v>LesothoWorkshops</v>
      </c>
      <c r="B150" s="528" t="s">
        <v>930</v>
      </c>
      <c r="C150" s="528" t="s">
        <v>877</v>
      </c>
      <c r="D150" s="723"/>
      <c r="E150" s="723"/>
      <c r="F150" s="723"/>
      <c r="G150" s="723"/>
      <c r="H150" s="723"/>
      <c r="I150" s="723"/>
      <c r="J150" s="723"/>
      <c r="K150" s="723"/>
      <c r="L150" s="723"/>
      <c r="M150" s="723"/>
      <c r="N150" s="723"/>
      <c r="O150" s="723"/>
      <c r="P150" s="723"/>
      <c r="Q150" s="723"/>
      <c r="R150" s="723"/>
      <c r="S150" s="723"/>
      <c r="T150" s="723"/>
      <c r="U150" s="723"/>
      <c r="V150" s="723"/>
    </row>
    <row r="151" spans="1:22">
      <c r="A151" t="str">
        <f t="shared" si="4"/>
        <v>LiberiaWorkshops</v>
      </c>
      <c r="B151" s="528" t="s">
        <v>134</v>
      </c>
      <c r="C151" s="528" t="s">
        <v>877</v>
      </c>
    </row>
    <row r="152" spans="1:22">
      <c r="A152" t="str">
        <f t="shared" si="4"/>
        <v>MadagascarWorkshops</v>
      </c>
      <c r="B152" s="528" t="s">
        <v>135</v>
      </c>
      <c r="C152" s="528" t="s">
        <v>877</v>
      </c>
    </row>
    <row r="153" spans="1:22" ht="17" thickBot="1">
      <c r="A153" t="str">
        <f t="shared" si="4"/>
        <v>MalawiWorkshops</v>
      </c>
      <c r="B153" s="528" t="s">
        <v>136</v>
      </c>
      <c r="C153" s="528" t="s">
        <v>877</v>
      </c>
    </row>
    <row r="154" spans="1:22" ht="17" thickBot="1">
      <c r="A154" t="str">
        <f t="shared" si="4"/>
        <v>MalaysiaWorkshops</v>
      </c>
      <c r="B154" s="528" t="s">
        <v>177</v>
      </c>
      <c r="C154" s="528" t="s">
        <v>877</v>
      </c>
      <c r="D154" s="757"/>
      <c r="E154" s="757"/>
      <c r="F154" s="757"/>
      <c r="G154" s="757"/>
      <c r="H154" s="757"/>
      <c r="I154" s="757"/>
      <c r="J154" s="757"/>
      <c r="K154" s="757"/>
      <c r="L154" s="757"/>
      <c r="M154" s="757"/>
      <c r="N154" s="757"/>
      <c r="O154" s="757"/>
      <c r="P154" s="757"/>
      <c r="Q154" s="757"/>
      <c r="R154" s="757"/>
      <c r="S154" s="757"/>
      <c r="T154" s="757"/>
    </row>
    <row r="155" spans="1:22">
      <c r="A155" t="str">
        <f t="shared" si="4"/>
        <v>MaldivesWorkshops</v>
      </c>
      <c r="B155" s="528" t="s">
        <v>375</v>
      </c>
      <c r="C155" s="528" t="s">
        <v>877</v>
      </c>
    </row>
    <row r="156" spans="1:22">
      <c r="A156" t="str">
        <f t="shared" si="4"/>
        <v>MaliWorkshops</v>
      </c>
      <c r="B156" s="528" t="s">
        <v>137</v>
      </c>
      <c r="C156" s="528" t="s">
        <v>877</v>
      </c>
    </row>
    <row r="157" spans="1:22">
      <c r="A157" t="str">
        <f t="shared" si="4"/>
        <v>MauritiusWorkshops</v>
      </c>
      <c r="B157" s="528" t="s">
        <v>150</v>
      </c>
      <c r="C157" s="528" t="s">
        <v>877</v>
      </c>
    </row>
    <row r="158" spans="1:22" ht="17" thickBot="1">
      <c r="A158" t="str">
        <f t="shared" si="4"/>
        <v>MexicoWorkshops</v>
      </c>
      <c r="B158" s="528" t="s">
        <v>761</v>
      </c>
      <c r="C158" s="528" t="s">
        <v>877</v>
      </c>
    </row>
    <row r="159" spans="1:22" ht="17" thickBot="1">
      <c r="A159" t="str">
        <f t="shared" si="4"/>
        <v>MoldovaWorkshops</v>
      </c>
      <c r="B159" s="528" t="s">
        <v>230</v>
      </c>
      <c r="C159" s="528" t="s">
        <v>877</v>
      </c>
      <c r="D159" s="757"/>
      <c r="E159" s="757"/>
      <c r="F159" s="757"/>
      <c r="G159" s="757"/>
      <c r="H159" s="757"/>
      <c r="I159" s="757"/>
      <c r="J159" s="757"/>
      <c r="K159" s="757"/>
      <c r="L159" s="757"/>
      <c r="M159" s="757"/>
      <c r="N159" s="757"/>
      <c r="O159" s="757"/>
      <c r="P159" s="757"/>
      <c r="Q159" s="757"/>
      <c r="R159" s="760"/>
      <c r="S159" s="760"/>
    </row>
    <row r="160" spans="1:22">
      <c r="A160" t="str">
        <f t="shared" si="4"/>
        <v>MongoliaWorkshops</v>
      </c>
      <c r="B160" s="528" t="s">
        <v>178</v>
      </c>
      <c r="C160" s="528" t="s">
        <v>877</v>
      </c>
    </row>
    <row r="161" spans="1:22">
      <c r="A161" t="str">
        <f t="shared" si="4"/>
        <v>MoroccoWorkshops</v>
      </c>
      <c r="B161" s="528" t="s">
        <v>931</v>
      </c>
      <c r="C161" s="528" t="s">
        <v>877</v>
      </c>
      <c r="D161" s="723"/>
      <c r="E161" s="723"/>
      <c r="F161" s="723"/>
      <c r="G161" s="723"/>
      <c r="H161" s="723"/>
      <c r="I161" s="723"/>
      <c r="J161" s="723"/>
      <c r="K161" s="723"/>
      <c r="L161" s="723"/>
      <c r="M161" s="723"/>
      <c r="N161" s="723"/>
      <c r="O161" s="723"/>
      <c r="P161" s="723"/>
      <c r="Q161" s="723"/>
      <c r="R161" s="723"/>
      <c r="S161" s="723"/>
      <c r="T161" s="723"/>
      <c r="U161" s="723"/>
      <c r="V161" s="723"/>
    </row>
    <row r="162" spans="1:22" ht="17" thickBot="1">
      <c r="A162" t="str">
        <f t="shared" si="4"/>
        <v>MozambiqueWorkshops</v>
      </c>
      <c r="B162" s="528" t="s">
        <v>138</v>
      </c>
      <c r="C162" s="528" t="s">
        <v>877</v>
      </c>
    </row>
    <row r="163" spans="1:22" ht="17" thickBot="1">
      <c r="A163" t="str">
        <f t="shared" si="4"/>
        <v>MyanmarWorkshops</v>
      </c>
      <c r="B163" s="528" t="s">
        <v>932</v>
      </c>
      <c r="C163" s="528" t="s">
        <v>877</v>
      </c>
      <c r="D163" s="759"/>
      <c r="E163" s="759"/>
      <c r="F163" s="759"/>
      <c r="G163" s="759"/>
      <c r="H163" s="759"/>
      <c r="I163" s="759"/>
      <c r="J163" s="759"/>
      <c r="K163" s="759"/>
      <c r="L163" s="759"/>
      <c r="M163" s="759"/>
      <c r="N163" s="759"/>
      <c r="O163" s="759"/>
      <c r="P163" s="759"/>
      <c r="Q163" s="759"/>
      <c r="R163" s="761"/>
      <c r="S163" s="761"/>
      <c r="T163" s="723"/>
      <c r="U163" s="723"/>
      <c r="V163" s="723"/>
    </row>
    <row r="164" spans="1:22">
      <c r="A164" t="str">
        <f t="shared" si="4"/>
        <v>NepalWorkshops</v>
      </c>
      <c r="B164" s="528" t="s">
        <v>179</v>
      </c>
      <c r="C164" s="528" t="s">
        <v>877</v>
      </c>
    </row>
    <row r="165" spans="1:22">
      <c r="A165" t="str">
        <f t="shared" si="4"/>
        <v>NicaraguaWorkshops</v>
      </c>
      <c r="B165" s="528" t="s">
        <v>359</v>
      </c>
      <c r="C165" s="528" t="s">
        <v>877</v>
      </c>
      <c r="D165" s="740"/>
      <c r="E165" s="740"/>
      <c r="F165" s="740"/>
      <c r="G165" s="740"/>
      <c r="H165" s="740"/>
      <c r="I165" s="740"/>
      <c r="J165" s="740"/>
      <c r="K165" s="740"/>
      <c r="L165" s="740"/>
      <c r="M165" s="740">
        <v>0.98</v>
      </c>
      <c r="N165" s="740">
        <v>0.98</v>
      </c>
      <c r="O165" s="740">
        <v>0.98</v>
      </c>
      <c r="P165" s="740">
        <v>0.98</v>
      </c>
      <c r="Q165" s="740">
        <v>0.98</v>
      </c>
      <c r="R165" s="740">
        <v>0.98</v>
      </c>
      <c r="S165" s="740">
        <v>0.98</v>
      </c>
      <c r="T165" s="740"/>
    </row>
    <row r="166" spans="1:22">
      <c r="A166" t="str">
        <f t="shared" si="4"/>
        <v>NigerWorkshops</v>
      </c>
      <c r="B166" s="528" t="s">
        <v>139</v>
      </c>
      <c r="C166" s="528" t="s">
        <v>877</v>
      </c>
    </row>
    <row r="167" spans="1:22">
      <c r="A167" t="str">
        <f t="shared" si="4"/>
        <v>NigeriaWorkshops</v>
      </c>
      <c r="B167" s="528" t="s">
        <v>140</v>
      </c>
      <c r="C167" s="528" t="s">
        <v>877</v>
      </c>
    </row>
    <row r="168" spans="1:22">
      <c r="A168" t="str">
        <f t="shared" ref="A168:A199" si="5">B168&amp;C168</f>
        <v>OmanWorkshops</v>
      </c>
      <c r="B168" s="528" t="s">
        <v>933</v>
      </c>
      <c r="C168" s="528" t="s">
        <v>877</v>
      </c>
      <c r="D168" s="723"/>
      <c r="E168" s="723"/>
      <c r="F168" s="723"/>
      <c r="G168" s="723"/>
      <c r="H168" s="723"/>
      <c r="I168" s="723"/>
      <c r="J168" s="723"/>
      <c r="K168" s="723"/>
      <c r="L168" s="723"/>
      <c r="M168" s="723"/>
      <c r="N168" s="723"/>
      <c r="O168" s="723"/>
      <c r="P168" s="723"/>
      <c r="Q168" s="723"/>
      <c r="R168" s="723"/>
      <c r="S168" s="723"/>
      <c r="T168" s="723"/>
      <c r="U168" s="723"/>
      <c r="V168" s="723"/>
    </row>
    <row r="169" spans="1:22">
      <c r="A169" t="str">
        <f t="shared" si="5"/>
        <v>PanamaWorkshops</v>
      </c>
      <c r="B169" s="528" t="s">
        <v>180</v>
      </c>
      <c r="C169" s="528" t="s">
        <v>877</v>
      </c>
    </row>
    <row r="170" spans="1:22">
      <c r="A170" t="str">
        <f t="shared" si="5"/>
        <v>Papua New GuineaWorkshops</v>
      </c>
      <c r="B170" s="528" t="s">
        <v>181</v>
      </c>
      <c r="C170" s="528" t="s">
        <v>877</v>
      </c>
    </row>
    <row r="171" spans="1:22">
      <c r="A171" t="str">
        <f t="shared" si="5"/>
        <v>ParaguayWorkshops</v>
      </c>
      <c r="B171" s="528" t="s">
        <v>182</v>
      </c>
      <c r="C171" s="528" t="s">
        <v>877</v>
      </c>
      <c r="D171" s="740"/>
      <c r="E171" s="740"/>
      <c r="F171" s="740"/>
      <c r="G171" s="740"/>
      <c r="H171" s="740"/>
      <c r="I171" s="740"/>
      <c r="J171" s="740"/>
      <c r="K171" s="740"/>
      <c r="L171" s="740"/>
      <c r="M171" s="740"/>
      <c r="N171" s="740"/>
      <c r="O171" s="740">
        <v>0.6</v>
      </c>
      <c r="P171" s="740"/>
      <c r="Q171" s="740"/>
      <c r="R171" s="740"/>
      <c r="S171" s="740"/>
      <c r="T171" s="740"/>
    </row>
    <row r="172" spans="1:22">
      <c r="A172" t="str">
        <f t="shared" si="5"/>
        <v>PeruWorkshops</v>
      </c>
      <c r="B172" s="528" t="s">
        <v>360</v>
      </c>
      <c r="C172" s="528" t="s">
        <v>877</v>
      </c>
    </row>
    <row r="173" spans="1:22">
      <c r="A173" t="str">
        <f t="shared" si="5"/>
        <v>Republic of the CongoWorkshops</v>
      </c>
      <c r="B173" s="528" t="s">
        <v>934</v>
      </c>
      <c r="C173" s="528" t="s">
        <v>877</v>
      </c>
      <c r="D173" s="723"/>
      <c r="E173" s="723"/>
      <c r="F173" s="723"/>
      <c r="G173" s="723"/>
      <c r="H173" s="723"/>
      <c r="I173" s="723"/>
      <c r="J173" s="723"/>
      <c r="K173" s="723"/>
      <c r="L173" s="723"/>
      <c r="M173" s="723"/>
      <c r="N173" s="723"/>
      <c r="O173" s="723"/>
      <c r="P173" s="723"/>
      <c r="Q173" s="723"/>
      <c r="R173" s="723"/>
      <c r="S173" s="723"/>
      <c r="T173" s="723"/>
      <c r="U173" s="723"/>
      <c r="V173" s="723"/>
    </row>
    <row r="174" spans="1:22">
      <c r="A174" t="str">
        <f t="shared" si="5"/>
        <v>RwandaWorkshops</v>
      </c>
      <c r="B174" s="528" t="s">
        <v>953</v>
      </c>
      <c r="C174" s="528" t="s">
        <v>877</v>
      </c>
      <c r="D174" s="723"/>
      <c r="E174" s="723"/>
      <c r="F174" s="723"/>
      <c r="G174" s="723"/>
      <c r="H174" s="723"/>
      <c r="I174" s="723"/>
      <c r="J174" s="723"/>
      <c r="K174" s="723"/>
      <c r="L174" s="723"/>
      <c r="M174" s="723"/>
      <c r="N174" s="723"/>
      <c r="O174" s="723"/>
      <c r="P174" s="723"/>
      <c r="Q174" s="723"/>
      <c r="R174" s="723"/>
      <c r="S174" s="723"/>
      <c r="T174" s="723"/>
      <c r="U174" s="723"/>
      <c r="V174" s="723"/>
    </row>
    <row r="175" spans="1:22">
      <c r="A175" t="str">
        <f t="shared" si="5"/>
        <v>Saint Kitts &amp; NevisWorkshops</v>
      </c>
      <c r="B175" s="528" t="s">
        <v>361</v>
      </c>
      <c r="C175" s="528" t="s">
        <v>877</v>
      </c>
    </row>
    <row r="176" spans="1:22">
      <c r="A176" t="str">
        <f t="shared" si="5"/>
        <v>Saint LuciaWorkshops</v>
      </c>
      <c r="B176" s="528" t="s">
        <v>362</v>
      </c>
      <c r="C176" s="528" t="s">
        <v>877</v>
      </c>
    </row>
    <row r="177" spans="1:22">
      <c r="A177" t="str">
        <f t="shared" si="5"/>
        <v>Saint Vincent &amp; the GrenadinesWorkshops</v>
      </c>
      <c r="B177" s="528" t="s">
        <v>363</v>
      </c>
      <c r="C177" s="528" t="s">
        <v>877</v>
      </c>
    </row>
    <row r="178" spans="1:22">
      <c r="A178" t="str">
        <f t="shared" si="5"/>
        <v>SamoaWorkshops</v>
      </c>
      <c r="B178" s="528" t="s">
        <v>183</v>
      </c>
      <c r="C178" s="528" t="s">
        <v>877</v>
      </c>
      <c r="D178" s="738"/>
      <c r="E178" s="738"/>
      <c r="F178" s="738"/>
      <c r="G178" s="738"/>
      <c r="H178" s="738"/>
      <c r="I178" s="738"/>
      <c r="J178" s="738"/>
      <c r="K178" s="738"/>
      <c r="L178" s="738">
        <v>1</v>
      </c>
      <c r="M178" s="738">
        <v>1</v>
      </c>
      <c r="N178" s="738">
        <v>1</v>
      </c>
      <c r="O178" s="738">
        <v>1</v>
      </c>
      <c r="P178" s="738">
        <v>1</v>
      </c>
      <c r="Q178" s="738">
        <v>1</v>
      </c>
      <c r="R178" s="738">
        <v>1</v>
      </c>
      <c r="S178" s="738">
        <v>1</v>
      </c>
    </row>
    <row r="179" spans="1:22">
      <c r="A179" t="str">
        <f t="shared" si="5"/>
        <v>Sao Tome &amp; PrincipeWorkshops</v>
      </c>
      <c r="B179" s="528" t="s">
        <v>364</v>
      </c>
      <c r="C179" s="528" t="s">
        <v>877</v>
      </c>
    </row>
    <row r="180" spans="1:22">
      <c r="A180" t="str">
        <f t="shared" si="5"/>
        <v>Saudi ArabiaWorkshops</v>
      </c>
      <c r="B180" s="528" t="s">
        <v>935</v>
      </c>
      <c r="C180" s="528" t="s">
        <v>877</v>
      </c>
      <c r="D180" s="723"/>
      <c r="E180" s="723"/>
      <c r="F180" s="723"/>
      <c r="G180" s="723"/>
      <c r="H180" s="723"/>
      <c r="I180" s="723"/>
      <c r="J180" s="723"/>
      <c r="K180" s="723"/>
      <c r="L180" s="723"/>
      <c r="M180" s="723"/>
      <c r="N180" s="723"/>
      <c r="O180" s="723"/>
      <c r="P180" s="723"/>
      <c r="Q180" s="723"/>
      <c r="R180" s="723"/>
      <c r="S180" s="723"/>
      <c r="T180" s="723"/>
      <c r="U180" s="723"/>
      <c r="V180" s="723"/>
    </row>
    <row r="181" spans="1:22">
      <c r="A181" t="str">
        <f t="shared" si="5"/>
        <v>SenegalWorkshops</v>
      </c>
      <c r="B181" s="528" t="s">
        <v>141</v>
      </c>
      <c r="C181" s="528" t="s">
        <v>877</v>
      </c>
    </row>
    <row r="182" spans="1:22">
      <c r="A182" t="str">
        <f t="shared" si="5"/>
        <v>SeychellesWorkshops</v>
      </c>
      <c r="B182" s="528" t="s">
        <v>151</v>
      </c>
      <c r="C182" s="528" t="s">
        <v>877</v>
      </c>
    </row>
    <row r="183" spans="1:22">
      <c r="A183" t="str">
        <f t="shared" si="5"/>
        <v>Sierra LeoneWorkshops</v>
      </c>
      <c r="B183" s="528" t="s">
        <v>936</v>
      </c>
      <c r="C183" s="528" t="s">
        <v>877</v>
      </c>
      <c r="D183" s="723"/>
      <c r="E183" s="723"/>
      <c r="F183" s="723"/>
      <c r="G183" s="723"/>
      <c r="H183" s="723"/>
      <c r="I183" s="723"/>
      <c r="J183" s="723"/>
      <c r="K183" s="723"/>
      <c r="L183" s="723"/>
      <c r="M183" s="723"/>
      <c r="N183" s="723"/>
      <c r="O183" s="723"/>
      <c r="P183" s="723"/>
      <c r="Q183" s="723"/>
      <c r="R183" s="723"/>
      <c r="S183" s="723"/>
      <c r="T183" s="723"/>
      <c r="U183" s="723"/>
      <c r="V183" s="723"/>
    </row>
    <row r="184" spans="1:22">
      <c r="A184" t="str">
        <f t="shared" si="5"/>
        <v>SomaliaWorkshops</v>
      </c>
      <c r="B184" s="528" t="s">
        <v>937</v>
      </c>
      <c r="C184" s="528" t="s">
        <v>877</v>
      </c>
      <c r="D184" s="723"/>
      <c r="E184" s="723"/>
      <c r="F184" s="723"/>
      <c r="G184" s="723"/>
      <c r="H184" s="723"/>
      <c r="I184" s="723"/>
      <c r="J184" s="723"/>
      <c r="K184" s="723"/>
      <c r="L184" s="723"/>
      <c r="M184" s="723"/>
      <c r="N184" s="723"/>
      <c r="O184" s="723"/>
      <c r="P184" s="723"/>
      <c r="Q184" s="723"/>
      <c r="R184" s="723"/>
      <c r="S184" s="723"/>
      <c r="T184" s="723"/>
      <c r="U184" s="723"/>
      <c r="V184" s="723"/>
    </row>
    <row r="185" spans="1:22">
      <c r="A185" t="str">
        <f t="shared" si="5"/>
        <v>South AfricaWorkshops</v>
      </c>
      <c r="B185" s="528" t="s">
        <v>0</v>
      </c>
      <c r="C185" s="528" t="s">
        <v>877</v>
      </c>
      <c r="D185" s="738"/>
      <c r="E185" s="738"/>
      <c r="F185" s="738">
        <v>0.73</v>
      </c>
      <c r="G185" s="738">
        <v>0.73</v>
      </c>
      <c r="H185" s="738">
        <v>0.7</v>
      </c>
      <c r="I185" s="738">
        <v>0.7</v>
      </c>
      <c r="J185" s="738">
        <v>0.7</v>
      </c>
      <c r="K185" s="738">
        <v>0.7</v>
      </c>
      <c r="L185" s="738">
        <v>0.7</v>
      </c>
      <c r="M185" s="738">
        <v>0.7</v>
      </c>
      <c r="N185" s="738">
        <v>0.7</v>
      </c>
      <c r="O185" s="738">
        <v>0.7</v>
      </c>
      <c r="P185" s="738">
        <v>0.7</v>
      </c>
      <c r="Q185" s="738">
        <v>0.7</v>
      </c>
      <c r="R185" s="738">
        <v>0.7</v>
      </c>
      <c r="S185" s="738">
        <v>0.68</v>
      </c>
    </row>
    <row r="186" spans="1:22">
      <c r="A186" t="str">
        <f t="shared" si="5"/>
        <v>South SudanWorkshops</v>
      </c>
      <c r="B186" s="528" t="s">
        <v>938</v>
      </c>
      <c r="C186" s="528" t="s">
        <v>877</v>
      </c>
      <c r="D186" s="723"/>
      <c r="E186" s="723"/>
      <c r="F186" s="723"/>
      <c r="G186" s="723"/>
      <c r="H186" s="723"/>
      <c r="I186" s="723"/>
      <c r="J186" s="723"/>
      <c r="K186" s="723"/>
      <c r="L186" s="723"/>
      <c r="M186" s="723"/>
      <c r="N186" s="723"/>
      <c r="O186" s="723"/>
      <c r="P186" s="723"/>
      <c r="Q186" s="723"/>
      <c r="R186" s="723"/>
      <c r="S186" s="723"/>
      <c r="T186" s="723"/>
      <c r="U186" s="723"/>
      <c r="V186" s="723"/>
    </row>
    <row r="187" spans="1:22">
      <c r="A187" t="str">
        <f t="shared" si="5"/>
        <v>Solomon IslandsWorkshops</v>
      </c>
      <c r="B187" s="528" t="s">
        <v>950</v>
      </c>
      <c r="C187" s="528" t="s">
        <v>877</v>
      </c>
      <c r="D187" s="723"/>
      <c r="E187" s="723"/>
      <c r="F187" s="723"/>
      <c r="G187" s="723"/>
      <c r="H187" s="723"/>
      <c r="I187" s="723"/>
      <c r="J187" s="723"/>
      <c r="K187" s="723"/>
      <c r="L187" s="723"/>
      <c r="M187" s="723"/>
      <c r="N187" s="723"/>
      <c r="O187" s="723"/>
      <c r="P187" s="723"/>
      <c r="Q187" s="723"/>
      <c r="R187" s="723"/>
      <c r="S187" s="723"/>
      <c r="T187" s="723"/>
      <c r="U187" s="723"/>
      <c r="V187" s="723"/>
    </row>
    <row r="188" spans="1:22">
      <c r="A188" t="str">
        <f t="shared" si="5"/>
        <v>Sri LankaWorkshops</v>
      </c>
      <c r="B188" s="528" t="s">
        <v>374</v>
      </c>
      <c r="C188" s="528" t="s">
        <v>877</v>
      </c>
    </row>
    <row r="189" spans="1:22">
      <c r="A189" t="str">
        <f t="shared" si="5"/>
        <v>SurinameWorkshops</v>
      </c>
      <c r="B189" s="528" t="s">
        <v>365</v>
      </c>
      <c r="C189" s="528" t="s">
        <v>877</v>
      </c>
    </row>
    <row r="190" spans="1:22">
      <c r="A190" t="str">
        <f t="shared" si="5"/>
        <v>TanzaniaWorkshops</v>
      </c>
      <c r="B190" s="528" t="s">
        <v>143</v>
      </c>
      <c r="C190" s="528" t="s">
        <v>877</v>
      </c>
    </row>
    <row r="191" spans="1:22">
      <c r="A191" t="str">
        <f t="shared" si="5"/>
        <v>ThailandWorkshops</v>
      </c>
      <c r="B191" s="528" t="s">
        <v>185</v>
      </c>
      <c r="C191" s="528" t="s">
        <v>877</v>
      </c>
      <c r="D191" s="723"/>
      <c r="E191" s="723"/>
      <c r="F191" s="723"/>
      <c r="G191" s="723"/>
      <c r="H191" s="723"/>
      <c r="I191" s="723"/>
      <c r="J191" s="723"/>
      <c r="K191" s="723"/>
      <c r="L191" s="723"/>
      <c r="M191" s="723"/>
      <c r="N191" s="723"/>
      <c r="O191" s="723"/>
      <c r="P191" s="723"/>
      <c r="Q191" s="723"/>
      <c r="R191" s="723"/>
      <c r="S191" s="723"/>
      <c r="T191" s="723"/>
      <c r="U191" s="723"/>
      <c r="V191" s="723"/>
    </row>
    <row r="192" spans="1:22">
      <c r="A192" t="str">
        <f t="shared" si="5"/>
        <v>TogoWorkshops</v>
      </c>
      <c r="B192" s="528" t="s">
        <v>142</v>
      </c>
      <c r="C192" s="528" t="s">
        <v>877</v>
      </c>
      <c r="D192" s="723"/>
      <c r="E192" s="723"/>
      <c r="F192" s="723"/>
      <c r="G192" s="723"/>
      <c r="H192" s="723"/>
      <c r="I192" s="723"/>
      <c r="J192" s="723"/>
      <c r="K192" s="723"/>
      <c r="L192" s="723"/>
      <c r="M192" s="723"/>
      <c r="N192" s="723"/>
      <c r="O192" s="723"/>
      <c r="P192" s="723"/>
      <c r="Q192" s="723"/>
      <c r="R192" s="723"/>
      <c r="S192" s="723"/>
      <c r="T192" s="723"/>
      <c r="U192" s="723"/>
      <c r="V192" s="723"/>
    </row>
    <row r="193" spans="1:22">
      <c r="A193" t="str">
        <f t="shared" si="5"/>
        <v>Trinidad &amp; TobagoWorkshops</v>
      </c>
      <c r="B193" s="528" t="s">
        <v>366</v>
      </c>
      <c r="C193" s="528" t="s">
        <v>877</v>
      </c>
      <c r="D193" s="723"/>
      <c r="E193" s="723"/>
      <c r="F193" s="723"/>
      <c r="G193" s="723"/>
      <c r="H193" s="723"/>
      <c r="I193" s="723"/>
      <c r="J193" s="723"/>
      <c r="K193" s="723"/>
      <c r="L193" s="723"/>
      <c r="M193" s="723"/>
      <c r="N193" s="723"/>
      <c r="O193" s="723"/>
      <c r="P193" s="723"/>
      <c r="Q193" s="723"/>
      <c r="R193" s="723"/>
      <c r="S193" s="723"/>
      <c r="T193" s="723"/>
      <c r="U193" s="723"/>
      <c r="V193" s="723"/>
    </row>
    <row r="194" spans="1:22">
      <c r="A194" t="str">
        <f t="shared" si="5"/>
        <v>UgandaWorkshops</v>
      </c>
      <c r="B194" s="528" t="s">
        <v>144</v>
      </c>
      <c r="C194" s="528" t="s">
        <v>877</v>
      </c>
      <c r="D194" s="723"/>
      <c r="E194" s="723"/>
      <c r="F194" s="723"/>
      <c r="G194" s="723"/>
      <c r="H194" s="723"/>
      <c r="I194" s="723"/>
      <c r="J194" s="723"/>
      <c r="K194" s="723"/>
      <c r="L194" s="723"/>
      <c r="M194" s="723"/>
      <c r="N194" s="723"/>
      <c r="O194" s="723"/>
      <c r="P194" s="723"/>
      <c r="Q194" s="723"/>
      <c r="R194" s="723"/>
      <c r="S194" s="723"/>
      <c r="T194" s="723"/>
      <c r="U194" s="723"/>
      <c r="V194" s="723"/>
    </row>
    <row r="195" spans="1:22">
      <c r="A195" t="str">
        <f t="shared" si="5"/>
        <v>UkraineWorkshops</v>
      </c>
      <c r="B195" s="528" t="s">
        <v>186</v>
      </c>
      <c r="C195" s="528" t="s">
        <v>877</v>
      </c>
      <c r="D195" s="723"/>
      <c r="E195" s="723"/>
      <c r="F195" s="723"/>
      <c r="G195" s="723"/>
      <c r="H195" s="723"/>
      <c r="I195" s="723"/>
      <c r="J195" s="723"/>
      <c r="K195" s="723"/>
      <c r="L195" s="723"/>
      <c r="M195" s="723"/>
      <c r="N195" s="723"/>
      <c r="O195" s="723"/>
      <c r="P195" s="723"/>
      <c r="Q195" s="723"/>
      <c r="R195" s="723"/>
      <c r="S195" s="723"/>
      <c r="T195" s="723"/>
      <c r="U195" s="723"/>
      <c r="V195" s="723"/>
    </row>
    <row r="196" spans="1:22">
      <c r="A196" t="str">
        <f t="shared" si="5"/>
        <v>UruguayWorkshops</v>
      </c>
      <c r="B196" s="528" t="s">
        <v>187</v>
      </c>
      <c r="C196" s="528" t="s">
        <v>877</v>
      </c>
      <c r="D196" s="723"/>
      <c r="E196" s="723"/>
      <c r="F196" s="723"/>
      <c r="G196" s="723"/>
      <c r="H196" s="723"/>
      <c r="I196" s="723"/>
      <c r="J196" s="723"/>
      <c r="K196" s="723"/>
      <c r="L196" s="723"/>
      <c r="M196" s="723"/>
      <c r="N196" s="723"/>
      <c r="O196" s="723"/>
      <c r="P196" s="723"/>
      <c r="Q196" s="723"/>
      <c r="R196" s="723"/>
      <c r="S196" s="723"/>
      <c r="T196" s="723"/>
      <c r="U196" s="723"/>
      <c r="V196" s="723"/>
    </row>
    <row r="197" spans="1:22">
      <c r="A197" t="str">
        <f t="shared" si="5"/>
        <v>VenezuelaWorkshops</v>
      </c>
      <c r="B197" s="528" t="s">
        <v>188</v>
      </c>
      <c r="C197" s="528" t="s">
        <v>877</v>
      </c>
      <c r="D197" s="723"/>
      <c r="E197" s="723"/>
      <c r="F197" s="723"/>
      <c r="G197" s="723"/>
      <c r="H197" s="723"/>
      <c r="I197" s="723"/>
      <c r="J197" s="723"/>
      <c r="K197" s="723"/>
      <c r="L197" s="723"/>
      <c r="M197" s="723"/>
      <c r="N197" s="723"/>
      <c r="O197" s="723"/>
      <c r="P197" s="723"/>
      <c r="Q197" s="723"/>
      <c r="R197" s="723"/>
      <c r="S197" s="723"/>
      <c r="T197" s="723"/>
      <c r="U197" s="723"/>
      <c r="V197" s="723"/>
    </row>
    <row r="198" spans="1:22">
      <c r="A198" t="str">
        <f t="shared" si="5"/>
        <v>ZambiaWorkshops</v>
      </c>
      <c r="B198" s="528" t="s">
        <v>124</v>
      </c>
      <c r="C198" s="528" t="s">
        <v>877</v>
      </c>
      <c r="D198" s="723"/>
      <c r="E198" s="723"/>
      <c r="F198" s="723"/>
      <c r="G198" s="723"/>
      <c r="H198" s="723"/>
      <c r="I198" s="723"/>
      <c r="J198" s="723"/>
      <c r="K198" s="723"/>
      <c r="L198" s="723"/>
      <c r="M198" s="723"/>
      <c r="N198" s="723"/>
      <c r="O198" s="723"/>
      <c r="P198" s="723"/>
      <c r="Q198" s="723"/>
      <c r="R198" s="723"/>
      <c r="S198" s="723"/>
      <c r="T198" s="723"/>
      <c r="U198" s="723"/>
      <c r="V198" s="723"/>
    </row>
    <row r="199" spans="1:22">
      <c r="A199" t="str">
        <f t="shared" si="5"/>
        <v>ZimbabweWorkshops</v>
      </c>
      <c r="B199" s="528" t="s">
        <v>125</v>
      </c>
      <c r="C199" s="528" t="s">
        <v>877</v>
      </c>
      <c r="D199" s="723"/>
      <c r="E199" s="723"/>
      <c r="F199" s="723"/>
      <c r="G199" s="723"/>
      <c r="H199" s="723"/>
      <c r="I199" s="723"/>
      <c r="J199" s="723"/>
      <c r="K199" s="723"/>
      <c r="L199" s="723"/>
      <c r="M199" s="723"/>
      <c r="N199" s="723"/>
      <c r="O199" s="723"/>
      <c r="P199" s="723"/>
      <c r="Q199" s="723"/>
      <c r="R199" s="723"/>
      <c r="S199" s="723"/>
      <c r="T199" s="723"/>
      <c r="U199" s="723"/>
      <c r="V199" s="723"/>
    </row>
    <row r="200" spans="1:22">
      <c r="D200" s="723"/>
      <c r="E200" s="723"/>
      <c r="F200" s="723"/>
      <c r="G200" s="723"/>
      <c r="H200" s="723"/>
      <c r="I200" s="723"/>
      <c r="J200" s="723"/>
      <c r="K200" s="723"/>
      <c r="L200" s="723"/>
      <c r="M200" s="723"/>
      <c r="N200" s="723"/>
      <c r="O200" s="723"/>
      <c r="P200" s="723"/>
      <c r="Q200" s="723"/>
      <c r="R200" s="723"/>
      <c r="S200" s="723"/>
      <c r="T200" s="723"/>
      <c r="U200" s="723"/>
      <c r="V200" s="723"/>
    </row>
    <row r="201" spans="1:22">
      <c r="D201" s="723"/>
      <c r="E201" s="723"/>
      <c r="F201" s="723"/>
      <c r="G201" s="723"/>
      <c r="H201" s="723"/>
      <c r="I201" s="723"/>
      <c r="J201" s="723"/>
      <c r="K201" s="723"/>
      <c r="L201" s="723"/>
      <c r="M201" s="723"/>
      <c r="N201" s="723"/>
      <c r="O201" s="723"/>
      <c r="P201" s="723"/>
      <c r="Q201" s="723"/>
      <c r="R201" s="723"/>
      <c r="S201" s="723"/>
      <c r="T201" s="723"/>
      <c r="U201" s="723"/>
      <c r="V201" s="723"/>
    </row>
    <row r="202" spans="1:22">
      <c r="D202" s="723"/>
      <c r="E202" s="723"/>
      <c r="F202" s="723"/>
      <c r="G202" s="723"/>
      <c r="H202" s="723"/>
      <c r="I202" s="723"/>
      <c r="J202" s="723"/>
      <c r="K202" s="723"/>
      <c r="L202" s="723"/>
      <c r="M202" s="723"/>
      <c r="N202" s="723"/>
      <c r="O202" s="723"/>
      <c r="P202" s="723"/>
      <c r="Q202" s="723"/>
      <c r="R202" s="723"/>
      <c r="S202" s="723"/>
      <c r="T202" s="723"/>
      <c r="U202" s="723"/>
      <c r="V202" s="723"/>
    </row>
    <row r="203" spans="1:22">
      <c r="D203" s="723"/>
      <c r="E203" s="723"/>
      <c r="F203" s="723"/>
      <c r="G203" s="723"/>
      <c r="H203" s="723"/>
      <c r="I203" s="723"/>
      <c r="J203" s="723"/>
      <c r="K203" s="723"/>
      <c r="L203" s="723"/>
      <c r="M203" s="723"/>
      <c r="N203" s="723"/>
      <c r="O203" s="723"/>
      <c r="P203" s="723"/>
      <c r="Q203" s="723"/>
      <c r="R203" s="723"/>
      <c r="S203" s="723"/>
      <c r="T203" s="723"/>
      <c r="U203" s="723"/>
      <c r="V203" s="723"/>
    </row>
    <row r="204" spans="1:22">
      <c r="D204" s="723"/>
      <c r="E204" s="723"/>
      <c r="F204" s="723"/>
      <c r="G204" s="723"/>
      <c r="H204" s="723"/>
      <c r="I204" s="723"/>
      <c r="J204" s="723"/>
      <c r="K204" s="723"/>
      <c r="L204" s="723"/>
      <c r="M204" s="723"/>
      <c r="N204" s="723"/>
      <c r="O204" s="723"/>
      <c r="P204" s="723"/>
      <c r="Q204" s="723"/>
      <c r="R204" s="723"/>
      <c r="S204" s="723"/>
      <c r="T204" s="723"/>
      <c r="U204" s="723"/>
      <c r="V204" s="723"/>
    </row>
    <row r="205" spans="1:22">
      <c r="D205" s="723"/>
      <c r="E205" s="723"/>
      <c r="F205" s="723"/>
      <c r="G205" s="723"/>
      <c r="H205" s="723"/>
      <c r="I205" s="723"/>
      <c r="J205" s="723"/>
      <c r="K205" s="723"/>
      <c r="L205" s="723"/>
      <c r="M205" s="723"/>
      <c r="N205" s="723"/>
      <c r="O205" s="723"/>
      <c r="P205" s="723"/>
      <c r="Q205" s="723"/>
      <c r="R205" s="723"/>
      <c r="S205" s="723"/>
      <c r="T205" s="723"/>
      <c r="U205" s="723"/>
      <c r="V205" s="723"/>
    </row>
    <row r="206" spans="1:22">
      <c r="D206" s="723"/>
      <c r="E206" s="723"/>
      <c r="F206" s="723"/>
      <c r="G206" s="723"/>
      <c r="H206" s="723"/>
      <c r="I206" s="723"/>
      <c r="J206" s="723"/>
      <c r="K206" s="723"/>
      <c r="L206" s="723"/>
      <c r="M206" s="723"/>
      <c r="N206" s="723"/>
      <c r="O206" s="723"/>
      <c r="P206" s="723"/>
      <c r="Q206" s="723"/>
      <c r="R206" s="723"/>
      <c r="S206" s="723"/>
      <c r="T206" s="723"/>
      <c r="U206" s="723"/>
      <c r="V206" s="723"/>
    </row>
    <row r="207" spans="1:22">
      <c r="D207" s="723"/>
      <c r="E207" s="723"/>
      <c r="F207" s="723"/>
      <c r="G207" s="723"/>
      <c r="H207" s="723"/>
      <c r="I207" s="723"/>
      <c r="J207" s="723"/>
      <c r="K207" s="723"/>
      <c r="L207" s="723"/>
      <c r="M207" s="723"/>
      <c r="N207" s="723"/>
      <c r="O207" s="723"/>
      <c r="P207" s="723"/>
      <c r="Q207" s="723"/>
      <c r="R207" s="723"/>
      <c r="S207" s="723"/>
      <c r="T207" s="723"/>
      <c r="U207" s="723"/>
      <c r="V207" s="723"/>
    </row>
    <row r="208" spans="1:22">
      <c r="D208" s="723"/>
      <c r="E208" s="723"/>
      <c r="F208" s="723"/>
      <c r="G208" s="723"/>
      <c r="H208" s="723"/>
      <c r="I208" s="723"/>
      <c r="J208" s="723"/>
      <c r="K208" s="723"/>
      <c r="L208" s="723"/>
      <c r="M208" s="723"/>
      <c r="N208" s="723"/>
      <c r="O208" s="723"/>
      <c r="P208" s="723"/>
      <c r="Q208" s="723"/>
      <c r="R208" s="723"/>
      <c r="S208" s="723"/>
      <c r="T208" s="723"/>
      <c r="U208" s="723"/>
      <c r="V208" s="723"/>
    </row>
    <row r="209" spans="4:22">
      <c r="D209" s="723"/>
      <c r="E209" s="723"/>
      <c r="F209" s="723"/>
      <c r="G209" s="723"/>
      <c r="H209" s="723"/>
      <c r="I209" s="723"/>
      <c r="J209" s="723"/>
      <c r="K209" s="723"/>
      <c r="L209" s="723"/>
      <c r="M209" s="723"/>
      <c r="N209" s="723"/>
      <c r="O209" s="723"/>
      <c r="P209" s="723"/>
      <c r="Q209" s="723"/>
      <c r="R209" s="723"/>
      <c r="S209" s="723"/>
      <c r="T209" s="723"/>
      <c r="U209" s="723"/>
      <c r="V209" s="723"/>
    </row>
    <row r="210" spans="4:22">
      <c r="D210" s="723"/>
      <c r="E210" s="723"/>
      <c r="F210" s="723"/>
      <c r="G210" s="723"/>
      <c r="H210" s="723"/>
      <c r="I210" s="723"/>
      <c r="J210" s="723"/>
      <c r="K210" s="723"/>
      <c r="L210" s="723"/>
      <c r="M210" s="723"/>
      <c r="N210" s="723"/>
      <c r="O210" s="723"/>
      <c r="P210" s="723"/>
      <c r="Q210" s="723"/>
      <c r="R210" s="723"/>
      <c r="S210" s="723"/>
      <c r="T210" s="723"/>
      <c r="U210" s="723"/>
      <c r="V210" s="723"/>
    </row>
    <row r="211" spans="4:22">
      <c r="D211" s="723"/>
      <c r="E211" s="723"/>
      <c r="F211" s="723"/>
      <c r="G211" s="723"/>
      <c r="H211" s="723"/>
      <c r="I211" s="723"/>
      <c r="J211" s="723"/>
      <c r="K211" s="723"/>
      <c r="L211" s="723"/>
      <c r="M211" s="723"/>
      <c r="N211" s="723"/>
      <c r="O211" s="723"/>
      <c r="P211" s="723"/>
      <c r="Q211" s="723"/>
      <c r="R211" s="723"/>
      <c r="S211" s="723"/>
      <c r="T211" s="723"/>
      <c r="U211" s="723"/>
      <c r="V211" s="723"/>
    </row>
  </sheetData>
  <sortState xmlns:xlrd2="http://schemas.microsoft.com/office/spreadsheetml/2017/richdata2" ref="A2:V211">
    <sortCondition ref="C2:C211"/>
    <sortCondition ref="B2:B211"/>
  </sortState>
  <customSheetViews>
    <customSheetView guid="{8967CA62-3554-8A40-ACFF-3515F2B518C8}" scale="88" topLeftCell="A107">
      <selection activeCell="D148" sqref="D148:T148"/>
      <pageMargins left="0.7" right="0.7" top="0.75" bottom="0.75" header="0.3" footer="0.3"/>
    </customSheetView>
    <customSheetView guid="{EB877D66-0749-4C48-89AA-FFA94A34014C}" scale="88" state="hidden" topLeftCell="A107">
      <selection activeCell="N48" sqref="N48"/>
      <pageMargins left="0.7" right="0.7" top="0.75" bottom="0.75" header="0.3" footer="0.3"/>
    </customSheetView>
  </customSheetViews>
  <dataValidations count="2">
    <dataValidation type="list" allowBlank="1" showInputMessage="1" showErrorMessage="1" sqref="D123:S123 D163:S163 D159:S159" xr:uid="{00000000-0002-0000-0E00-000000000000}">
      <formula1>$B$3:$B$107</formula1>
    </dataValidation>
    <dataValidation type="decimal" allowBlank="1" showInputMessage="1" showErrorMessage="1" sqref="D132:T132 D149:T149 D154:T154 D118:T118" xr:uid="{00000000-0002-0000-0E00-000001000000}">
      <formula1>0</formula1>
      <formula2>100</formula2>
    </dataValidation>
  </dataValidation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X299"/>
  <sheetViews>
    <sheetView topLeftCell="A144" zoomScale="67" workbookViewId="0">
      <selection activeCell="N48" sqref="N48"/>
    </sheetView>
  </sheetViews>
  <sheetFormatPr baseColWidth="10" defaultRowHeight="16"/>
  <cols>
    <col min="1" max="19" width="10.83203125" style="528"/>
    <col min="20" max="20" width="12.33203125" style="530" bestFit="1" customWidth="1"/>
    <col min="21" max="16384" width="10.83203125" style="528"/>
  </cols>
  <sheetData>
    <row r="1" spans="1:24">
      <c r="A1" s="528" t="s">
        <v>875</v>
      </c>
      <c r="B1" s="528" t="s">
        <v>871</v>
      </c>
      <c r="C1" s="528" t="s">
        <v>872</v>
      </c>
      <c r="D1" s="528">
        <v>2003</v>
      </c>
      <c r="E1" s="528">
        <v>2004</v>
      </c>
      <c r="F1" s="528">
        <v>2005</v>
      </c>
      <c r="G1" s="528">
        <v>2006</v>
      </c>
      <c r="H1" s="528">
        <v>2007</v>
      </c>
      <c r="I1" s="528">
        <v>2008</v>
      </c>
      <c r="J1" s="528">
        <v>2009</v>
      </c>
      <c r="K1" s="528">
        <v>2010</v>
      </c>
      <c r="L1" s="528">
        <v>2011</v>
      </c>
      <c r="M1" s="528">
        <v>2012</v>
      </c>
      <c r="N1" s="528">
        <v>2013</v>
      </c>
      <c r="O1" s="528">
        <v>2014</v>
      </c>
      <c r="P1" s="528">
        <v>2015</v>
      </c>
      <c r="Q1" s="528">
        <v>2016</v>
      </c>
      <c r="R1" s="528">
        <v>2017</v>
      </c>
      <c r="S1" s="528">
        <v>2018</v>
      </c>
      <c r="T1" s="722">
        <v>2019</v>
      </c>
      <c r="U1" s="528">
        <v>2020</v>
      </c>
    </row>
    <row r="2" spans="1:24">
      <c r="A2" t="str">
        <f t="shared" ref="A2:A67" si="0">B2&amp;C2</f>
        <v>AfghanistanGAM</v>
      </c>
      <c r="B2" s="528" t="s">
        <v>928</v>
      </c>
      <c r="C2" s="528" t="s">
        <v>873</v>
      </c>
      <c r="I2" s="536"/>
      <c r="J2" s="536"/>
      <c r="K2" s="536"/>
      <c r="L2" s="536"/>
      <c r="M2" s="536"/>
      <c r="N2" s="536"/>
      <c r="O2" s="536"/>
      <c r="P2" s="536"/>
      <c r="Q2" s="536">
        <v>3.0000000000000001E-3</v>
      </c>
      <c r="R2" s="536"/>
      <c r="S2" s="536">
        <v>3.0000000000000001E-3</v>
      </c>
      <c r="T2" s="536">
        <v>3.0000000000000001E-3</v>
      </c>
      <c r="U2" s="536"/>
      <c r="V2" s="536"/>
      <c r="W2" s="536"/>
      <c r="X2" s="536"/>
    </row>
    <row r="3" spans="1:24">
      <c r="A3" t="str">
        <f t="shared" si="0"/>
        <v>AngolaGAM</v>
      </c>
      <c r="B3" s="528" t="s">
        <v>929</v>
      </c>
      <c r="C3" s="528" t="s">
        <v>873</v>
      </c>
      <c r="I3" s="536"/>
      <c r="J3" s="536"/>
      <c r="K3" s="536"/>
      <c r="L3" s="536"/>
      <c r="M3" s="536"/>
      <c r="N3" s="536"/>
      <c r="O3" s="536"/>
      <c r="P3" s="536"/>
      <c r="Q3" s="536"/>
      <c r="R3" s="536"/>
      <c r="S3" s="536">
        <v>3.4000000000000002E-2</v>
      </c>
      <c r="T3" s="536">
        <v>2.5000000000000001E-2</v>
      </c>
      <c r="U3" s="536"/>
      <c r="V3" s="536"/>
      <c r="W3" s="536"/>
      <c r="X3" s="536"/>
    </row>
    <row r="4" spans="1:24">
      <c r="A4" s="528" t="str">
        <f t="shared" si="0"/>
        <v>Antigua &amp; BarbudaGAM</v>
      </c>
      <c r="B4" s="528" t="s">
        <v>343</v>
      </c>
      <c r="C4" s="528" t="s">
        <v>873</v>
      </c>
      <c r="D4" s="529"/>
      <c r="E4" s="530"/>
      <c r="F4" s="530"/>
      <c r="G4" s="530"/>
      <c r="H4" s="530"/>
      <c r="I4" s="509"/>
      <c r="J4" s="510"/>
      <c r="K4" s="510"/>
      <c r="L4" s="530"/>
      <c r="M4" s="531"/>
      <c r="N4" s="531"/>
      <c r="O4" s="531"/>
      <c r="P4" s="531"/>
      <c r="Q4" s="525">
        <v>5.0000000000000001E-3</v>
      </c>
      <c r="R4" s="525">
        <v>8.0000000000000002E-3</v>
      </c>
      <c r="S4" s="530">
        <f>8/970</f>
        <v>8.2474226804123713E-3</v>
      </c>
      <c r="T4" s="530">
        <f>9/1082</f>
        <v>8.3179297597042508E-3</v>
      </c>
    </row>
    <row r="5" spans="1:24">
      <c r="A5" s="528" t="str">
        <f t="shared" si="0"/>
        <v>ArgentinaGAM</v>
      </c>
      <c r="B5" s="528" t="s">
        <v>344</v>
      </c>
      <c r="C5" s="528" t="s">
        <v>873</v>
      </c>
      <c r="D5" s="529"/>
      <c r="E5" s="530"/>
      <c r="F5" s="530"/>
      <c r="G5" s="530"/>
      <c r="H5" s="530"/>
      <c r="I5" s="509"/>
      <c r="J5" s="510"/>
      <c r="K5" s="510"/>
      <c r="L5" s="530"/>
      <c r="M5" s="531"/>
      <c r="N5" s="531"/>
      <c r="O5" s="531"/>
      <c r="P5" s="531"/>
      <c r="Q5" s="531">
        <v>1.4999999999999999E-2</v>
      </c>
      <c r="R5" s="532">
        <v>2.7E-2</v>
      </c>
      <c r="S5" s="533">
        <v>3.7999999999999999E-2</v>
      </c>
      <c r="T5" s="530">
        <f>8559/213539</f>
        <v>4.0081671263797247E-2</v>
      </c>
    </row>
    <row r="6" spans="1:24">
      <c r="A6" s="528" t="str">
        <f t="shared" si="0"/>
        <v>BahamasGAM</v>
      </c>
      <c r="B6" s="528" t="s">
        <v>345</v>
      </c>
      <c r="C6" s="528" t="s">
        <v>873</v>
      </c>
    </row>
    <row r="7" spans="1:24">
      <c r="A7" s="528" t="str">
        <f t="shared" si="0"/>
        <v>BangladeshGAM</v>
      </c>
      <c r="B7" s="528" t="s">
        <v>865</v>
      </c>
      <c r="C7" s="528" t="s">
        <v>873</v>
      </c>
    </row>
    <row r="8" spans="1:24">
      <c r="A8" s="528" t="str">
        <f t="shared" si="0"/>
        <v>BarbadosGAM</v>
      </c>
      <c r="B8" s="528" t="s">
        <v>346</v>
      </c>
      <c r="C8" s="528" t="s">
        <v>873</v>
      </c>
      <c r="D8" s="511"/>
      <c r="E8" s="511"/>
      <c r="F8" s="511"/>
      <c r="G8" s="511"/>
      <c r="H8" s="511"/>
      <c r="I8" s="509"/>
      <c r="J8" s="512"/>
      <c r="K8" s="512"/>
      <c r="L8" s="513"/>
      <c r="M8" s="513"/>
      <c r="N8" s="513"/>
      <c r="O8" s="513"/>
      <c r="P8" s="513"/>
      <c r="Q8" s="513"/>
      <c r="R8" s="514">
        <v>0.33310000000000001</v>
      </c>
    </row>
    <row r="9" spans="1:24">
      <c r="A9" s="528" t="str">
        <f t="shared" si="0"/>
        <v>BelarusGAM</v>
      </c>
      <c r="B9" s="528" t="s">
        <v>166</v>
      </c>
      <c r="C9" s="528" t="s">
        <v>873</v>
      </c>
      <c r="D9" s="530"/>
      <c r="E9" s="530"/>
      <c r="F9" s="530"/>
      <c r="G9" s="530"/>
      <c r="H9" s="530"/>
      <c r="I9" s="530"/>
      <c r="J9" s="530">
        <v>5.9999999999999995E-4</v>
      </c>
      <c r="K9" s="530">
        <v>5.9999999999999995E-4</v>
      </c>
      <c r="L9" s="530">
        <v>2.9999999999999997E-4</v>
      </c>
      <c r="M9" s="530">
        <v>2.9999999999999997E-4</v>
      </c>
      <c r="N9" s="530">
        <v>4.0000000000000002E-4</v>
      </c>
      <c r="O9" s="530">
        <v>4.0000000000000002E-4</v>
      </c>
      <c r="P9" s="530">
        <v>2.9999999999999997E-4</v>
      </c>
      <c r="Q9" s="530">
        <v>2.9999999999999997E-4</v>
      </c>
      <c r="R9" s="530">
        <v>3.7701897947817144E-4</v>
      </c>
      <c r="T9" s="530">
        <f>13/88831</f>
        <v>1.4634530738143217E-4</v>
      </c>
    </row>
    <row r="10" spans="1:24">
      <c r="A10" s="528" t="str">
        <f t="shared" si="0"/>
        <v>BelizeGAM</v>
      </c>
      <c r="B10" s="528" t="s">
        <v>368</v>
      </c>
      <c r="C10" s="528" t="s">
        <v>873</v>
      </c>
    </row>
    <row r="11" spans="1:24">
      <c r="A11" s="528" t="str">
        <f t="shared" si="0"/>
        <v>BeninGAM</v>
      </c>
      <c r="B11" s="528" t="s">
        <v>126</v>
      </c>
      <c r="C11" s="528" t="s">
        <v>873</v>
      </c>
      <c r="K11" s="530"/>
      <c r="L11" s="530">
        <v>1.4E-3</v>
      </c>
      <c r="M11" s="530"/>
      <c r="N11" s="530">
        <v>1.1999999999999999E-3</v>
      </c>
      <c r="O11" s="530">
        <v>8.0000000000000004E-4</v>
      </c>
      <c r="P11" s="530">
        <v>2.0000000000000001E-4</v>
      </c>
      <c r="Q11" s="530">
        <v>3.5999999999999999E-3</v>
      </c>
      <c r="R11" s="530">
        <v>4.0000000000000001E-3</v>
      </c>
      <c r="S11" s="530"/>
    </row>
    <row r="12" spans="1:24">
      <c r="A12" s="528" t="str">
        <f t="shared" si="0"/>
        <v>BhutanGAM</v>
      </c>
      <c r="B12" s="528" t="s">
        <v>951</v>
      </c>
      <c r="C12" s="528" t="s">
        <v>873</v>
      </c>
      <c r="K12" s="530"/>
      <c r="L12" s="530"/>
      <c r="M12" s="530"/>
      <c r="N12" s="530"/>
      <c r="O12" s="530"/>
      <c r="P12" s="530"/>
      <c r="Q12" s="530"/>
      <c r="R12" s="530"/>
      <c r="S12" s="530"/>
    </row>
    <row r="13" spans="1:24">
      <c r="A13" s="528" t="str">
        <f t="shared" si="0"/>
        <v>BoliviaGAM</v>
      </c>
      <c r="B13" s="528" t="s">
        <v>798</v>
      </c>
      <c r="C13" s="528" t="s">
        <v>873</v>
      </c>
      <c r="D13" s="529"/>
      <c r="E13" s="530"/>
      <c r="F13" s="530"/>
      <c r="G13" s="530"/>
      <c r="H13" s="530"/>
      <c r="I13" s="509"/>
      <c r="J13" s="510"/>
      <c r="K13" s="510"/>
      <c r="L13" s="510"/>
      <c r="M13" s="510">
        <v>1.2800000000000001E-2</v>
      </c>
      <c r="N13" s="510">
        <v>1.1599999999999999E-2</v>
      </c>
      <c r="O13" s="510">
        <v>1.41E-2</v>
      </c>
      <c r="P13" s="510">
        <v>1.1299999999999999E-2</v>
      </c>
      <c r="Q13" s="510">
        <v>7.7000000000000002E-3</v>
      </c>
      <c r="R13" s="510">
        <v>8.9999999999999993E-3</v>
      </c>
      <c r="S13" s="530"/>
    </row>
    <row r="14" spans="1:24">
      <c r="A14" s="528" t="str">
        <f t="shared" si="0"/>
        <v>BotswanaGAM</v>
      </c>
      <c r="B14" s="528" t="s">
        <v>834</v>
      </c>
      <c r="C14" s="528" t="s">
        <v>873</v>
      </c>
      <c r="T14" s="530">
        <f>124/40805</f>
        <v>3.0388432790099252E-3</v>
      </c>
    </row>
    <row r="15" spans="1:24">
      <c r="A15" s="528" t="str">
        <f t="shared" si="0"/>
        <v>BrazilGAM</v>
      </c>
      <c r="B15" s="528" t="s">
        <v>167</v>
      </c>
      <c r="C15" s="528" t="s">
        <v>873</v>
      </c>
      <c r="D15" s="529"/>
      <c r="E15" s="530"/>
      <c r="F15" s="530"/>
      <c r="G15" s="530"/>
      <c r="H15" s="530"/>
      <c r="I15" s="509"/>
      <c r="J15" s="510"/>
      <c r="K15" s="510"/>
      <c r="L15" s="510">
        <v>8.5000000000000006E-3</v>
      </c>
      <c r="M15" s="510">
        <v>8.5000000000000006E-3</v>
      </c>
    </row>
    <row r="16" spans="1:24">
      <c r="A16" s="528" t="str">
        <f t="shared" si="0"/>
        <v>BruneiGAM</v>
      </c>
      <c r="B16" s="528" t="s">
        <v>952</v>
      </c>
      <c r="C16" s="528" t="s">
        <v>873</v>
      </c>
      <c r="D16" s="529"/>
      <c r="E16" s="530"/>
      <c r="F16" s="530"/>
      <c r="G16" s="530"/>
      <c r="H16" s="530"/>
      <c r="I16" s="509"/>
      <c r="J16" s="510"/>
      <c r="K16" s="510"/>
      <c r="L16" s="510"/>
      <c r="M16" s="510"/>
      <c r="T16" s="530">
        <f>22/6403</f>
        <v>3.435889426831173E-3</v>
      </c>
    </row>
    <row r="17" spans="1:20">
      <c r="A17" s="528" t="str">
        <f t="shared" si="0"/>
        <v>Burkina FasoGAM</v>
      </c>
      <c r="B17" s="528" t="s">
        <v>168</v>
      </c>
      <c r="C17" s="528" t="s">
        <v>873</v>
      </c>
      <c r="D17" s="529"/>
      <c r="E17" s="530"/>
      <c r="F17" s="530"/>
      <c r="G17" s="530"/>
      <c r="H17" s="530">
        <v>2.3699999999999999E-2</v>
      </c>
      <c r="I17" s="515">
        <v>2.1299999999999999E-2</v>
      </c>
      <c r="J17" s="510">
        <v>1.4200000000000001E-2</v>
      </c>
      <c r="K17" s="510">
        <v>1.8700000000000001E-2</v>
      </c>
      <c r="L17" s="510">
        <v>1.9099999999999999E-2</v>
      </c>
      <c r="M17" s="510">
        <v>1.7399999999999999E-2</v>
      </c>
      <c r="N17" s="516"/>
      <c r="O17" s="510">
        <v>1.21E-2</v>
      </c>
      <c r="P17" s="510">
        <v>1.17E-2</v>
      </c>
      <c r="Q17" s="510">
        <v>6.7000000000000002E-3</v>
      </c>
      <c r="R17" s="530">
        <v>7.0000000000000001E-3</v>
      </c>
      <c r="S17" s="530">
        <f>52/7768</f>
        <v>6.694129763130793E-3</v>
      </c>
      <c r="T17" s="530">
        <f>52/7768</f>
        <v>6.694129763130793E-3</v>
      </c>
    </row>
    <row r="18" spans="1:20">
      <c r="A18" s="528" t="str">
        <f t="shared" si="0"/>
        <v>BurundiGAM</v>
      </c>
      <c r="B18" s="528" t="s">
        <v>165</v>
      </c>
      <c r="C18" s="528" t="s">
        <v>873</v>
      </c>
      <c r="D18" s="529"/>
      <c r="E18" s="530"/>
      <c r="F18" s="530"/>
      <c r="G18" s="530"/>
      <c r="H18" s="530"/>
      <c r="I18" s="515">
        <v>1.46E-2</v>
      </c>
      <c r="J18" s="517"/>
      <c r="K18" s="510">
        <v>7.6E-3</v>
      </c>
    </row>
    <row r="19" spans="1:20">
      <c r="A19" s="528" t="str">
        <f t="shared" si="0"/>
        <v>Cabo VerdeGAM</v>
      </c>
      <c r="B19" s="528" t="s">
        <v>149</v>
      </c>
      <c r="C19" s="528" t="s">
        <v>873</v>
      </c>
      <c r="D19" s="529"/>
      <c r="E19" s="530"/>
      <c r="F19" s="530"/>
      <c r="G19" s="530"/>
      <c r="H19" s="530"/>
      <c r="I19" s="515">
        <v>5.7999999999999996E-3</v>
      </c>
      <c r="J19" s="517"/>
      <c r="K19" s="517"/>
      <c r="L19" s="517"/>
      <c r="M19" s="510">
        <v>1.0200000000000001E-2</v>
      </c>
      <c r="N19" s="510">
        <v>3.7000000000000002E-3</v>
      </c>
      <c r="O19" s="510">
        <v>6.4999999999999997E-3</v>
      </c>
      <c r="P19" s="510">
        <v>2.8999999999999998E-3</v>
      </c>
    </row>
    <row r="20" spans="1:20">
      <c r="A20" s="528" t="str">
        <f t="shared" si="0"/>
        <v>CambodiaGAM</v>
      </c>
      <c r="B20" s="528" t="s">
        <v>169</v>
      </c>
      <c r="C20" s="528" t="s">
        <v>873</v>
      </c>
      <c r="D20" s="529"/>
      <c r="E20" s="530"/>
      <c r="F20" s="530"/>
      <c r="G20" s="530"/>
      <c r="H20" s="530"/>
      <c r="I20" s="515">
        <v>1.6999999999999999E-3</v>
      </c>
      <c r="J20" s="510">
        <v>1.2999999999999999E-3</v>
      </c>
      <c r="K20" s="510">
        <v>3.5999999999999999E-3</v>
      </c>
      <c r="L20" s="510">
        <v>8.0000000000000004E-4</v>
      </c>
      <c r="M20" s="516"/>
      <c r="N20" s="510">
        <v>4.0000000000000002E-4</v>
      </c>
      <c r="O20" s="510">
        <v>2.0000000000000001E-4</v>
      </c>
      <c r="P20" s="510">
        <v>2.0000000000000001E-4</v>
      </c>
      <c r="Q20" s="510">
        <v>1E-4</v>
      </c>
      <c r="R20" s="516"/>
      <c r="S20" s="518">
        <f>110/305740</f>
        <v>3.5978282200562568E-4</v>
      </c>
      <c r="T20" s="530">
        <f>336/305334</f>
        <v>1.1004342785277761E-3</v>
      </c>
    </row>
    <row r="21" spans="1:20">
      <c r="A21" s="528" t="str">
        <f t="shared" si="0"/>
        <v>Central African RepublicGAM</v>
      </c>
      <c r="B21" s="528" t="s">
        <v>153</v>
      </c>
      <c r="C21" s="528" t="s">
        <v>873</v>
      </c>
      <c r="D21" s="515">
        <v>7.5700000000000003E-2</v>
      </c>
      <c r="E21" s="510">
        <v>5.8799999999999998E-2</v>
      </c>
      <c r="F21" s="510">
        <v>9.9699999999999997E-2</v>
      </c>
      <c r="G21" s="519"/>
      <c r="H21" s="510">
        <v>7.6100000000000001E-2</v>
      </c>
      <c r="I21" s="516"/>
      <c r="J21" s="516"/>
      <c r="K21" s="510">
        <v>7.5499999999999998E-2</v>
      </c>
      <c r="L21" s="531"/>
      <c r="M21" s="530">
        <v>4.7E-2</v>
      </c>
      <c r="N21" s="525">
        <f>2446/62693</f>
        <v>3.9015520074011455E-2</v>
      </c>
      <c r="T21" s="530">
        <f>2635/62244</f>
        <v>4.2333397596555494E-2</v>
      </c>
    </row>
    <row r="22" spans="1:20">
      <c r="A22" s="528" t="str">
        <f t="shared" si="0"/>
        <v>ChileGAM</v>
      </c>
      <c r="B22" s="528" t="s">
        <v>170</v>
      </c>
      <c r="C22" s="528" t="s">
        <v>873</v>
      </c>
      <c r="D22" s="509">
        <v>0.18</v>
      </c>
      <c r="E22" s="510">
        <v>1.5E-3</v>
      </c>
      <c r="F22" s="510">
        <v>1.6000000000000001E-3</v>
      </c>
      <c r="G22" s="510">
        <v>1.2999999999999999E-3</v>
      </c>
      <c r="H22" s="510">
        <v>8.0000000000000004E-4</v>
      </c>
      <c r="I22" s="510">
        <v>2.3E-3</v>
      </c>
      <c r="J22" s="510">
        <v>2.5000000000000001E-3</v>
      </c>
      <c r="K22" s="510">
        <v>2E-3</v>
      </c>
      <c r="L22" s="516"/>
      <c r="M22" s="530">
        <v>2E-3</v>
      </c>
      <c r="T22" s="530">
        <f>487/175399</f>
        <v>2.7765266620676287E-3</v>
      </c>
    </row>
    <row r="23" spans="1:20">
      <c r="A23" s="528" t="str">
        <f t="shared" si="0"/>
        <v>ChinaGAM</v>
      </c>
      <c r="B23" s="528" t="s">
        <v>349</v>
      </c>
      <c r="C23" s="528" t="s">
        <v>873</v>
      </c>
      <c r="T23" s="530">
        <v>3.0000000000000001E-3</v>
      </c>
    </row>
    <row r="24" spans="1:20">
      <c r="A24" s="528" t="str">
        <f t="shared" si="0"/>
        <v>ColombiaGAM</v>
      </c>
      <c r="B24" s="528" t="s">
        <v>171</v>
      </c>
      <c r="C24" s="528" t="s">
        <v>873</v>
      </c>
      <c r="D24" s="510">
        <v>1.14E-2</v>
      </c>
      <c r="E24" s="510">
        <v>6.4000000000000003E-3</v>
      </c>
      <c r="F24" s="510">
        <v>0.01</v>
      </c>
      <c r="G24" s="510">
        <v>5.7999999999999996E-3</v>
      </c>
      <c r="H24" s="510">
        <v>1.37E-2</v>
      </c>
      <c r="I24" s="516"/>
      <c r="J24" s="510">
        <v>4.4999999999999997E-3</v>
      </c>
      <c r="K24" s="510">
        <v>1.46E-2</v>
      </c>
      <c r="L24" s="530">
        <v>3.9E-2</v>
      </c>
      <c r="M24" s="525">
        <f>15298/704662</f>
        <v>2.1709699118158777E-2</v>
      </c>
      <c r="T24" s="530">
        <f>5862/511985</f>
        <v>1.1449554186157798E-2</v>
      </c>
    </row>
    <row r="25" spans="1:20">
      <c r="A25" s="528" t="str">
        <f t="shared" si="0"/>
        <v>Costa RicaGAM</v>
      </c>
      <c r="B25" s="528" t="s">
        <v>350</v>
      </c>
      <c r="C25" s="528" t="s">
        <v>873</v>
      </c>
      <c r="D25" s="529"/>
      <c r="E25" s="530"/>
      <c r="F25" s="530"/>
      <c r="G25" s="530"/>
      <c r="H25" s="530"/>
      <c r="I25" s="509"/>
      <c r="J25" s="510"/>
      <c r="K25" s="510"/>
      <c r="L25" s="530"/>
      <c r="M25" s="531"/>
      <c r="N25" s="531"/>
      <c r="O25" s="531"/>
      <c r="P25" s="531"/>
      <c r="Q25" s="531"/>
      <c r="R25" s="530">
        <v>8.9999999999999993E-3</v>
      </c>
      <c r="S25" s="530">
        <f>444/52099</f>
        <v>8.5222365112574139E-3</v>
      </c>
      <c r="T25" s="530">
        <f>621/53413</f>
        <v>1.1626383090258926E-2</v>
      </c>
    </row>
    <row r="26" spans="1:20">
      <c r="A26" s="528" t="str">
        <f t="shared" si="0"/>
        <v>CubaGAM</v>
      </c>
      <c r="B26" s="528" t="s">
        <v>164</v>
      </c>
      <c r="C26" s="528" t="s">
        <v>873</v>
      </c>
      <c r="D26" s="529"/>
      <c r="E26" s="530"/>
      <c r="F26" s="530"/>
      <c r="G26" s="530"/>
      <c r="H26" s="530"/>
      <c r="I26" s="509"/>
      <c r="J26" s="510"/>
      <c r="K26" s="510">
        <v>2.9999999999999997E-4</v>
      </c>
      <c r="L26" s="510">
        <v>8.0000000000000004E-4</v>
      </c>
      <c r="M26" s="510">
        <v>1E-3</v>
      </c>
      <c r="N26" s="510">
        <v>8.9999999999999998E-4</v>
      </c>
      <c r="O26" s="510">
        <v>2.0999999999999999E-3</v>
      </c>
      <c r="P26" s="510">
        <v>4.1999999999999997E-3</v>
      </c>
      <c r="Q26" s="510">
        <v>1.3100000000000001E-2</v>
      </c>
      <c r="R26" s="530">
        <v>4.0000000000000001E-3</v>
      </c>
      <c r="S26" s="530">
        <f>423/114122</f>
        <v>3.7065596466938889E-3</v>
      </c>
      <c r="T26" s="530">
        <f>404/102960</f>
        <v>3.9238539238539236E-3</v>
      </c>
    </row>
    <row r="27" spans="1:20">
      <c r="A27" s="528" t="str">
        <f t="shared" si="0"/>
        <v>Democratic Republic of CongoGAM</v>
      </c>
      <c r="B27" s="528" t="s">
        <v>152</v>
      </c>
      <c r="C27" s="528" t="s">
        <v>873</v>
      </c>
      <c r="D27" s="529"/>
      <c r="E27" s="530"/>
      <c r="F27" s="530"/>
      <c r="G27" s="530"/>
      <c r="H27" s="530">
        <v>1.9800000000000002E-2</v>
      </c>
      <c r="I27" s="515">
        <v>1.9800000000000002E-2</v>
      </c>
      <c r="J27" s="510">
        <v>3.27E-2</v>
      </c>
      <c r="K27" s="520"/>
      <c r="L27" s="520"/>
      <c r="M27" s="520"/>
      <c r="N27" s="520"/>
      <c r="O27" s="510">
        <v>0.04</v>
      </c>
      <c r="P27" s="510">
        <v>1.95E-2</v>
      </c>
      <c r="Q27" s="534"/>
      <c r="R27" s="530">
        <v>3.6999999999999998E-2</v>
      </c>
      <c r="S27" s="530">
        <f>9158/238918</f>
        <v>3.8331142902585824E-2</v>
      </c>
      <c r="T27" s="530">
        <f>13748/287693</f>
        <v>4.7787050779824328E-2</v>
      </c>
    </row>
    <row r="28" spans="1:20">
      <c r="A28" s="528" t="str">
        <f t="shared" si="0"/>
        <v>DominicaGAM</v>
      </c>
      <c r="B28" s="528" t="s">
        <v>351</v>
      </c>
      <c r="C28" s="528" t="s">
        <v>873</v>
      </c>
      <c r="D28" s="529"/>
      <c r="E28" s="530"/>
      <c r="F28" s="530"/>
      <c r="G28" s="530"/>
      <c r="H28" s="530"/>
      <c r="I28" s="509"/>
      <c r="J28" s="510"/>
      <c r="K28" s="510"/>
      <c r="L28" s="530"/>
      <c r="M28" s="531"/>
      <c r="N28" s="531"/>
      <c r="O28" s="531"/>
      <c r="P28" s="531"/>
      <c r="Q28" s="531"/>
      <c r="R28" s="533">
        <v>2E-3</v>
      </c>
      <c r="T28" s="530">
        <f>5/832</f>
        <v>6.0096153846153849E-3</v>
      </c>
    </row>
    <row r="29" spans="1:20">
      <c r="A29" s="528" t="str">
        <f t="shared" si="0"/>
        <v>Dominican RepublicGAM</v>
      </c>
      <c r="B29" s="528" t="s">
        <v>172</v>
      </c>
      <c r="C29" s="528" t="s">
        <v>873</v>
      </c>
      <c r="D29" s="529"/>
      <c r="E29" s="530"/>
      <c r="F29" s="530"/>
      <c r="G29" s="530"/>
      <c r="H29" s="530">
        <v>5.4999999999999997E-3</v>
      </c>
      <c r="I29" s="534"/>
      <c r="J29" s="510">
        <v>3.5999999999999999E-3</v>
      </c>
      <c r="K29" s="510">
        <v>5.4999999999999997E-3</v>
      </c>
      <c r="L29" s="520"/>
      <c r="M29" s="510">
        <v>3.3599999999999998E-2</v>
      </c>
      <c r="N29" s="510">
        <v>5.4999999999999997E-3</v>
      </c>
      <c r="O29" s="510">
        <v>1.8700000000000001E-2</v>
      </c>
      <c r="P29" s="510">
        <v>1.9300000000000001E-2</v>
      </c>
      <c r="Q29" s="510">
        <v>1.9699999999999999E-2</v>
      </c>
      <c r="R29" s="530">
        <v>1.6E-2</v>
      </c>
      <c r="S29" s="530">
        <f>2001/134472</f>
        <v>1.4880421202927003E-2</v>
      </c>
    </row>
    <row r="30" spans="1:20">
      <c r="A30" s="528" t="str">
        <f t="shared" si="0"/>
        <v>EcuadorGAM</v>
      </c>
      <c r="B30" s="528" t="s">
        <v>352</v>
      </c>
      <c r="C30" s="528" t="s">
        <v>873</v>
      </c>
      <c r="D30" s="529"/>
      <c r="E30" s="530"/>
      <c r="F30" s="530"/>
      <c r="G30" s="530"/>
      <c r="H30" s="530"/>
      <c r="I30" s="509"/>
      <c r="J30" s="510"/>
      <c r="K30" s="510"/>
      <c r="L30" s="530"/>
      <c r="M30" s="531"/>
      <c r="N30" s="531"/>
      <c r="O30" s="531"/>
      <c r="P30" s="531"/>
      <c r="Q30" s="531"/>
      <c r="R30" s="530">
        <v>4.0000000000000001E-3</v>
      </c>
      <c r="S30" s="530">
        <f>1043/332012</f>
        <v>3.1414527185764369E-3</v>
      </c>
      <c r="T30" s="530">
        <f>1212/353473</f>
        <v>3.4288333196594929E-3</v>
      </c>
    </row>
    <row r="31" spans="1:20">
      <c r="A31" s="528" t="str">
        <f t="shared" si="0"/>
        <v>El SalvadorGAM</v>
      </c>
      <c r="B31" s="528" t="s">
        <v>353</v>
      </c>
      <c r="C31" s="528" t="s">
        <v>873</v>
      </c>
      <c r="D31" s="529"/>
      <c r="E31" s="530"/>
      <c r="F31" s="530"/>
      <c r="G31" s="530"/>
      <c r="H31" s="530"/>
      <c r="I31" s="509"/>
      <c r="J31" s="510"/>
      <c r="K31" s="510"/>
      <c r="L31" s="530"/>
      <c r="M31" s="531"/>
      <c r="N31" s="531"/>
      <c r="O31" s="531"/>
      <c r="P31" s="531"/>
      <c r="Q31" s="531"/>
      <c r="R31" s="530">
        <v>2E-3</v>
      </c>
      <c r="S31" s="530">
        <f>106/27061</f>
        <v>3.9170762351723879E-3</v>
      </c>
      <c r="T31" s="530">
        <f>97/40124</f>
        <v>2.4175057322300868E-3</v>
      </c>
    </row>
    <row r="32" spans="1:20">
      <c r="A32" s="528" t="str">
        <f t="shared" si="0"/>
        <v>Equatorial GuineaGAM</v>
      </c>
      <c r="B32" s="528" t="s">
        <v>129</v>
      </c>
      <c r="C32" s="528" t="s">
        <v>873</v>
      </c>
      <c r="D32" s="529"/>
      <c r="E32" s="530"/>
      <c r="F32" s="530"/>
      <c r="G32" s="530"/>
      <c r="H32" s="530"/>
      <c r="I32" s="509"/>
      <c r="J32" s="510"/>
      <c r="K32" s="510"/>
      <c r="L32" s="510"/>
      <c r="M32" s="510">
        <v>6.8199999999999997E-2</v>
      </c>
      <c r="N32" s="510">
        <v>4.3099999999999999E-2</v>
      </c>
      <c r="O32" s="510">
        <v>5.6500000000000002E-2</v>
      </c>
      <c r="P32" s="510">
        <v>7.7399999999999997E-2</v>
      </c>
    </row>
    <row r="33" spans="1:20">
      <c r="A33" s="528" t="str">
        <f t="shared" si="0"/>
        <v>EritreaGAM</v>
      </c>
      <c r="B33" s="528" t="s">
        <v>128</v>
      </c>
      <c r="C33" s="528" t="s">
        <v>873</v>
      </c>
      <c r="D33" s="529"/>
      <c r="E33" s="530"/>
      <c r="F33" s="530"/>
      <c r="G33" s="530"/>
      <c r="H33" s="530">
        <v>1.0999999999999999E-2</v>
      </c>
      <c r="I33" s="534"/>
      <c r="J33" s="534"/>
      <c r="K33" s="534"/>
      <c r="L33" s="534"/>
      <c r="M33" s="534"/>
      <c r="N33" s="534"/>
      <c r="O33" s="534"/>
      <c r="P33" s="510">
        <v>6.0000000000000001E-3</v>
      </c>
      <c r="Q33" s="510">
        <v>7.7999999999999996E-3</v>
      </c>
      <c r="R33" s="530">
        <v>1.0800000000000001E-2</v>
      </c>
      <c r="S33" s="530">
        <f>1112/83863</f>
        <v>1.3259721211976676E-2</v>
      </c>
      <c r="T33" s="530">
        <f>1059/78657</f>
        <v>1.3463518822228154E-2</v>
      </c>
    </row>
    <row r="34" spans="1:20">
      <c r="A34" s="528" t="str">
        <f t="shared" si="0"/>
        <v>EswatiniGAM</v>
      </c>
      <c r="B34" s="528" t="s">
        <v>835</v>
      </c>
      <c r="C34" s="528" t="s">
        <v>873</v>
      </c>
      <c r="D34" s="529"/>
      <c r="E34" s="530"/>
      <c r="F34" s="530"/>
      <c r="G34" s="530"/>
      <c r="H34" s="530"/>
      <c r="I34" s="510">
        <v>4.5199999999999997E-2</v>
      </c>
      <c r="J34" s="516"/>
      <c r="K34" s="510">
        <v>8.2699999999999996E-2</v>
      </c>
      <c r="L34" s="516"/>
      <c r="M34" s="516"/>
      <c r="N34" s="510">
        <v>3.3000000000000002E-2</v>
      </c>
      <c r="O34" s="516"/>
      <c r="P34" s="516"/>
      <c r="Q34" s="510">
        <v>2.35E-2</v>
      </c>
    </row>
    <row r="35" spans="1:20">
      <c r="A35" s="528" t="str">
        <f t="shared" si="0"/>
        <v>EthiopiaGAM</v>
      </c>
      <c r="B35" s="528" t="s">
        <v>127</v>
      </c>
      <c r="C35" s="528" t="s">
        <v>873</v>
      </c>
      <c r="D35" s="529"/>
      <c r="E35" s="530"/>
      <c r="F35" s="530"/>
      <c r="G35" s="530"/>
      <c r="H35" s="530">
        <v>2.1999999999999999E-2</v>
      </c>
      <c r="I35" s="515">
        <v>2.6700000000000002E-2</v>
      </c>
      <c r="J35" s="521"/>
      <c r="K35" s="521"/>
      <c r="L35" s="521"/>
      <c r="M35" s="510">
        <v>9.1000000000000004E-3</v>
      </c>
      <c r="N35" s="510">
        <v>9.1000000000000004E-3</v>
      </c>
      <c r="O35" s="510">
        <v>1.0800000000000001E-2</v>
      </c>
      <c r="P35" s="520"/>
      <c r="Q35" s="510">
        <v>1.0800000000000001E-2</v>
      </c>
      <c r="R35" s="530">
        <v>1.0999999999999999E-2</v>
      </c>
      <c r="T35" s="530">
        <f>30725/2006273</f>
        <v>1.5314466176836353E-2</v>
      </c>
    </row>
    <row r="36" spans="1:20">
      <c r="A36" s="528" t="str">
        <f t="shared" si="0"/>
        <v>Federated States of MicronesiaGAM</v>
      </c>
      <c r="B36" s="528" t="s">
        <v>356</v>
      </c>
      <c r="C36" s="528" t="s">
        <v>873</v>
      </c>
      <c r="D36" s="535"/>
      <c r="E36" s="525"/>
      <c r="F36" s="525"/>
      <c r="G36" s="525"/>
      <c r="H36" s="525"/>
      <c r="I36" s="522"/>
      <c r="J36" s="522"/>
      <c r="K36" s="522"/>
      <c r="L36" s="522"/>
      <c r="M36" s="523">
        <v>2.1100000000000001E-2</v>
      </c>
      <c r="N36" s="523">
        <v>3.9100000000000003E-2</v>
      </c>
      <c r="O36" s="523">
        <v>2.76E-2</v>
      </c>
      <c r="P36" s="524"/>
      <c r="Q36" s="512">
        <v>1.49E-2</v>
      </c>
      <c r="R36" s="512">
        <v>5.0000000000000001E-3</v>
      </c>
    </row>
    <row r="37" spans="1:20">
      <c r="A37" s="528" t="str">
        <f t="shared" si="0"/>
        <v>FijiGAM</v>
      </c>
      <c r="B37" s="528" t="s">
        <v>338</v>
      </c>
      <c r="C37" s="528" t="s">
        <v>873</v>
      </c>
      <c r="D37" s="529"/>
      <c r="E37" s="530"/>
      <c r="F37" s="530"/>
      <c r="G37" s="530"/>
      <c r="H37" s="530"/>
      <c r="I37" s="515">
        <v>5.1499999999999997E-2</v>
      </c>
      <c r="J37" s="521"/>
      <c r="K37" s="515">
        <v>3.9699999999999999E-2</v>
      </c>
      <c r="L37" s="521"/>
      <c r="M37" s="510">
        <v>9.1999999999999998E-3</v>
      </c>
    </row>
    <row r="38" spans="1:20">
      <c r="A38" s="528" t="str">
        <f t="shared" si="0"/>
        <v>GabonGAM</v>
      </c>
      <c r="B38" s="528" t="s">
        <v>130</v>
      </c>
      <c r="C38" s="528" t="s">
        <v>873</v>
      </c>
      <c r="D38" s="529"/>
      <c r="E38" s="530"/>
      <c r="F38" s="530"/>
      <c r="G38" s="530"/>
      <c r="H38" s="530">
        <v>2.4E-2</v>
      </c>
      <c r="I38" s="534"/>
      <c r="J38" s="534"/>
      <c r="K38" s="510">
        <v>9.4000000000000004E-3</v>
      </c>
      <c r="L38" s="510">
        <v>0.01</v>
      </c>
      <c r="M38" s="510">
        <v>2.18E-2</v>
      </c>
      <c r="N38" s="510">
        <v>7.7999999999999996E-3</v>
      </c>
      <c r="O38" s="510">
        <v>2E-3</v>
      </c>
      <c r="P38" s="510">
        <v>1.7399999999999999E-2</v>
      </c>
      <c r="Q38" s="510">
        <v>3.7000000000000002E-3</v>
      </c>
      <c r="R38" s="530">
        <v>1.7999999999999999E-2</v>
      </c>
      <c r="T38" s="530">
        <f>829/12842</f>
        <v>6.4553807818096873E-2</v>
      </c>
    </row>
    <row r="39" spans="1:20">
      <c r="A39" s="528" t="str">
        <f t="shared" si="0"/>
        <v>GeorgiaGAM</v>
      </c>
      <c r="B39" s="528" t="s">
        <v>173</v>
      </c>
      <c r="C39" s="528" t="s">
        <v>873</v>
      </c>
      <c r="D39" s="529"/>
      <c r="E39" s="530"/>
      <c r="F39" s="530"/>
      <c r="G39" s="530"/>
      <c r="H39" s="530">
        <v>1.1999999999999999E-3</v>
      </c>
      <c r="I39" s="534"/>
      <c r="J39" s="534"/>
      <c r="K39" s="534"/>
      <c r="L39" s="510">
        <v>2.9999999999999997E-4</v>
      </c>
      <c r="M39" s="510">
        <v>6.9999999999999999E-4</v>
      </c>
      <c r="N39" s="510">
        <v>2.3E-3</v>
      </c>
      <c r="O39" s="510">
        <v>2.0999999999999999E-3</v>
      </c>
      <c r="P39" s="515">
        <v>1.6999999999999999E-3</v>
      </c>
      <c r="Q39" s="510">
        <v>2.8E-3</v>
      </c>
      <c r="R39" s="510">
        <v>3.0000000000000001E-3</v>
      </c>
      <c r="S39" s="510">
        <f>141/50681</f>
        <v>2.7821076932183658E-3</v>
      </c>
      <c r="T39" s="530">
        <f>48/45179</f>
        <v>1.0624405143982824E-3</v>
      </c>
    </row>
    <row r="40" spans="1:20">
      <c r="A40" s="528" t="str">
        <f t="shared" si="0"/>
        <v>GhanaGAM</v>
      </c>
      <c r="B40" s="528" t="s">
        <v>131</v>
      </c>
      <c r="C40" s="528" t="s">
        <v>873</v>
      </c>
      <c r="D40" s="530">
        <v>5.9700000000000003E-2</v>
      </c>
      <c r="E40" s="534"/>
      <c r="F40" s="510">
        <v>6.1499999999999999E-2</v>
      </c>
      <c r="G40" s="510">
        <v>3.4500000000000003E-2</v>
      </c>
      <c r="H40" s="520"/>
      <c r="I40" s="510">
        <v>1.4500000000000001E-2</v>
      </c>
      <c r="J40" s="510">
        <v>2.2700000000000001E-2</v>
      </c>
      <c r="K40" s="510">
        <v>2.5100000000000001E-2</v>
      </c>
      <c r="L40" s="510">
        <v>2.7400000000000001E-2</v>
      </c>
      <c r="M40" s="510">
        <v>2.1600000000000001E-2</v>
      </c>
      <c r="N40" s="530">
        <v>0.03</v>
      </c>
      <c r="T40" s="530">
        <f>14053/529312</f>
        <v>2.6549558672389818E-2</v>
      </c>
    </row>
    <row r="41" spans="1:20">
      <c r="A41" s="528" t="str">
        <f t="shared" si="0"/>
        <v>GrenadaGAM</v>
      </c>
      <c r="B41" s="528" t="s">
        <v>354</v>
      </c>
      <c r="C41" s="528" t="s">
        <v>873</v>
      </c>
      <c r="D41" s="529"/>
      <c r="E41" s="530"/>
      <c r="F41" s="530"/>
      <c r="G41" s="530"/>
      <c r="H41" s="530"/>
      <c r="I41" s="509"/>
      <c r="J41" s="510"/>
      <c r="K41" s="510"/>
      <c r="L41" s="530"/>
      <c r="M41" s="531"/>
      <c r="N41" s="531"/>
      <c r="O41" s="531"/>
      <c r="P41" s="531"/>
      <c r="Q41" s="531"/>
      <c r="R41" s="531"/>
      <c r="S41" s="530">
        <f>9/793</f>
        <v>1.1349306431273645E-2</v>
      </c>
    </row>
    <row r="42" spans="1:20">
      <c r="A42" s="528" t="str">
        <f t="shared" si="0"/>
        <v>GuatemalaGAM</v>
      </c>
      <c r="B42" s="528" t="s">
        <v>355</v>
      </c>
      <c r="C42" s="528" t="s">
        <v>873</v>
      </c>
      <c r="D42" s="529"/>
      <c r="E42" s="530"/>
      <c r="F42" s="530"/>
      <c r="G42" s="530"/>
      <c r="H42" s="530"/>
      <c r="I42" s="509"/>
      <c r="J42" s="510"/>
      <c r="K42" s="510"/>
      <c r="L42" s="530"/>
      <c r="M42" s="531"/>
      <c r="N42" s="531"/>
      <c r="O42" s="531"/>
      <c r="P42" s="531"/>
      <c r="Q42" s="531"/>
      <c r="R42" s="530">
        <v>1E-3</v>
      </c>
      <c r="S42" s="530">
        <f>63/182934</f>
        <v>3.4438650004919809E-4</v>
      </c>
      <c r="T42" s="530">
        <f>115/227402</f>
        <v>5.0571235081485651E-4</v>
      </c>
    </row>
    <row r="43" spans="1:20">
      <c r="A43" s="528" t="str">
        <f t="shared" si="0"/>
        <v>GuineaGAM</v>
      </c>
      <c r="B43" s="528" t="s">
        <v>132</v>
      </c>
      <c r="C43" s="528" t="s">
        <v>873</v>
      </c>
      <c r="D43" s="529"/>
      <c r="E43" s="530"/>
      <c r="F43" s="530"/>
      <c r="G43" s="530"/>
      <c r="H43" s="530"/>
      <c r="I43" s="510">
        <v>1.46E-2</v>
      </c>
      <c r="J43" s="510">
        <v>1.52E-2</v>
      </c>
      <c r="K43" s="520"/>
      <c r="L43" s="520"/>
      <c r="M43" s="520"/>
      <c r="N43" s="520"/>
      <c r="O43" s="520"/>
      <c r="P43" s="510">
        <v>2.1899999999999999E-2</v>
      </c>
      <c r="Q43" s="510">
        <v>7.0199999999999999E-2</v>
      </c>
      <c r="R43" s="530">
        <v>5.3999999999999999E-2</v>
      </c>
      <c r="T43" s="530">
        <f>3737/56249</f>
        <v>6.643673665309606E-2</v>
      </c>
    </row>
    <row r="44" spans="1:20">
      <c r="A44" s="528" t="str">
        <f t="shared" si="0"/>
        <v>GuyanaGAM</v>
      </c>
      <c r="B44" s="528" t="s">
        <v>357</v>
      </c>
      <c r="C44" s="528" t="s">
        <v>873</v>
      </c>
    </row>
    <row r="45" spans="1:20">
      <c r="A45" s="528" t="str">
        <f t="shared" si="0"/>
        <v>HaitiGAM</v>
      </c>
      <c r="B45" s="528" t="s">
        <v>174</v>
      </c>
      <c r="C45" s="528" t="s">
        <v>873</v>
      </c>
      <c r="D45" s="529"/>
      <c r="E45" s="530"/>
      <c r="F45" s="530"/>
      <c r="G45" s="530"/>
      <c r="H45" s="530"/>
      <c r="I45" s="515">
        <v>4.9700000000000001E-2</v>
      </c>
      <c r="J45" s="521"/>
      <c r="K45" s="510">
        <v>4.7E-2</v>
      </c>
      <c r="L45" s="520"/>
      <c r="M45" s="520"/>
      <c r="N45" s="510">
        <v>3.5200000000000002E-2</v>
      </c>
      <c r="O45" s="510">
        <v>3.1E-2</v>
      </c>
      <c r="P45" s="510">
        <v>2.9600000000000001E-2</v>
      </c>
      <c r="Q45" s="510">
        <v>2.8299999999999999E-2</v>
      </c>
      <c r="R45" s="530">
        <v>0.03</v>
      </c>
      <c r="S45" s="530">
        <f>6937/249180</f>
        <v>2.7839312946464405E-2</v>
      </c>
      <c r="T45" s="530">
        <f>5937/251158</f>
        <v>2.3638506438178358E-2</v>
      </c>
    </row>
    <row r="46" spans="1:20">
      <c r="A46" s="528" t="str">
        <f t="shared" si="0"/>
        <v>HondurasGAM</v>
      </c>
      <c r="B46" s="528" t="s">
        <v>358</v>
      </c>
      <c r="C46" s="528" t="s">
        <v>873</v>
      </c>
      <c r="D46" s="529"/>
      <c r="E46" s="530"/>
      <c r="F46" s="530"/>
      <c r="G46" s="530"/>
      <c r="H46" s="530"/>
      <c r="I46" s="509"/>
      <c r="J46" s="510"/>
      <c r="K46" s="510"/>
      <c r="L46" s="530"/>
      <c r="M46" s="531"/>
      <c r="N46" s="531"/>
      <c r="O46" s="531"/>
      <c r="P46" s="531"/>
      <c r="Q46" s="531"/>
      <c r="R46" s="530">
        <v>2E-3</v>
      </c>
      <c r="S46" s="530">
        <f>348/173934</f>
        <v>2.0007589085515197E-3</v>
      </c>
      <c r="T46" s="530">
        <f>225/144481</f>
        <v>1.5572981914577003E-3</v>
      </c>
    </row>
    <row r="47" spans="1:20">
      <c r="A47" s="528" t="str">
        <f t="shared" si="0"/>
        <v>IndiaGAM</v>
      </c>
      <c r="B47" s="528" t="s">
        <v>175</v>
      </c>
      <c r="C47" s="528" t="s">
        <v>873</v>
      </c>
      <c r="D47" s="529"/>
      <c r="E47" s="530"/>
      <c r="F47" s="530"/>
      <c r="G47" s="530"/>
      <c r="H47" s="530"/>
      <c r="I47" s="509"/>
      <c r="J47" s="510"/>
      <c r="K47" s="510">
        <v>3.5000000000000001E-3</v>
      </c>
      <c r="L47" s="510">
        <v>2.8999999999999998E-3</v>
      </c>
      <c r="M47" s="510">
        <v>6.4000000000000003E-3</v>
      </c>
      <c r="N47" s="510">
        <v>8.9999999999999998E-4</v>
      </c>
      <c r="O47" s="510">
        <v>2.3E-3</v>
      </c>
      <c r="P47" s="510">
        <v>2.0999999999999999E-3</v>
      </c>
      <c r="Q47" s="510">
        <v>8.9999999999999998E-4</v>
      </c>
      <c r="R47" s="530">
        <v>1E-3</v>
      </c>
      <c r="T47" s="530">
        <f>4011/4163333</f>
        <v>9.6341080571743845E-4</v>
      </c>
    </row>
    <row r="48" spans="1:20">
      <c r="A48" s="528" t="str">
        <f t="shared" si="0"/>
        <v>IndonesiaGAM</v>
      </c>
      <c r="B48" s="528" t="s">
        <v>866</v>
      </c>
      <c r="C48" s="528" t="s">
        <v>873</v>
      </c>
      <c r="T48" s="530">
        <f>4937/423377</f>
        <v>1.1661001896654755E-2</v>
      </c>
    </row>
    <row r="49" spans="1:24">
      <c r="A49" s="528" t="str">
        <f t="shared" si="0"/>
        <v>JamaicaGAM</v>
      </c>
      <c r="B49" s="528" t="s">
        <v>176</v>
      </c>
      <c r="C49" s="528" t="s">
        <v>873</v>
      </c>
      <c r="D49" s="529"/>
      <c r="E49" s="530"/>
      <c r="F49" s="530"/>
      <c r="G49" s="530"/>
      <c r="H49" s="530"/>
      <c r="I49" s="509">
        <v>1.61</v>
      </c>
      <c r="J49" s="510">
        <v>1.6500000000000001E-2</v>
      </c>
      <c r="K49" s="516"/>
      <c r="L49" s="510">
        <v>1.2500000000000001E-2</v>
      </c>
      <c r="M49" s="510">
        <v>2.0799999999999999E-2</v>
      </c>
      <c r="N49" s="516"/>
      <c r="O49" s="510">
        <v>1.7399999999999999E-2</v>
      </c>
      <c r="P49" s="510">
        <v>1.4800000000000001E-2</v>
      </c>
      <c r="Q49" s="510">
        <v>1.4999999999999999E-2</v>
      </c>
      <c r="T49" s="530">
        <f>313/28555</f>
        <v>1.0961302749080722E-2</v>
      </c>
    </row>
    <row r="50" spans="1:24">
      <c r="A50" s="528" t="str">
        <f t="shared" si="0"/>
        <v>KenyaGAM</v>
      </c>
      <c r="B50" s="528" t="s">
        <v>133</v>
      </c>
      <c r="C50" s="528" t="s">
        <v>873</v>
      </c>
      <c r="D50" s="529"/>
      <c r="E50" s="530"/>
      <c r="F50" s="530"/>
      <c r="G50" s="530"/>
      <c r="H50" s="530"/>
      <c r="I50" s="509"/>
      <c r="J50" s="510">
        <v>1.8800000000000001E-2</v>
      </c>
      <c r="K50" s="510">
        <v>1.7899999999999999E-2</v>
      </c>
      <c r="L50" s="510">
        <v>1.5800000000000002E-2</v>
      </c>
      <c r="M50" s="510">
        <v>1.34E-2</v>
      </c>
      <c r="N50" s="510">
        <v>1.23E-2</v>
      </c>
      <c r="O50" s="510">
        <v>1.4E-2</v>
      </c>
      <c r="P50" s="510">
        <v>1.2E-2</v>
      </c>
      <c r="Q50" s="510">
        <v>1.24E-2</v>
      </c>
      <c r="R50" s="530">
        <v>1.4E-2</v>
      </c>
      <c r="S50" s="530">
        <f>11444/1229874</f>
        <v>9.3050182376406033E-3</v>
      </c>
      <c r="T50" s="530">
        <f>3330/1070219</f>
        <v>3.1115126903932745E-3</v>
      </c>
    </row>
    <row r="51" spans="1:24">
      <c r="A51" t="str">
        <f t="shared" si="0"/>
        <v>LesothoGAM</v>
      </c>
      <c r="B51" s="528" t="s">
        <v>930</v>
      </c>
      <c r="C51" s="528" t="s">
        <v>873</v>
      </c>
      <c r="I51" s="536"/>
      <c r="J51" s="536"/>
      <c r="K51" s="536"/>
      <c r="L51" s="536"/>
      <c r="M51" s="536"/>
      <c r="N51" s="536"/>
      <c r="O51" s="536"/>
      <c r="P51" s="536"/>
      <c r="Q51" s="536">
        <v>2.4E-2</v>
      </c>
      <c r="R51" s="536">
        <v>0.06</v>
      </c>
      <c r="S51" s="536">
        <v>0.05</v>
      </c>
      <c r="T51" s="536">
        <v>0.04</v>
      </c>
      <c r="U51" s="536"/>
      <c r="V51" s="536"/>
      <c r="W51" s="536"/>
      <c r="X51" s="536"/>
    </row>
    <row r="52" spans="1:24">
      <c r="A52" s="528" t="str">
        <f t="shared" si="0"/>
        <v>LiberiaGAM</v>
      </c>
      <c r="B52" s="528" t="s">
        <v>134</v>
      </c>
      <c r="C52" s="528" t="s">
        <v>873</v>
      </c>
      <c r="D52" s="529"/>
      <c r="E52" s="530"/>
      <c r="F52" s="530"/>
      <c r="G52" s="530"/>
      <c r="H52" s="530"/>
      <c r="I52" s="509"/>
      <c r="J52" s="510"/>
      <c r="K52" s="510">
        <v>0.13639999999999999</v>
      </c>
      <c r="L52" s="516"/>
      <c r="M52" s="510">
        <v>0.10290000000000001</v>
      </c>
      <c r="N52" s="510">
        <v>0.1182</v>
      </c>
      <c r="O52" s="510">
        <v>0.1125</v>
      </c>
      <c r="P52" s="510">
        <v>7.0699999999999999E-2</v>
      </c>
      <c r="Q52" s="516"/>
      <c r="R52" s="530">
        <v>2.7E-2</v>
      </c>
      <c r="S52" s="530">
        <f>819/143893</f>
        <v>5.691729271055576E-3</v>
      </c>
      <c r="T52" s="530">
        <f>731/14179</f>
        <v>5.1555116721912687E-2</v>
      </c>
    </row>
    <row r="53" spans="1:24">
      <c r="A53" s="528" t="str">
        <f t="shared" si="0"/>
        <v>MadagascarGAM</v>
      </c>
      <c r="B53" s="528" t="s">
        <v>135</v>
      </c>
      <c r="C53" s="528" t="s">
        <v>873</v>
      </c>
      <c r="D53" s="536"/>
      <c r="E53" s="536"/>
      <c r="F53" s="536"/>
      <c r="G53" s="536"/>
      <c r="H53" s="530">
        <v>9.1200000000000003E-2</v>
      </c>
      <c r="I53" s="531"/>
      <c r="J53" s="510">
        <v>7.6999999999999999E-2</v>
      </c>
      <c r="K53" s="510">
        <v>6.0100000000000001E-2</v>
      </c>
      <c r="L53" s="510">
        <v>5.8700000000000002E-2</v>
      </c>
      <c r="M53" s="510">
        <v>5.9400000000000001E-2</v>
      </c>
      <c r="N53" s="510">
        <v>5.6399999999999999E-2</v>
      </c>
      <c r="O53" s="510">
        <v>4.3200000000000002E-2</v>
      </c>
      <c r="P53" s="510">
        <v>3.8600000000000002E-2</v>
      </c>
      <c r="Q53" s="510">
        <v>3.7699999999999997E-2</v>
      </c>
      <c r="R53" s="530">
        <v>0.03</v>
      </c>
      <c r="S53" s="530">
        <f>2659/98421</f>
        <v>2.7016591987482345E-2</v>
      </c>
      <c r="T53" s="530">
        <f>2173/72333</f>
        <v>3.0041613094991221E-2</v>
      </c>
    </row>
    <row r="54" spans="1:24">
      <c r="A54" s="528" t="str">
        <f t="shared" si="0"/>
        <v>MalawiGAM</v>
      </c>
      <c r="B54" s="528" t="s">
        <v>136</v>
      </c>
      <c r="C54" s="528" t="s">
        <v>873</v>
      </c>
      <c r="D54" s="529"/>
      <c r="E54" s="530"/>
      <c r="F54" s="530"/>
      <c r="G54" s="530"/>
      <c r="H54" s="530">
        <v>1.12E-2</v>
      </c>
      <c r="I54" s="531"/>
      <c r="J54" s="531"/>
      <c r="K54" s="531"/>
      <c r="L54" s="510">
        <v>3.5700000000000003E-2</v>
      </c>
      <c r="M54" s="510">
        <v>2.1499999999999998E-2</v>
      </c>
      <c r="N54" s="510">
        <v>3.6999999999999998E-2</v>
      </c>
      <c r="O54" s="510">
        <v>3.6499999999999998E-2</v>
      </c>
      <c r="P54" s="510">
        <v>2.87E-2</v>
      </c>
      <c r="Q54" s="530">
        <v>1.38E-2</v>
      </c>
      <c r="R54" s="530">
        <v>0.01</v>
      </c>
      <c r="T54" s="530">
        <f>8224/520179</f>
        <v>1.5809942346769093E-2</v>
      </c>
    </row>
    <row r="55" spans="1:24">
      <c r="A55" s="528" t="str">
        <f t="shared" si="0"/>
        <v>MalaysiaGAM</v>
      </c>
      <c r="B55" s="528" t="s">
        <v>177</v>
      </c>
      <c r="C55" s="528" t="s">
        <v>873</v>
      </c>
      <c r="D55" s="529"/>
      <c r="E55" s="530"/>
      <c r="F55" s="530"/>
      <c r="G55" s="530"/>
      <c r="H55" s="530"/>
      <c r="I55" s="509">
        <v>0.08</v>
      </c>
      <c r="J55" s="510">
        <v>6.9999999999999999E-4</v>
      </c>
      <c r="K55" s="510">
        <v>7.2000000000000005E-4</v>
      </c>
      <c r="L55" s="510">
        <v>6.9999999999999999E-4</v>
      </c>
      <c r="M55" s="510">
        <v>1.4E-3</v>
      </c>
      <c r="N55" s="510">
        <v>6.9999999999999999E-4</v>
      </c>
      <c r="O55" s="510">
        <v>5.9999999999999995E-4</v>
      </c>
      <c r="P55" s="510">
        <v>1E-4</v>
      </c>
      <c r="Q55" s="510">
        <v>4.0000000000000002E-4</v>
      </c>
      <c r="R55" s="530">
        <f>228/514590</f>
        <v>4.4307118288346061E-4</v>
      </c>
      <c r="S55" s="530">
        <f>275/523952</f>
        <v>5.2485723883103795E-4</v>
      </c>
      <c r="T55" s="530">
        <f>369/566967</f>
        <v>6.5083152987740025E-4</v>
      </c>
    </row>
    <row r="56" spans="1:24">
      <c r="A56" s="528" t="str">
        <f t="shared" si="0"/>
        <v>MaldivesGAM</v>
      </c>
      <c r="B56" s="528" t="s">
        <v>375</v>
      </c>
      <c r="C56" s="528" t="s">
        <v>873</v>
      </c>
      <c r="D56" s="529"/>
      <c r="E56" s="530"/>
      <c r="F56" s="530"/>
      <c r="G56" s="530"/>
      <c r="H56" s="530"/>
      <c r="I56" s="531"/>
      <c r="J56" s="531"/>
      <c r="K56" s="531"/>
      <c r="L56" s="510"/>
      <c r="M56" s="510"/>
      <c r="N56" s="510"/>
      <c r="O56" s="510">
        <f>2/7427</f>
        <v>2.6928773394371884E-4</v>
      </c>
      <c r="P56" s="510">
        <f>0</f>
        <v>0</v>
      </c>
      <c r="Q56" s="530">
        <f>1/7022</f>
        <v>1.4240956992309884E-4</v>
      </c>
      <c r="R56" s="530">
        <f>2/6883</f>
        <v>2.9057097195990121E-4</v>
      </c>
    </row>
    <row r="57" spans="1:24">
      <c r="A57" s="528" t="str">
        <f t="shared" si="0"/>
        <v>MaliGAM</v>
      </c>
      <c r="B57" s="528" t="s">
        <v>137</v>
      </c>
      <c r="C57" s="528" t="s">
        <v>873</v>
      </c>
      <c r="D57" s="529"/>
      <c r="E57" s="530"/>
      <c r="F57" s="530"/>
      <c r="G57" s="530"/>
      <c r="H57" s="530"/>
      <c r="I57" s="509"/>
      <c r="J57" s="510"/>
      <c r="K57" s="510"/>
      <c r="L57" s="510">
        <v>4.0099999999999997E-2</v>
      </c>
      <c r="M57" s="510">
        <v>0.04</v>
      </c>
      <c r="N57" s="510">
        <v>2.6200000000000001E-2</v>
      </c>
      <c r="O57" s="510">
        <v>9.4600000000000004E-2</v>
      </c>
      <c r="P57" s="510">
        <v>4.5600000000000002E-2</v>
      </c>
      <c r="Q57" s="510">
        <v>4.82E-2</v>
      </c>
      <c r="R57" s="530">
        <v>6.0999999999999999E-2</v>
      </c>
      <c r="S57" s="530">
        <f>4867/99770</f>
        <v>4.8782199057833014E-2</v>
      </c>
      <c r="T57" s="530">
        <f>6738/154506</f>
        <v>4.3609956894877872E-2</v>
      </c>
    </row>
    <row r="58" spans="1:24">
      <c r="A58" s="528" t="str">
        <f t="shared" si="0"/>
        <v>MauritiusGAM</v>
      </c>
      <c r="B58" s="528" t="s">
        <v>150</v>
      </c>
      <c r="C58" s="528" t="s">
        <v>873</v>
      </c>
      <c r="D58" s="529"/>
      <c r="E58" s="530"/>
      <c r="F58" s="530"/>
      <c r="G58" s="530"/>
      <c r="H58" s="530"/>
      <c r="I58" s="509"/>
      <c r="J58" s="510">
        <v>1.5E-3</v>
      </c>
      <c r="K58" s="510">
        <v>5.9999999999999995E-4</v>
      </c>
      <c r="L58" s="510">
        <v>3.8999999999999998E-3</v>
      </c>
      <c r="M58" s="510">
        <v>6.0000000000000001E-3</v>
      </c>
      <c r="N58" s="510">
        <v>4.7999999999999996E-3</v>
      </c>
      <c r="O58" s="510">
        <v>7.7999999999999996E-3</v>
      </c>
      <c r="P58" s="510">
        <v>1.12E-2</v>
      </c>
      <c r="Q58" s="510">
        <v>1.4200000000000001E-2</v>
      </c>
      <c r="R58" s="530">
        <v>2.1000000000000001E-2</v>
      </c>
      <c r="T58" s="530">
        <f>472/11996</f>
        <v>3.9346448816272091E-2</v>
      </c>
    </row>
    <row r="59" spans="1:24">
      <c r="A59" s="528" t="str">
        <f t="shared" si="0"/>
        <v>MexicoGAM</v>
      </c>
      <c r="B59" s="528" t="s">
        <v>761</v>
      </c>
      <c r="C59" s="528" t="s">
        <v>873</v>
      </c>
      <c r="D59" s="529"/>
      <c r="E59" s="530"/>
      <c r="F59" s="530"/>
      <c r="G59" s="530"/>
      <c r="H59" s="530"/>
      <c r="I59" s="509"/>
      <c r="J59" s="510"/>
      <c r="K59" s="510"/>
      <c r="L59" s="530"/>
      <c r="M59" s="531"/>
      <c r="N59" s="531"/>
      <c r="O59" s="531"/>
      <c r="P59" s="531"/>
      <c r="Q59" s="531"/>
      <c r="R59" s="530">
        <v>2E-3</v>
      </c>
    </row>
    <row r="60" spans="1:24">
      <c r="A60" s="528" t="str">
        <f t="shared" si="0"/>
        <v>MoldovaGAM</v>
      </c>
      <c r="B60" s="528" t="s">
        <v>230</v>
      </c>
      <c r="C60" s="528" t="s">
        <v>873</v>
      </c>
      <c r="D60" s="529"/>
      <c r="E60" s="530"/>
      <c r="F60" s="530"/>
      <c r="G60" s="530"/>
      <c r="H60" s="530"/>
      <c r="I60" s="509">
        <v>0.27</v>
      </c>
      <c r="J60" s="510">
        <v>2.5999999999999999E-3</v>
      </c>
      <c r="K60" s="510">
        <v>4.0000000000000001E-3</v>
      </c>
      <c r="L60" s="510">
        <v>3.0999999999999999E-3</v>
      </c>
      <c r="M60" s="510">
        <v>3.5000000000000001E-3</v>
      </c>
      <c r="N60" s="510">
        <v>4.0000000000000001E-3</v>
      </c>
      <c r="O60" s="510">
        <v>3.8E-3</v>
      </c>
      <c r="P60" s="510">
        <v>2.5000000000000001E-3</v>
      </c>
      <c r="Q60" s="510">
        <v>3.0000000000000001E-3</v>
      </c>
      <c r="R60" s="510">
        <v>4.0000000000000001E-3</v>
      </c>
      <c r="S60" s="510">
        <f>142/33805</f>
        <v>4.200562047034462E-3</v>
      </c>
      <c r="T60" s="530">
        <f>130/35532</f>
        <v>3.658673871439829E-3</v>
      </c>
    </row>
    <row r="61" spans="1:24">
      <c r="A61" s="528" t="str">
        <f t="shared" si="0"/>
        <v>MongoliaGAM</v>
      </c>
      <c r="B61" s="528" t="s">
        <v>178</v>
      </c>
      <c r="C61" s="528" t="s">
        <v>873</v>
      </c>
      <c r="D61" s="525"/>
      <c r="E61" s="510"/>
      <c r="F61" s="510"/>
      <c r="G61" s="510"/>
      <c r="H61" s="510"/>
      <c r="I61" s="510">
        <v>1.89E-2</v>
      </c>
      <c r="J61" s="510">
        <v>1.9699999999999999E-2</v>
      </c>
      <c r="K61" s="510">
        <v>2.23E-2</v>
      </c>
      <c r="L61" s="510">
        <v>2.5100000000000001E-2</v>
      </c>
      <c r="M61" s="510">
        <v>2.06E-2</v>
      </c>
      <c r="N61" s="510">
        <v>1.9800000000000002E-2</v>
      </c>
      <c r="O61" s="510">
        <v>2.5600000000000001E-2</v>
      </c>
      <c r="P61" s="510">
        <v>3.04E-2</v>
      </c>
      <c r="Q61" s="510">
        <v>2.3800000000000002E-2</v>
      </c>
      <c r="R61" s="510">
        <v>2.4E-2</v>
      </c>
      <c r="S61" s="510">
        <f>1507/76402</f>
        <v>1.9724614538886416E-2</v>
      </c>
      <c r="T61" s="530">
        <f>1528/77584</f>
        <v>1.969478242936688E-2</v>
      </c>
    </row>
    <row r="62" spans="1:24">
      <c r="A62" t="str">
        <f t="shared" si="0"/>
        <v>MoroccoGAM</v>
      </c>
      <c r="B62" s="528" t="s">
        <v>931</v>
      </c>
      <c r="C62" s="528" t="s">
        <v>873</v>
      </c>
      <c r="I62" s="536"/>
      <c r="J62" s="536"/>
      <c r="K62" s="536"/>
      <c r="L62" s="536"/>
      <c r="M62" s="536"/>
      <c r="N62" s="536"/>
      <c r="O62" s="536"/>
      <c r="P62" s="536"/>
      <c r="Q62" s="536"/>
      <c r="R62" s="536">
        <v>1.2999999999999999E-2</v>
      </c>
      <c r="S62" s="536">
        <v>8.9999999999999993E-3</v>
      </c>
      <c r="T62" s="536">
        <v>3.0000000000000001E-3</v>
      </c>
      <c r="U62" s="536"/>
      <c r="V62" s="536"/>
      <c r="W62" s="536"/>
      <c r="X62" s="536"/>
    </row>
    <row r="63" spans="1:24">
      <c r="A63" s="528" t="str">
        <f t="shared" si="0"/>
        <v>MozambiqueGAM</v>
      </c>
      <c r="B63" s="528" t="s">
        <v>138</v>
      </c>
      <c r="C63" s="528" t="s">
        <v>873</v>
      </c>
      <c r="D63" s="529"/>
      <c r="E63" s="530"/>
      <c r="F63" s="530"/>
      <c r="G63" s="530"/>
      <c r="H63" s="530"/>
      <c r="I63" s="526">
        <v>7.8799999999999995E-2</v>
      </c>
      <c r="J63" s="510">
        <v>6.93E-2</v>
      </c>
      <c r="K63" s="516"/>
      <c r="L63" s="510">
        <v>5.4800000000000001E-2</v>
      </c>
      <c r="M63" s="510">
        <v>6.4399999999999999E-2</v>
      </c>
      <c r="N63" s="510">
        <v>5.8000000000000003E-2</v>
      </c>
      <c r="O63" s="510">
        <v>4.1300000000000003E-2</v>
      </c>
      <c r="P63" s="510">
        <v>3.8600000000000002E-2</v>
      </c>
      <c r="Q63" s="510">
        <v>3.7900000000000003E-2</v>
      </c>
      <c r="R63" s="510">
        <v>4.5999999999999999E-2</v>
      </c>
      <c r="S63" s="510">
        <f>1507/76402</f>
        <v>1.9724614538886416E-2</v>
      </c>
      <c r="T63" s="530">
        <f>40715/1389740</f>
        <v>2.9296846892224445E-2</v>
      </c>
    </row>
    <row r="64" spans="1:24">
      <c r="A64" t="str">
        <f t="shared" si="0"/>
        <v>MyanmarGAM</v>
      </c>
      <c r="B64" s="528" t="s">
        <v>932</v>
      </c>
      <c r="C64" s="528" t="s">
        <v>873</v>
      </c>
      <c r="I64" s="536"/>
      <c r="J64" s="536"/>
      <c r="K64" s="536"/>
      <c r="L64" s="536"/>
      <c r="M64" s="536"/>
      <c r="N64" s="536"/>
      <c r="O64" s="536"/>
      <c r="P64" s="536"/>
      <c r="Q64" s="536">
        <v>8.0000000000000002E-3</v>
      </c>
      <c r="R64" s="536">
        <v>2E-3</v>
      </c>
      <c r="S64" s="536">
        <v>3.0000000000000001E-3</v>
      </c>
      <c r="T64" s="536">
        <v>5.0000000000000001E-3</v>
      </c>
      <c r="U64" s="536"/>
      <c r="V64" s="536"/>
      <c r="W64" s="536"/>
      <c r="X64" s="536"/>
    </row>
    <row r="65" spans="1:24">
      <c r="A65" s="528" t="str">
        <f t="shared" si="0"/>
        <v>NepalGAM</v>
      </c>
      <c r="B65" s="528" t="s">
        <v>179</v>
      </c>
      <c r="C65" s="528" t="s">
        <v>873</v>
      </c>
    </row>
    <row r="66" spans="1:24">
      <c r="A66" s="528" t="str">
        <f t="shared" si="0"/>
        <v>NicaraguaGAM</v>
      </c>
      <c r="B66" s="528" t="s">
        <v>359</v>
      </c>
      <c r="C66" s="528" t="s">
        <v>873</v>
      </c>
      <c r="D66" s="529"/>
      <c r="E66" s="530"/>
      <c r="F66" s="530"/>
      <c r="G66" s="530"/>
      <c r="H66" s="530"/>
      <c r="I66" s="509"/>
      <c r="J66" s="510"/>
      <c r="K66" s="510"/>
      <c r="L66" s="530"/>
      <c r="M66" s="531"/>
      <c r="N66" s="531"/>
      <c r="O66" s="531"/>
      <c r="P66" s="531"/>
      <c r="Q66" s="531"/>
      <c r="R66" s="530">
        <v>1E-3</v>
      </c>
      <c r="S66" s="530">
        <f>116/118533</f>
        <v>9.7863042359511696E-4</v>
      </c>
      <c r="T66" s="530">
        <f>133/128378</f>
        <v>1.036003053482684E-3</v>
      </c>
    </row>
    <row r="67" spans="1:24">
      <c r="A67" s="528" t="str">
        <f t="shared" si="0"/>
        <v>NigerGAM</v>
      </c>
      <c r="B67" s="528" t="s">
        <v>139</v>
      </c>
      <c r="C67" s="528" t="s">
        <v>873</v>
      </c>
      <c r="D67" s="529"/>
      <c r="E67" s="530"/>
      <c r="F67" s="530"/>
      <c r="G67" s="530"/>
      <c r="H67" s="530"/>
      <c r="I67" s="509"/>
      <c r="J67" s="510"/>
      <c r="K67" s="510"/>
      <c r="L67" s="510"/>
      <c r="M67" s="510">
        <v>2.0999999999999999E-3</v>
      </c>
      <c r="N67" s="516"/>
      <c r="O67" s="510">
        <v>1.9E-3</v>
      </c>
      <c r="P67" s="516"/>
      <c r="Q67" s="510">
        <v>8.9999999999999993E-3</v>
      </c>
      <c r="T67" s="530">
        <f>2277/85733</f>
        <v>2.6559201241062369E-2</v>
      </c>
    </row>
    <row r="68" spans="1:24">
      <c r="A68" s="528" t="str">
        <f t="shared" ref="A68:A135" si="1">B68&amp;C68</f>
        <v>NigeriaGAM</v>
      </c>
      <c r="B68" s="528" t="s">
        <v>140</v>
      </c>
      <c r="C68" s="528" t="s">
        <v>873</v>
      </c>
      <c r="D68" s="530">
        <v>1.4999999999999999E-2</v>
      </c>
      <c r="E68" s="531"/>
      <c r="F68" s="531"/>
      <c r="G68" s="531"/>
      <c r="H68" s="531"/>
      <c r="I68" s="531"/>
      <c r="J68" s="531"/>
      <c r="K68" s="531"/>
      <c r="L68" s="531"/>
      <c r="M68" s="510">
        <v>1.6199999999999999E-2</v>
      </c>
      <c r="N68" s="510">
        <v>7.0000000000000001E-3</v>
      </c>
      <c r="O68" s="510">
        <v>1.2200000000000001E-2</v>
      </c>
      <c r="P68" s="510">
        <v>7.6E-3</v>
      </c>
      <c r="Q68" s="510">
        <f>2359/474989</f>
        <v>4.9664308015554045E-3</v>
      </c>
      <c r="T68" s="530">
        <f>1761/469015</f>
        <v>3.7546773557348913E-3</v>
      </c>
    </row>
    <row r="69" spans="1:24">
      <c r="A69" t="str">
        <f t="shared" si="1"/>
        <v>OmanGAM</v>
      </c>
      <c r="B69" s="528" t="s">
        <v>933</v>
      </c>
      <c r="C69" s="528" t="s">
        <v>873</v>
      </c>
      <c r="I69" s="536"/>
      <c r="J69" s="536"/>
      <c r="K69" s="536"/>
      <c r="L69" s="536"/>
      <c r="M69" s="536"/>
      <c r="N69" s="536"/>
      <c r="O69" s="536"/>
      <c r="P69" s="536"/>
      <c r="Q69" s="536">
        <f>8/91014</f>
        <v>8.7898565055925462E-5</v>
      </c>
      <c r="R69" s="536">
        <f>22/87707</f>
        <v>2.5083516709042606E-4</v>
      </c>
      <c r="S69" s="536">
        <f>15/88124</f>
        <v>1.7021469747174436E-4</v>
      </c>
      <c r="T69" s="536"/>
      <c r="U69" s="536"/>
      <c r="V69" s="536"/>
      <c r="W69" s="536"/>
      <c r="X69" s="536"/>
    </row>
    <row r="70" spans="1:24">
      <c r="A70" s="528" t="str">
        <f t="shared" si="1"/>
        <v>PanamaGAM</v>
      </c>
      <c r="B70" s="528" t="s">
        <v>180</v>
      </c>
      <c r="C70" s="528" t="s">
        <v>873</v>
      </c>
      <c r="D70" s="529"/>
      <c r="E70" s="530"/>
      <c r="F70" s="530"/>
      <c r="G70" s="530"/>
      <c r="H70" s="530"/>
      <c r="I70" s="509"/>
      <c r="J70" s="510"/>
      <c r="K70" s="510"/>
      <c r="L70" s="510"/>
      <c r="M70" s="510"/>
      <c r="N70" s="510">
        <v>1.18E-2</v>
      </c>
      <c r="O70" s="510">
        <v>1.04E-2</v>
      </c>
      <c r="P70" s="510">
        <v>1.61E-2</v>
      </c>
      <c r="Q70" s="516"/>
      <c r="T70" s="530">
        <f>629/36329</f>
        <v>1.7313991576977071E-2</v>
      </c>
    </row>
    <row r="71" spans="1:24">
      <c r="A71" s="528" t="str">
        <f t="shared" si="1"/>
        <v>Papua New GuineaGAM</v>
      </c>
      <c r="B71" s="528" t="s">
        <v>181</v>
      </c>
      <c r="C71" s="528" t="s">
        <v>873</v>
      </c>
      <c r="D71" s="529"/>
      <c r="E71" s="530"/>
      <c r="F71" s="530"/>
      <c r="G71" s="530"/>
      <c r="H71" s="530"/>
      <c r="I71" s="510">
        <v>2.3599999999999999E-2</v>
      </c>
      <c r="J71" s="510">
        <v>5.7799999999999997E-2</v>
      </c>
      <c r="K71" s="510">
        <v>7.0199999999999999E-2</v>
      </c>
      <c r="L71" s="510">
        <v>6.7000000000000004E-2</v>
      </c>
      <c r="M71" s="516"/>
      <c r="N71" s="516"/>
      <c r="O71" s="516"/>
      <c r="P71" s="516"/>
      <c r="Q71" s="510">
        <v>5.1299999999999998E-2</v>
      </c>
      <c r="R71" s="510">
        <v>6.8000000000000005E-2</v>
      </c>
      <c r="S71" s="510">
        <f>832/15382</f>
        <v>5.4089195163177742E-2</v>
      </c>
      <c r="T71" s="530">
        <f>828/13501</f>
        <v>6.1328790459965928E-2</v>
      </c>
    </row>
    <row r="72" spans="1:24">
      <c r="A72" s="528" t="str">
        <f t="shared" si="1"/>
        <v>ParaguayGAM</v>
      </c>
      <c r="B72" s="528" t="s">
        <v>182</v>
      </c>
      <c r="C72" s="528" t="s">
        <v>873</v>
      </c>
      <c r="D72" s="529"/>
      <c r="E72" s="530"/>
      <c r="F72" s="530"/>
      <c r="G72" s="530"/>
      <c r="H72" s="530"/>
      <c r="I72" s="515">
        <v>4.65E-2</v>
      </c>
      <c r="J72" s="516"/>
      <c r="K72" s="510">
        <v>4.53E-2</v>
      </c>
      <c r="L72" s="510">
        <v>3.3700000000000001E-2</v>
      </c>
      <c r="M72" s="510">
        <v>2.1100000000000001E-2</v>
      </c>
      <c r="N72" s="510">
        <v>2.8400000000000002E-2</v>
      </c>
      <c r="O72" s="510">
        <v>1.14E-2</v>
      </c>
      <c r="P72" s="510">
        <v>4.3400000000000001E-2</v>
      </c>
      <c r="Q72" s="510">
        <v>2.8899999999999999E-2</v>
      </c>
      <c r="R72" s="510">
        <v>1.9E-2</v>
      </c>
      <c r="S72" s="510">
        <f>2312/101072</f>
        <v>2.28747823333861E-2</v>
      </c>
      <c r="T72" s="530">
        <f>2980/98638</f>
        <v>3.0211480362537766E-2</v>
      </c>
    </row>
    <row r="73" spans="1:24">
      <c r="A73" s="528" t="str">
        <f t="shared" si="1"/>
        <v>PeruGAM</v>
      </c>
      <c r="B73" s="528" t="s">
        <v>360</v>
      </c>
      <c r="C73" s="528" t="s">
        <v>873</v>
      </c>
      <c r="D73" s="529"/>
      <c r="E73" s="530"/>
      <c r="F73" s="530"/>
      <c r="G73" s="530"/>
      <c r="H73" s="530"/>
      <c r="I73" s="509"/>
      <c r="J73" s="510"/>
      <c r="K73" s="510"/>
      <c r="L73" s="530"/>
      <c r="M73" s="531"/>
      <c r="N73" s="531"/>
      <c r="O73" s="531"/>
      <c r="P73" s="531"/>
      <c r="Q73" s="531"/>
      <c r="R73" s="530">
        <v>3.0000000000000001E-3</v>
      </c>
      <c r="S73" s="527"/>
      <c r="T73" s="530">
        <f>1708/468529</f>
        <v>3.6454520424562833E-3</v>
      </c>
    </row>
    <row r="74" spans="1:24">
      <c r="A74" t="str">
        <f t="shared" si="1"/>
        <v>Republic of the CongoGAM</v>
      </c>
      <c r="B74" s="528" t="s">
        <v>934</v>
      </c>
      <c r="C74" s="528" t="s">
        <v>873</v>
      </c>
      <c r="I74" s="536"/>
      <c r="J74" s="536"/>
      <c r="K74" s="536"/>
      <c r="L74" s="536"/>
      <c r="M74" s="536"/>
      <c r="N74" s="536"/>
      <c r="O74" s="536"/>
      <c r="P74" s="536"/>
      <c r="Q74" s="536">
        <v>0.01</v>
      </c>
      <c r="R74" s="536"/>
      <c r="S74" s="536"/>
      <c r="T74" s="536">
        <v>7.0999999999999994E-2</v>
      </c>
      <c r="U74" s="536"/>
      <c r="V74" s="536"/>
      <c r="W74" s="536"/>
      <c r="X74" s="536"/>
    </row>
    <row r="75" spans="1:24">
      <c r="A75" s="528" t="str">
        <f t="shared" si="1"/>
        <v>RwandaGAM</v>
      </c>
      <c r="B75" s="528" t="s">
        <v>953</v>
      </c>
      <c r="C75" s="528" t="s">
        <v>873</v>
      </c>
      <c r="I75" s="536"/>
      <c r="J75" s="536"/>
      <c r="K75" s="536"/>
      <c r="L75" s="536"/>
      <c r="M75" s="536"/>
      <c r="N75" s="536"/>
      <c r="O75" s="536"/>
      <c r="P75" s="536"/>
      <c r="Q75" s="536"/>
      <c r="R75" s="536"/>
      <c r="S75" s="536"/>
      <c r="T75" s="536"/>
      <c r="U75" s="536"/>
      <c r="V75" s="536"/>
      <c r="W75" s="536"/>
      <c r="X75" s="536"/>
    </row>
    <row r="76" spans="1:24">
      <c r="A76" s="528" t="str">
        <f t="shared" si="1"/>
        <v>Saint Kitts &amp; NevisGAM</v>
      </c>
      <c r="B76" s="528" t="s">
        <v>361</v>
      </c>
      <c r="C76" s="528" t="s">
        <v>873</v>
      </c>
      <c r="D76" s="529"/>
      <c r="E76" s="530"/>
      <c r="F76" s="530"/>
      <c r="G76" s="530"/>
      <c r="H76" s="530"/>
      <c r="I76" s="509"/>
      <c r="J76" s="510"/>
      <c r="K76" s="510"/>
      <c r="L76" s="530"/>
      <c r="M76" s="531"/>
      <c r="N76" s="531"/>
      <c r="O76" s="531"/>
      <c r="P76" s="531"/>
      <c r="Q76" s="531"/>
      <c r="R76" s="530">
        <v>0</v>
      </c>
      <c r="T76" s="530">
        <f>2/591</f>
        <v>3.3840947546531302E-3</v>
      </c>
    </row>
    <row r="77" spans="1:24">
      <c r="A77" s="528" t="str">
        <f t="shared" si="1"/>
        <v>Saint LuciaGAM</v>
      </c>
      <c r="B77" s="528" t="s">
        <v>362</v>
      </c>
      <c r="C77" s="528" t="s">
        <v>873</v>
      </c>
      <c r="D77" s="529"/>
      <c r="E77" s="530"/>
      <c r="F77" s="530"/>
      <c r="G77" s="530"/>
      <c r="H77" s="530"/>
      <c r="I77" s="509"/>
      <c r="J77" s="510"/>
      <c r="K77" s="510"/>
      <c r="L77" s="530"/>
      <c r="M77" s="531"/>
      <c r="N77" s="531"/>
      <c r="O77" s="531"/>
      <c r="P77" s="531"/>
      <c r="Q77" s="531"/>
      <c r="R77" s="530">
        <v>2.5000000000000001E-2</v>
      </c>
      <c r="T77" s="530">
        <f>58/1895</f>
        <v>3.0606860158311346E-2</v>
      </c>
    </row>
    <row r="78" spans="1:24">
      <c r="A78" s="528" t="str">
        <f t="shared" si="1"/>
        <v>Saint Vincent &amp; the GrenadinesGAM</v>
      </c>
      <c r="B78" s="528" t="s">
        <v>363</v>
      </c>
      <c r="C78" s="528" t="s">
        <v>873</v>
      </c>
    </row>
    <row r="79" spans="1:24">
      <c r="A79" s="528" t="str">
        <f t="shared" si="1"/>
        <v>SamoaGAM</v>
      </c>
      <c r="B79" s="528" t="s">
        <v>183</v>
      </c>
      <c r="C79" s="528" t="s">
        <v>873</v>
      </c>
      <c r="D79" s="529"/>
      <c r="E79" s="530"/>
      <c r="F79" s="530"/>
      <c r="G79" s="530"/>
      <c r="H79" s="530"/>
      <c r="I79" s="509"/>
      <c r="J79" s="510"/>
      <c r="K79" s="510"/>
      <c r="L79" s="510">
        <v>2.9999999999999997E-4</v>
      </c>
      <c r="M79" s="516"/>
      <c r="N79" s="510">
        <v>1.6999999999999999E-3</v>
      </c>
      <c r="O79" s="510">
        <v>1.1000000000000001E-3</v>
      </c>
      <c r="P79" s="510">
        <v>6.9999999999999999E-4</v>
      </c>
      <c r="Q79" s="510">
        <v>2.7000000000000001E-3</v>
      </c>
      <c r="R79" s="510">
        <v>1E-3</v>
      </c>
      <c r="S79" s="510">
        <f>38/5694</f>
        <v>6.6736916051984545E-3</v>
      </c>
      <c r="T79" s="530">
        <f>12/4369</f>
        <v>2.7466239414053561E-3</v>
      </c>
    </row>
    <row r="80" spans="1:24">
      <c r="A80" s="528" t="str">
        <f t="shared" si="1"/>
        <v>Sao Tome &amp; PrincipeGAM</v>
      </c>
      <c r="B80" s="528" t="s">
        <v>364</v>
      </c>
      <c r="C80" s="528" t="s">
        <v>873</v>
      </c>
      <c r="D80" s="529"/>
      <c r="E80" s="530"/>
      <c r="F80" s="530"/>
      <c r="G80" s="530"/>
      <c r="H80" s="530"/>
      <c r="I80" s="509"/>
      <c r="J80" s="510">
        <v>3.5999999999999999E-3</v>
      </c>
      <c r="K80" s="510">
        <v>4.4999999999999997E-3</v>
      </c>
      <c r="L80" s="510">
        <v>8.8999999999999999E-3</v>
      </c>
      <c r="M80" s="510">
        <v>1.61E-2</v>
      </c>
      <c r="N80" s="516"/>
      <c r="O80" s="510">
        <v>1.4800000000000001E-2</v>
      </c>
      <c r="P80" s="510">
        <v>8.6999999999999994E-3</v>
      </c>
      <c r="Q80" s="516"/>
      <c r="R80" s="510">
        <v>8.0000000000000002E-3</v>
      </c>
      <c r="T80" s="530">
        <f>94/5655</f>
        <v>1.6622458001768346E-2</v>
      </c>
    </row>
    <row r="81" spans="1:24">
      <c r="A81" t="str">
        <f t="shared" si="1"/>
        <v>Saudi ArabiaGAM</v>
      </c>
      <c r="B81" s="528" t="s">
        <v>935</v>
      </c>
      <c r="C81" s="528" t="s">
        <v>873</v>
      </c>
      <c r="I81" s="536"/>
      <c r="J81" s="536"/>
      <c r="K81" s="536"/>
      <c r="L81" s="536"/>
      <c r="M81" s="536"/>
      <c r="N81" s="536"/>
      <c r="O81" s="536"/>
      <c r="P81" s="536"/>
      <c r="Q81" s="536"/>
      <c r="R81" s="536">
        <f>4/147264</f>
        <v>2.7162103433289875E-5</v>
      </c>
      <c r="S81" s="536">
        <f>4/150935</f>
        <v>2.6501474144499287E-5</v>
      </c>
      <c r="T81" s="536">
        <f>29/256717</f>
        <v>1.1296486013781713E-4</v>
      </c>
      <c r="U81" s="536"/>
      <c r="V81" s="536"/>
      <c r="W81" s="536"/>
      <c r="X81" s="536"/>
    </row>
    <row r="82" spans="1:24">
      <c r="A82" s="528" t="str">
        <f t="shared" si="1"/>
        <v>SenegalGAM</v>
      </c>
      <c r="B82" s="528" t="s">
        <v>141</v>
      </c>
      <c r="C82" s="528" t="s">
        <v>873</v>
      </c>
      <c r="D82" s="529"/>
      <c r="E82" s="530"/>
      <c r="F82" s="530"/>
      <c r="G82" s="530"/>
      <c r="H82" s="530"/>
      <c r="I82" s="509"/>
      <c r="J82" s="510"/>
      <c r="K82" s="510"/>
      <c r="L82" s="510"/>
      <c r="M82" s="510"/>
      <c r="N82" s="510"/>
      <c r="O82" s="510"/>
      <c r="P82" s="510"/>
      <c r="Q82" s="510">
        <v>4.82E-2</v>
      </c>
      <c r="R82" s="510">
        <v>2.4E-2</v>
      </c>
      <c r="S82" s="510">
        <f>3192/367533</f>
        <v>8.6849344140526152E-3</v>
      </c>
      <c r="T82" s="530">
        <f>2521/427465</f>
        <v>5.8975588644684359E-3</v>
      </c>
    </row>
    <row r="83" spans="1:24">
      <c r="A83" s="528" t="str">
        <f t="shared" si="1"/>
        <v>SeychellesGAM</v>
      </c>
      <c r="B83" s="528" t="s">
        <v>151</v>
      </c>
      <c r="C83" s="528" t="s">
        <v>873</v>
      </c>
      <c r="D83" s="529"/>
      <c r="E83" s="530"/>
      <c r="F83" s="530"/>
      <c r="G83" s="530"/>
      <c r="H83" s="530"/>
      <c r="I83" s="509"/>
      <c r="J83" s="510"/>
      <c r="K83" s="510"/>
      <c r="L83" s="510">
        <v>1.1999999999999999E-3</v>
      </c>
      <c r="M83" s="510">
        <v>0</v>
      </c>
      <c r="N83" s="516"/>
      <c r="O83" s="510">
        <v>1.1999999999999999E-3</v>
      </c>
      <c r="P83" s="510">
        <v>0</v>
      </c>
      <c r="Q83" s="510">
        <v>1.1999999999999999E-3</v>
      </c>
      <c r="R83" s="510">
        <v>1E-3</v>
      </c>
      <c r="S83" s="510">
        <v>0</v>
      </c>
      <c r="T83" s="530">
        <f>0/1587</f>
        <v>0</v>
      </c>
    </row>
    <row r="84" spans="1:24">
      <c r="A84" t="str">
        <f t="shared" si="1"/>
        <v>Sierra LeoneGAM</v>
      </c>
      <c r="B84" s="528" t="s">
        <v>936</v>
      </c>
      <c r="C84" s="528" t="s">
        <v>873</v>
      </c>
      <c r="I84" s="536"/>
      <c r="J84" s="536"/>
      <c r="K84" s="536"/>
      <c r="L84" s="536"/>
      <c r="M84" s="536"/>
      <c r="N84" s="536"/>
      <c r="O84" s="536"/>
      <c r="P84" s="536"/>
      <c r="Q84" s="536">
        <f>24/201126</f>
        <v>1.1932818233346261E-4</v>
      </c>
      <c r="R84" s="536">
        <f>32/232236</f>
        <v>1.3779086791022925E-4</v>
      </c>
      <c r="S84" s="536">
        <v>1.2E-2</v>
      </c>
      <c r="T84" s="536">
        <v>8.9999999999999993E-3</v>
      </c>
      <c r="U84" s="536"/>
      <c r="V84" s="536"/>
      <c r="W84" s="536"/>
      <c r="X84" s="536"/>
    </row>
    <row r="85" spans="1:24">
      <c r="A85" t="str">
        <f t="shared" si="1"/>
        <v>SomaliaGAM</v>
      </c>
      <c r="B85" s="528" t="s">
        <v>937</v>
      </c>
      <c r="C85" s="528" t="s">
        <v>873</v>
      </c>
      <c r="I85" s="536"/>
      <c r="J85" s="536"/>
      <c r="K85" s="536"/>
      <c r="L85" s="536"/>
      <c r="M85" s="536"/>
      <c r="N85" s="536"/>
      <c r="O85" s="536"/>
      <c r="P85" s="536"/>
      <c r="Q85" s="536">
        <v>1.2999999999999999E-2</v>
      </c>
      <c r="R85" s="536">
        <v>1.4E-2</v>
      </c>
      <c r="S85" s="536">
        <v>0.04</v>
      </c>
      <c r="T85" s="536">
        <v>4.1000000000000002E-2</v>
      </c>
      <c r="U85" s="536"/>
      <c r="V85" s="536"/>
      <c r="W85" s="536"/>
      <c r="X85" s="536"/>
    </row>
    <row r="86" spans="1:24">
      <c r="A86" s="528" t="str">
        <f t="shared" si="1"/>
        <v>South AfricaGAM</v>
      </c>
      <c r="B86" s="528" t="s">
        <v>0</v>
      </c>
      <c r="C86" s="528" t="s">
        <v>873</v>
      </c>
      <c r="D86" s="323"/>
      <c r="E86" s="101"/>
      <c r="F86" s="101"/>
      <c r="G86" s="101"/>
      <c r="H86" s="101"/>
      <c r="I86" s="1"/>
      <c r="J86" s="177">
        <v>3.9100000000000003E-2</v>
      </c>
      <c r="K86" s="177">
        <v>2.1600000000000001E-2</v>
      </c>
      <c r="L86" s="101">
        <v>1.6E-2</v>
      </c>
      <c r="M86" s="510"/>
      <c r="N86" s="516"/>
      <c r="O86" s="510"/>
      <c r="P86" s="510"/>
      <c r="Q86" s="510"/>
      <c r="R86" s="510"/>
      <c r="S86" s="510"/>
      <c r="T86" s="530">
        <f>919/1148750</f>
        <v>8.0000000000000004E-4</v>
      </c>
    </row>
    <row r="87" spans="1:24">
      <c r="A87" t="str">
        <f t="shared" si="1"/>
        <v>South SudanGAM</v>
      </c>
      <c r="B87" s="528" t="s">
        <v>938</v>
      </c>
      <c r="C87" s="528" t="s">
        <v>873</v>
      </c>
      <c r="I87" s="536"/>
      <c r="J87" s="536"/>
      <c r="K87" s="536"/>
      <c r="L87" s="536"/>
      <c r="M87" s="536"/>
      <c r="N87" s="536"/>
      <c r="O87" s="536"/>
      <c r="P87" s="536"/>
      <c r="Q87" s="536"/>
      <c r="R87" s="536">
        <v>7.5999999999999998E-2</v>
      </c>
      <c r="S87" s="536">
        <v>5.8000000000000003E-2</v>
      </c>
      <c r="T87" s="536">
        <v>0.109</v>
      </c>
      <c r="U87" s="536"/>
      <c r="V87" s="536"/>
      <c r="W87" s="536"/>
      <c r="X87" s="536"/>
    </row>
    <row r="88" spans="1:24">
      <c r="A88" t="str">
        <f t="shared" si="1"/>
        <v>Solomon IslandsGAM</v>
      </c>
      <c r="B88" s="528" t="s">
        <v>950</v>
      </c>
      <c r="C88" s="528" t="s">
        <v>873</v>
      </c>
      <c r="I88" s="536"/>
      <c r="J88" s="536"/>
      <c r="K88" s="536"/>
      <c r="L88" s="536"/>
      <c r="M88" s="536"/>
      <c r="N88" s="536"/>
      <c r="O88" s="536"/>
      <c r="P88" s="536"/>
      <c r="Q88" s="536"/>
      <c r="R88" s="536"/>
      <c r="S88" s="536"/>
      <c r="T88" s="536"/>
      <c r="U88" s="536"/>
      <c r="V88" s="536"/>
      <c r="W88" s="536"/>
      <c r="X88" s="536"/>
    </row>
    <row r="89" spans="1:24">
      <c r="A89" s="528" t="str">
        <f t="shared" si="1"/>
        <v>Sri LankaGAM</v>
      </c>
      <c r="B89" s="528" t="s">
        <v>374</v>
      </c>
      <c r="C89" s="528" t="s">
        <v>873</v>
      </c>
      <c r="D89" s="529"/>
      <c r="E89" s="530"/>
      <c r="F89" s="530"/>
      <c r="G89" s="530"/>
      <c r="H89" s="530"/>
      <c r="I89" s="509"/>
      <c r="J89" s="510"/>
      <c r="K89" s="510"/>
      <c r="L89" s="510"/>
      <c r="M89" s="510">
        <v>1.2501423773263065E-4</v>
      </c>
      <c r="N89" s="510">
        <v>2.6246575642084195E-4</v>
      </c>
      <c r="O89" s="510">
        <v>3.3169866891611738E-4</v>
      </c>
      <c r="P89" s="510">
        <v>2.8672036700206976E-4</v>
      </c>
      <c r="Q89" s="510">
        <v>2.4163855101442885E-4</v>
      </c>
      <c r="R89" s="510">
        <v>1.3188080428888643E-4</v>
      </c>
      <c r="S89" s="510">
        <v>8.3903782613978952E-5</v>
      </c>
      <c r="T89" s="530">
        <f>44/334275</f>
        <v>1.3162815047490839E-4</v>
      </c>
    </row>
    <row r="90" spans="1:24">
      <c r="A90" s="528" t="str">
        <f t="shared" si="1"/>
        <v>SurinameGAM</v>
      </c>
      <c r="B90" s="528" t="s">
        <v>365</v>
      </c>
      <c r="C90" s="528" t="s">
        <v>873</v>
      </c>
    </row>
    <row r="91" spans="1:24">
      <c r="A91" s="528" t="str">
        <f t="shared" si="1"/>
        <v>TanzaniaGAM</v>
      </c>
      <c r="B91" s="528" t="s">
        <v>143</v>
      </c>
      <c r="C91" s="528" t="s">
        <v>873</v>
      </c>
      <c r="D91" s="529"/>
      <c r="E91" s="530"/>
      <c r="F91" s="530"/>
      <c r="G91" s="530">
        <v>4.3999999999999997E-2</v>
      </c>
      <c r="H91" s="531"/>
      <c r="I91" s="510">
        <v>2.7799999999999998E-2</v>
      </c>
      <c r="J91" s="516"/>
      <c r="K91" s="510">
        <v>3.7900000000000003E-2</v>
      </c>
      <c r="L91" s="510">
        <v>2.46E-2</v>
      </c>
      <c r="M91" s="516"/>
      <c r="N91" s="516"/>
      <c r="O91" s="510">
        <v>2.46E-2</v>
      </c>
      <c r="P91" s="510">
        <v>2.3699999999999999E-2</v>
      </c>
      <c r="Q91" s="510">
        <v>2.2100000000000002E-2</v>
      </c>
      <c r="R91" s="530">
        <v>1.7999999999999999E-2</v>
      </c>
      <c r="S91" s="530">
        <f>25863/1521120</f>
        <v>1.7002603344903756E-2</v>
      </c>
      <c r="T91" s="530">
        <f>29829/1727724</f>
        <v>1.7264910367628162E-2</v>
      </c>
    </row>
    <row r="92" spans="1:24">
      <c r="A92" s="528" t="str">
        <f t="shared" si="1"/>
        <v>ThailandGAM</v>
      </c>
      <c r="B92" s="528" t="s">
        <v>185</v>
      </c>
      <c r="C92" s="528" t="s">
        <v>873</v>
      </c>
      <c r="D92" s="529"/>
      <c r="E92" s="530"/>
      <c r="F92" s="530"/>
      <c r="G92" s="530"/>
      <c r="H92" s="530"/>
      <c r="I92" s="515">
        <v>1.5E-3</v>
      </c>
      <c r="J92" s="510">
        <v>1.2999999999999999E-3</v>
      </c>
      <c r="K92" s="510">
        <v>1E-3</v>
      </c>
      <c r="L92" s="510">
        <v>1.2999999999999999E-3</v>
      </c>
      <c r="M92" s="510">
        <v>5.9999999999999995E-4</v>
      </c>
      <c r="N92" s="510">
        <v>5.0000000000000001E-4</v>
      </c>
      <c r="O92" s="510">
        <v>6.9999999999999999E-4</v>
      </c>
      <c r="P92" s="510">
        <v>8.0000000000000004E-4</v>
      </c>
      <c r="Q92" s="516"/>
      <c r="R92" s="510">
        <v>2E-3</v>
      </c>
      <c r="T92" s="530">
        <f>2355/606728</f>
        <v>3.8814757189383053E-3</v>
      </c>
    </row>
    <row r="93" spans="1:24">
      <c r="A93" s="528" t="str">
        <f t="shared" si="1"/>
        <v>TogoGAM</v>
      </c>
      <c r="B93" s="528" t="s">
        <v>142</v>
      </c>
      <c r="C93" s="528" t="s">
        <v>873</v>
      </c>
      <c r="D93" s="529"/>
      <c r="E93" s="530"/>
      <c r="F93" s="530"/>
      <c r="G93" s="530"/>
      <c r="H93" s="530"/>
      <c r="I93" s="509">
        <v>1.26</v>
      </c>
      <c r="J93" s="510">
        <v>1.0999999999999999E-2</v>
      </c>
      <c r="K93" s="516"/>
      <c r="L93" s="516"/>
      <c r="M93" s="510">
        <v>1.1900000000000001E-2</v>
      </c>
      <c r="N93" s="510">
        <v>7.6E-3</v>
      </c>
      <c r="O93" s="516"/>
      <c r="P93" s="510">
        <v>1.37E-2</v>
      </c>
      <c r="Q93" s="510">
        <v>2.29E-2</v>
      </c>
      <c r="R93" s="530">
        <v>2.1999999999999999E-2</v>
      </c>
      <c r="S93" s="530">
        <f>1093/73547</f>
        <v>1.4861245190150515E-2</v>
      </c>
      <c r="T93" s="530">
        <f>1325/86998</f>
        <v>1.523023517782018E-2</v>
      </c>
    </row>
    <row r="94" spans="1:24">
      <c r="A94" s="528" t="str">
        <f t="shared" si="1"/>
        <v>Trinidad &amp; TobagoGAM</v>
      </c>
      <c r="B94" s="528" t="s">
        <v>366</v>
      </c>
      <c r="C94" s="528" t="s">
        <v>873</v>
      </c>
      <c r="D94" s="529"/>
      <c r="E94" s="530"/>
      <c r="F94" s="530"/>
      <c r="G94" s="530"/>
      <c r="H94" s="530"/>
      <c r="I94" s="509"/>
      <c r="J94" s="510"/>
      <c r="K94" s="510"/>
      <c r="L94" s="530"/>
      <c r="M94" s="531"/>
      <c r="N94" s="531"/>
      <c r="O94" s="531"/>
      <c r="P94" s="531"/>
      <c r="Q94" s="531"/>
      <c r="R94" s="530">
        <v>1E-3</v>
      </c>
    </row>
    <row r="95" spans="1:24">
      <c r="A95" s="528" t="str">
        <f t="shared" si="1"/>
        <v>UgandaGAM</v>
      </c>
      <c r="B95" s="528" t="s">
        <v>144</v>
      </c>
      <c r="C95" s="528" t="s">
        <v>873</v>
      </c>
      <c r="D95" s="529"/>
      <c r="E95" s="530"/>
      <c r="F95" s="530"/>
      <c r="G95" s="530"/>
      <c r="H95" s="530"/>
      <c r="I95" s="509"/>
      <c r="J95" s="510"/>
      <c r="K95" s="510"/>
      <c r="L95" s="510"/>
      <c r="M95" s="510"/>
      <c r="N95" s="510">
        <v>1.9800000000000002E-2</v>
      </c>
      <c r="O95" s="510">
        <v>6.6900000000000001E-2</v>
      </c>
      <c r="P95" s="510">
        <v>6.4299999999999996E-2</v>
      </c>
      <c r="Q95" s="510">
        <v>2.92E-2</v>
      </c>
      <c r="R95" s="531"/>
      <c r="S95" s="530">
        <f>22042/1038449</f>
        <v>2.1225885912548426E-2</v>
      </c>
      <c r="T95" s="530">
        <f>29877/1588237</f>
        <v>1.8811424239581372E-2</v>
      </c>
    </row>
    <row r="96" spans="1:24">
      <c r="A96" s="528" t="str">
        <f t="shared" si="1"/>
        <v>UkraineGAM</v>
      </c>
      <c r="B96" s="528" t="s">
        <v>186</v>
      </c>
      <c r="C96" s="528" t="s">
        <v>873</v>
      </c>
      <c r="D96" s="529"/>
      <c r="E96" s="530"/>
      <c r="F96" s="530"/>
      <c r="G96" s="530"/>
      <c r="H96" s="530"/>
      <c r="I96" s="509"/>
      <c r="J96" s="510"/>
      <c r="K96" s="510"/>
      <c r="L96" s="510"/>
      <c r="M96" s="510"/>
      <c r="N96" s="510">
        <v>8.0000000000000004E-4</v>
      </c>
      <c r="O96" s="510">
        <v>7.0000000000000001E-3</v>
      </c>
      <c r="P96" s="510">
        <v>1E-3</v>
      </c>
      <c r="Q96" s="530">
        <v>9.8999999999999999E-4</v>
      </c>
      <c r="R96" s="530">
        <v>8.4999999999999995E-4</v>
      </c>
      <c r="S96" s="530">
        <f>25863/1521120</f>
        <v>1.7002603344903756E-2</v>
      </c>
      <c r="T96" s="530">
        <f>407/276822</f>
        <v>1.4702588667085709E-3</v>
      </c>
    </row>
    <row r="97" spans="1:24">
      <c r="A97" s="528" t="str">
        <f t="shared" si="1"/>
        <v>UruguayGAM</v>
      </c>
      <c r="B97" s="528" t="s">
        <v>187</v>
      </c>
      <c r="C97" s="528" t="s">
        <v>873</v>
      </c>
      <c r="D97" s="529"/>
      <c r="E97" s="530"/>
      <c r="F97" s="530"/>
      <c r="G97" s="530"/>
      <c r="H97" s="530"/>
      <c r="I97" s="509"/>
      <c r="J97" s="510">
        <v>1.3299999999999999E-2</v>
      </c>
      <c r="K97" s="516"/>
      <c r="L97" s="516"/>
      <c r="M97" s="510">
        <v>1.5100000000000001E-2</v>
      </c>
      <c r="N97" s="510">
        <v>1.5100000000000001E-2</v>
      </c>
      <c r="O97" s="510">
        <v>8.6E-3</v>
      </c>
      <c r="P97" s="510">
        <v>9.2999999999999992E-3</v>
      </c>
      <c r="Q97" s="510">
        <v>9.2999999999999992E-3</v>
      </c>
      <c r="R97" s="530">
        <v>7.0000000000000001E-3</v>
      </c>
      <c r="T97" s="530">
        <f>650/35343</f>
        <v>1.8391194861783096E-2</v>
      </c>
    </row>
    <row r="98" spans="1:24">
      <c r="A98" s="528" t="str">
        <f t="shared" si="1"/>
        <v>VenezuelaGAM</v>
      </c>
      <c r="B98" s="528" t="s">
        <v>188</v>
      </c>
      <c r="C98" s="528" t="s">
        <v>873</v>
      </c>
      <c r="D98" s="529"/>
      <c r="E98" s="530"/>
      <c r="F98" s="530"/>
      <c r="G98" s="530"/>
      <c r="H98" s="530"/>
      <c r="I98" s="509"/>
      <c r="J98" s="510"/>
      <c r="K98" s="510"/>
      <c r="L98" s="510"/>
      <c r="M98" s="510"/>
      <c r="N98" s="510"/>
      <c r="O98" s="510"/>
      <c r="P98" s="510">
        <v>2.7900000000000001E-2</v>
      </c>
      <c r="Q98" s="530">
        <v>0.02</v>
      </c>
      <c r="T98" s="530">
        <f>2885/81269</f>
        <v>3.5499390911663736E-2</v>
      </c>
    </row>
    <row r="99" spans="1:24">
      <c r="A99" s="528" t="str">
        <f t="shared" si="1"/>
        <v>ZambiaGAM</v>
      </c>
      <c r="B99" s="528" t="s">
        <v>124</v>
      </c>
      <c r="C99" s="528" t="s">
        <v>873</v>
      </c>
      <c r="D99" s="530">
        <v>5.1999999999999998E-2</v>
      </c>
      <c r="E99" s="531">
        <v>5.1999999999999998E-2</v>
      </c>
      <c r="F99" s="531">
        <v>5.1999999999999998E-2</v>
      </c>
      <c r="G99" s="510">
        <v>5.0999999999999997E-2</v>
      </c>
      <c r="H99" s="510">
        <v>4.6800000000000001E-2</v>
      </c>
      <c r="I99" s="516"/>
      <c r="J99" s="516"/>
      <c r="K99" s="510">
        <v>4.3499999999999997E-2</v>
      </c>
      <c r="L99" s="510">
        <v>4.58E-2</v>
      </c>
      <c r="M99" s="510">
        <v>3.5999999999999997E-2</v>
      </c>
      <c r="N99" s="510">
        <v>3.5200000000000002E-2</v>
      </c>
      <c r="O99" s="516"/>
      <c r="P99" s="510">
        <f>21022/422238</f>
        <v>4.9787086903594652E-2</v>
      </c>
    </row>
    <row r="100" spans="1:24">
      <c r="A100" s="528" t="str">
        <f t="shared" si="1"/>
        <v>ZimbabweGAM</v>
      </c>
      <c r="B100" s="528" t="s">
        <v>125</v>
      </c>
      <c r="C100" s="528" t="s">
        <v>873</v>
      </c>
      <c r="D100" s="530"/>
      <c r="E100" s="530"/>
      <c r="F100" s="530"/>
      <c r="G100" s="530"/>
      <c r="H100" s="509"/>
      <c r="I100" s="510">
        <v>3.4000000000000002E-2</v>
      </c>
      <c r="J100" s="510">
        <v>4.3099999999999999E-2</v>
      </c>
      <c r="K100" s="510">
        <v>1.67E-2</v>
      </c>
      <c r="L100" s="510">
        <v>1.8499999999999999E-2</v>
      </c>
      <c r="M100" s="510">
        <v>2.2499999999999999E-2</v>
      </c>
      <c r="N100" s="510">
        <v>2.1399999999999999E-2</v>
      </c>
      <c r="O100" s="510">
        <v>1.9E-2</v>
      </c>
      <c r="P100" s="510">
        <v>2.3699999999999999E-2</v>
      </c>
      <c r="Q100" s="510">
        <v>1.9E-2</v>
      </c>
      <c r="R100" s="510">
        <f>11172/444424</f>
        <v>2.5138156355192339E-2</v>
      </c>
      <c r="T100" s="530">
        <f>9223/403158</f>
        <v>2.2876886977314104E-2</v>
      </c>
    </row>
    <row r="101" spans="1:24">
      <c r="A101" s="528" t="str">
        <f t="shared" si="1"/>
        <v>AfghanistanSpectrum STI</v>
      </c>
      <c r="B101" s="528" t="s">
        <v>928</v>
      </c>
      <c r="C101" s="528" t="s">
        <v>876</v>
      </c>
      <c r="I101" s="536"/>
      <c r="J101" s="536"/>
      <c r="K101" s="536"/>
      <c r="L101" s="536"/>
      <c r="M101" s="536"/>
      <c r="N101" s="536"/>
      <c r="O101" s="536"/>
      <c r="P101" s="536"/>
      <c r="Q101" s="536"/>
      <c r="R101" s="536"/>
      <c r="S101" s="536"/>
      <c r="T101" s="536"/>
      <c r="U101" s="536"/>
      <c r="V101" s="536"/>
      <c r="W101" s="536"/>
      <c r="X101" s="536"/>
    </row>
    <row r="102" spans="1:24">
      <c r="A102" s="528" t="str">
        <f t="shared" si="1"/>
        <v>AngolaSpectrum STI</v>
      </c>
      <c r="B102" s="528" t="s">
        <v>929</v>
      </c>
      <c r="C102" s="528" t="s">
        <v>876</v>
      </c>
      <c r="I102" s="536"/>
      <c r="J102" s="536"/>
      <c r="K102" s="536"/>
      <c r="L102" s="536"/>
      <c r="M102" s="536"/>
      <c r="N102" s="536"/>
      <c r="O102" s="536"/>
      <c r="P102" s="536"/>
      <c r="Q102" s="536"/>
      <c r="R102" s="536"/>
      <c r="S102" s="536"/>
      <c r="T102" s="536"/>
      <c r="U102" s="536"/>
      <c r="V102" s="536"/>
      <c r="W102" s="536"/>
      <c r="X102" s="536"/>
    </row>
    <row r="103" spans="1:24">
      <c r="A103" s="528" t="str">
        <f t="shared" si="1"/>
        <v>Antigua &amp; BarbudaSpectrum STI</v>
      </c>
      <c r="B103" s="528" t="s">
        <v>343</v>
      </c>
      <c r="C103" s="528" t="s">
        <v>876</v>
      </c>
    </row>
    <row r="104" spans="1:24">
      <c r="A104" s="528" t="str">
        <f t="shared" si="1"/>
        <v>ArgentinaSpectrum STI</v>
      </c>
      <c r="B104" s="528" t="s">
        <v>344</v>
      </c>
      <c r="C104" s="528" t="s">
        <v>876</v>
      </c>
    </row>
    <row r="105" spans="1:24">
      <c r="A105" s="528" t="str">
        <f t="shared" si="1"/>
        <v>BahamasSpectrum STI</v>
      </c>
      <c r="B105" s="528" t="s">
        <v>345</v>
      </c>
      <c r="C105" s="528" t="s">
        <v>876</v>
      </c>
    </row>
    <row r="106" spans="1:24">
      <c r="A106" s="528" t="str">
        <f t="shared" si="1"/>
        <v>BangladeshSpectrum STI</v>
      </c>
      <c r="B106" s="528" t="s">
        <v>865</v>
      </c>
      <c r="C106" s="528" t="s">
        <v>876</v>
      </c>
    </row>
    <row r="107" spans="1:24">
      <c r="A107" s="528" t="str">
        <f t="shared" si="1"/>
        <v>BarbadosSpectrum STI</v>
      </c>
      <c r="B107" s="528" t="s">
        <v>346</v>
      </c>
      <c r="C107" s="528" t="s">
        <v>876</v>
      </c>
    </row>
    <row r="108" spans="1:24">
      <c r="A108" s="528" t="str">
        <f t="shared" si="1"/>
        <v>BelarusSpectrum STI</v>
      </c>
      <c r="B108" s="528" t="s">
        <v>166</v>
      </c>
      <c r="C108" s="528" t="s">
        <v>876</v>
      </c>
    </row>
    <row r="109" spans="1:24">
      <c r="A109" s="528" t="str">
        <f t="shared" si="1"/>
        <v>BelizeSpectrum STI</v>
      </c>
      <c r="B109" s="528" t="s">
        <v>368</v>
      </c>
      <c r="C109" s="528" t="s">
        <v>876</v>
      </c>
    </row>
    <row r="110" spans="1:24">
      <c r="A110" s="528" t="str">
        <f t="shared" si="1"/>
        <v>BeninSpectrum STI</v>
      </c>
      <c r="B110" s="528" t="s">
        <v>126</v>
      </c>
      <c r="C110" s="528" t="s">
        <v>876</v>
      </c>
    </row>
    <row r="111" spans="1:24">
      <c r="A111" s="528" t="str">
        <f t="shared" si="1"/>
        <v>BhutanSpectrum STI</v>
      </c>
      <c r="B111" s="528" t="s">
        <v>951</v>
      </c>
      <c r="C111" s="528" t="s">
        <v>876</v>
      </c>
    </row>
    <row r="112" spans="1:24">
      <c r="A112" s="528" t="str">
        <f t="shared" si="1"/>
        <v>BoliviaSpectrum STI</v>
      </c>
      <c r="B112" s="528" t="s">
        <v>798</v>
      </c>
      <c r="C112" s="528" t="s">
        <v>876</v>
      </c>
    </row>
    <row r="113" spans="1:20">
      <c r="A113" s="528" t="str">
        <f t="shared" si="1"/>
        <v>BotswanaSpectrum STI</v>
      </c>
      <c r="B113" s="528" t="s">
        <v>834</v>
      </c>
      <c r="C113" s="528" t="s">
        <v>876</v>
      </c>
    </row>
    <row r="114" spans="1:20">
      <c r="A114" s="528" t="str">
        <f t="shared" si="1"/>
        <v>BrazilSpectrum STI</v>
      </c>
      <c r="B114" s="528" t="s">
        <v>167</v>
      </c>
      <c r="C114" s="528" t="s">
        <v>876</v>
      </c>
    </row>
    <row r="115" spans="1:20">
      <c r="A115" s="528" t="str">
        <f t="shared" si="1"/>
        <v>BruneiSpectrum STI</v>
      </c>
      <c r="B115" s="528" t="s">
        <v>952</v>
      </c>
      <c r="C115" s="528" t="s">
        <v>876</v>
      </c>
    </row>
    <row r="116" spans="1:20">
      <c r="A116" s="528" t="str">
        <f t="shared" si="1"/>
        <v>Burkina FasoSpectrum STI</v>
      </c>
      <c r="B116" s="528" t="s">
        <v>168</v>
      </c>
      <c r="C116" s="528" t="s">
        <v>876</v>
      </c>
    </row>
    <row r="117" spans="1:20">
      <c r="A117" s="528" t="str">
        <f t="shared" si="1"/>
        <v>BurundiSpectrum STI</v>
      </c>
      <c r="B117" s="528" t="s">
        <v>165</v>
      </c>
      <c r="C117" s="528" t="s">
        <v>876</v>
      </c>
    </row>
    <row r="118" spans="1:20">
      <c r="A118" s="528" t="str">
        <f t="shared" si="1"/>
        <v>Cabo VerdeSpectrum STI</v>
      </c>
      <c r="B118" s="528" t="s">
        <v>149</v>
      </c>
      <c r="C118" s="528" t="s">
        <v>876</v>
      </c>
    </row>
    <row r="119" spans="1:20" ht="17" thickBot="1">
      <c r="A119" s="528" t="str">
        <f t="shared" si="1"/>
        <v>CambodiaSpectrum STI</v>
      </c>
      <c r="B119" s="528" t="s">
        <v>169</v>
      </c>
      <c r="C119" s="528" t="s">
        <v>876</v>
      </c>
    </row>
    <row r="120" spans="1:20" ht="17" thickBot="1">
      <c r="A120" s="528" t="str">
        <f t="shared" si="1"/>
        <v>Central African RepublicSpectrum STI</v>
      </c>
      <c r="B120" s="528" t="s">
        <v>153</v>
      </c>
      <c r="C120" s="528" t="s">
        <v>876</v>
      </c>
      <c r="D120" s="763"/>
      <c r="E120" s="763"/>
      <c r="F120" s="763"/>
      <c r="G120" s="763"/>
      <c r="H120" s="763"/>
      <c r="I120" s="763"/>
      <c r="J120" s="763"/>
      <c r="K120" s="763"/>
      <c r="L120" s="765"/>
      <c r="M120" s="765"/>
      <c r="N120" s="765"/>
      <c r="O120" s="765"/>
      <c r="P120" s="765"/>
      <c r="Q120" s="765"/>
      <c r="R120" s="765"/>
      <c r="S120" s="765"/>
      <c r="T120" s="767"/>
    </row>
    <row r="121" spans="1:20">
      <c r="A121" s="528" t="str">
        <f t="shared" si="1"/>
        <v>ChileSpectrum STI</v>
      </c>
      <c r="B121" s="528" t="s">
        <v>170</v>
      </c>
      <c r="C121" s="528" t="s">
        <v>876</v>
      </c>
    </row>
    <row r="122" spans="1:20">
      <c r="A122" s="528" t="str">
        <f t="shared" si="1"/>
        <v>ChinaSpectrum STI</v>
      </c>
      <c r="B122" s="528" t="s">
        <v>349</v>
      </c>
      <c r="C122" s="528" t="s">
        <v>876</v>
      </c>
    </row>
    <row r="123" spans="1:20">
      <c r="A123" s="528" t="str">
        <f t="shared" si="1"/>
        <v>ColombiaSpectrum STI</v>
      </c>
      <c r="B123" s="528" t="s">
        <v>171</v>
      </c>
      <c r="C123" s="528" t="s">
        <v>876</v>
      </c>
    </row>
    <row r="124" spans="1:20">
      <c r="A124" s="528" t="str">
        <f t="shared" si="1"/>
        <v>Costa RicaSpectrum STI</v>
      </c>
      <c r="B124" s="528" t="s">
        <v>350</v>
      </c>
      <c r="C124" s="528" t="s">
        <v>876</v>
      </c>
    </row>
    <row r="125" spans="1:20">
      <c r="A125" s="528" t="str">
        <f t="shared" si="1"/>
        <v>CubaSpectrum STI</v>
      </c>
      <c r="B125" s="528" t="s">
        <v>164</v>
      </c>
      <c r="C125" s="528" t="s">
        <v>876</v>
      </c>
    </row>
    <row r="126" spans="1:20">
      <c r="A126" s="528" t="str">
        <f t="shared" si="1"/>
        <v>Democratic Republic of CongoSpectrum STI</v>
      </c>
      <c r="B126" s="528" t="s">
        <v>152</v>
      </c>
      <c r="C126" s="528" t="s">
        <v>876</v>
      </c>
    </row>
    <row r="127" spans="1:20">
      <c r="A127" s="528" t="str">
        <f t="shared" si="1"/>
        <v>DominicaSpectrum STI</v>
      </c>
      <c r="B127" s="528" t="s">
        <v>351</v>
      </c>
      <c r="C127" s="528" t="s">
        <v>876</v>
      </c>
    </row>
    <row r="128" spans="1:20">
      <c r="A128" s="528" t="str">
        <f t="shared" si="1"/>
        <v>Dominican RepublicSpectrum STI</v>
      </c>
      <c r="B128" s="528" t="s">
        <v>172</v>
      </c>
      <c r="C128" s="528" t="s">
        <v>876</v>
      </c>
    </row>
    <row r="129" spans="1:20">
      <c r="A129" s="528" t="str">
        <f t="shared" si="1"/>
        <v>EcuadorSpectrum STI</v>
      </c>
      <c r="B129" s="528" t="s">
        <v>352</v>
      </c>
      <c r="C129" s="528" t="s">
        <v>876</v>
      </c>
    </row>
    <row r="130" spans="1:20">
      <c r="A130" s="528" t="str">
        <f t="shared" si="1"/>
        <v>El SalvadorSpectrum STI</v>
      </c>
      <c r="B130" s="528" t="s">
        <v>353</v>
      </c>
      <c r="C130" s="528" t="s">
        <v>876</v>
      </c>
      <c r="D130" s="762"/>
      <c r="E130" s="762"/>
      <c r="F130" s="762"/>
      <c r="G130" s="762"/>
      <c r="H130" s="762"/>
      <c r="I130" s="762"/>
      <c r="J130" s="762"/>
      <c r="K130" s="762"/>
      <c r="L130" s="762"/>
      <c r="M130" s="762">
        <v>1.4499999999999999E-3</v>
      </c>
      <c r="N130" s="762">
        <v>1.41E-3</v>
      </c>
      <c r="O130" s="762">
        <v>1.3799999999999999E-3</v>
      </c>
      <c r="P130" s="762">
        <v>1.3500000000000001E-3</v>
      </c>
      <c r="Q130" s="762">
        <v>1.32E-3</v>
      </c>
      <c r="R130" s="762">
        <v>1.2800000000000001E-3</v>
      </c>
      <c r="S130" s="762">
        <v>1.2600000000000001E-3</v>
      </c>
      <c r="T130" s="762"/>
    </row>
    <row r="131" spans="1:20" ht="17" thickBot="1">
      <c r="A131" s="528" t="str">
        <f t="shared" si="1"/>
        <v>Equatorial GuineaSpectrum STI</v>
      </c>
      <c r="B131" s="528" t="s">
        <v>129</v>
      </c>
      <c r="C131" s="528" t="s">
        <v>876</v>
      </c>
    </row>
    <row r="132" spans="1:20" ht="17" thickBot="1">
      <c r="A132" s="528" t="str">
        <f t="shared" si="1"/>
        <v>EritreaSpectrum STI</v>
      </c>
      <c r="B132" s="528" t="s">
        <v>128</v>
      </c>
      <c r="C132" s="528" t="s">
        <v>876</v>
      </c>
      <c r="D132" s="763"/>
      <c r="E132" s="763"/>
      <c r="F132" s="763"/>
      <c r="G132" s="763"/>
      <c r="H132" s="763"/>
      <c r="I132" s="763"/>
      <c r="J132" s="763"/>
      <c r="K132" s="763"/>
      <c r="L132" s="765"/>
      <c r="M132" s="765"/>
      <c r="N132" s="765"/>
      <c r="O132" s="765"/>
      <c r="P132" s="765"/>
      <c r="Q132" s="765"/>
      <c r="R132" s="765"/>
      <c r="S132" s="765"/>
      <c r="T132" s="767"/>
    </row>
    <row r="133" spans="1:20">
      <c r="A133" s="528" t="str">
        <f t="shared" si="1"/>
        <v>EswatiniSpectrum STI</v>
      </c>
      <c r="B133" s="528" t="s">
        <v>835</v>
      </c>
      <c r="C133" s="528" t="s">
        <v>876</v>
      </c>
    </row>
    <row r="134" spans="1:20">
      <c r="A134" s="528" t="str">
        <f t="shared" si="1"/>
        <v>EthiopiaSpectrum STI</v>
      </c>
      <c r="B134" s="528" t="s">
        <v>127</v>
      </c>
      <c r="C134" s="528" t="s">
        <v>876</v>
      </c>
    </row>
    <row r="135" spans="1:20">
      <c r="A135" s="528" t="str">
        <f t="shared" si="1"/>
        <v>Federated States of MicronesiaSpectrum STI</v>
      </c>
      <c r="B135" s="528" t="s">
        <v>356</v>
      </c>
      <c r="C135" s="528" t="s">
        <v>876</v>
      </c>
      <c r="D135" s="690">
        <v>3.2788600000000001E-2</v>
      </c>
      <c r="E135" s="690">
        <v>3.2788600000000001E-2</v>
      </c>
      <c r="F135" s="690">
        <v>3.2788699999999997E-2</v>
      </c>
      <c r="G135" s="690">
        <v>3.2788699999999997E-2</v>
      </c>
      <c r="H135" s="690">
        <v>3.2788699999999997E-2</v>
      </c>
      <c r="I135" s="690">
        <v>3.2788699999999997E-2</v>
      </c>
      <c r="J135" s="690">
        <v>2.9731200000000003E-2</v>
      </c>
      <c r="K135" s="690">
        <v>2.7161599999999998E-2</v>
      </c>
      <c r="L135" s="690">
        <v>2.4660899999999999E-2</v>
      </c>
      <c r="M135" s="690">
        <v>2.2424200000000002E-2</v>
      </c>
      <c r="N135" s="690">
        <v>2.0193699999999998E-2</v>
      </c>
      <c r="O135" s="690">
        <v>1.8306599999999999E-2</v>
      </c>
      <c r="P135" s="690">
        <v>1.65679E-2</v>
      </c>
      <c r="Q135" s="690">
        <v>1.49576E-2</v>
      </c>
      <c r="R135" s="690">
        <v>1.34202E-2</v>
      </c>
      <c r="S135" s="690">
        <v>1.2035300000000001E-2</v>
      </c>
    </row>
    <row r="136" spans="1:20">
      <c r="A136" s="528" t="str">
        <f t="shared" ref="A136:A201" si="2">B136&amp;C136</f>
        <v>FijiSpectrum STI</v>
      </c>
      <c r="B136" s="528" t="s">
        <v>338</v>
      </c>
      <c r="C136" s="528" t="s">
        <v>876</v>
      </c>
      <c r="D136" s="530">
        <v>3.3759400000000002E-2</v>
      </c>
      <c r="E136" s="530">
        <v>3.3885499999999999E-2</v>
      </c>
      <c r="F136" s="530">
        <v>3.3985099999999997E-2</v>
      </c>
      <c r="G136" s="530">
        <v>3.4130000000000001E-2</v>
      </c>
      <c r="H136" s="530">
        <v>3.4171100000000003E-2</v>
      </c>
      <c r="I136" s="530">
        <v>3.4334200000000002E-2</v>
      </c>
      <c r="J136" s="530">
        <v>3.4464500000000002E-2</v>
      </c>
      <c r="K136" s="530">
        <v>3.4557400000000002E-2</v>
      </c>
      <c r="L136" s="530">
        <v>3.4728500000000002E-2</v>
      </c>
      <c r="M136" s="530">
        <v>3.4825599999999998E-2</v>
      </c>
      <c r="N136" s="530">
        <v>3.4903900000000002E-2</v>
      </c>
      <c r="O136" s="530">
        <v>3.5040599999999998E-2</v>
      </c>
      <c r="P136" s="530">
        <v>3.5181900000000002E-2</v>
      </c>
      <c r="Q136" s="530">
        <v>3.5220600000000005E-2</v>
      </c>
      <c r="R136" s="530">
        <v>3.5283599999999998E-2</v>
      </c>
      <c r="S136" s="530">
        <v>3.5310100000000004E-2</v>
      </c>
    </row>
    <row r="137" spans="1:20">
      <c r="A137" s="528" t="str">
        <f t="shared" si="2"/>
        <v>GabonSpectrum STI</v>
      </c>
      <c r="B137" s="528" t="s">
        <v>130</v>
      </c>
      <c r="C137" s="528" t="s">
        <v>876</v>
      </c>
    </row>
    <row r="138" spans="1:20">
      <c r="A138" s="528" t="str">
        <f t="shared" si="2"/>
        <v>GeorgiaSpectrum STI</v>
      </c>
      <c r="B138" s="528" t="s">
        <v>173</v>
      </c>
      <c r="C138" s="528" t="s">
        <v>876</v>
      </c>
    </row>
    <row r="139" spans="1:20">
      <c r="A139" s="528" t="str">
        <f t="shared" si="2"/>
        <v>GhanaSpectrum STI</v>
      </c>
      <c r="B139" s="528" t="s">
        <v>131</v>
      </c>
      <c r="C139" s="528" t="s">
        <v>876</v>
      </c>
    </row>
    <row r="140" spans="1:20">
      <c r="A140" s="528" t="str">
        <f t="shared" si="2"/>
        <v>GrenadaSpectrum STI</v>
      </c>
      <c r="B140" s="528" t="s">
        <v>354</v>
      </c>
      <c r="C140" s="528" t="s">
        <v>876</v>
      </c>
    </row>
    <row r="141" spans="1:20">
      <c r="A141" s="528" t="str">
        <f t="shared" si="2"/>
        <v>GuatemalaSpectrum STI</v>
      </c>
      <c r="B141" s="528" t="s">
        <v>355</v>
      </c>
      <c r="C141" s="528" t="s">
        <v>876</v>
      </c>
    </row>
    <row r="142" spans="1:20">
      <c r="A142" s="528" t="str">
        <f t="shared" si="2"/>
        <v>GuineaSpectrum STI</v>
      </c>
      <c r="B142" s="528" t="s">
        <v>132</v>
      </c>
      <c r="C142" s="528" t="s">
        <v>876</v>
      </c>
    </row>
    <row r="143" spans="1:20">
      <c r="A143" s="528" t="str">
        <f t="shared" si="2"/>
        <v>GuyanaSpectrum STI</v>
      </c>
      <c r="B143" s="528" t="s">
        <v>357</v>
      </c>
      <c r="C143" s="528" t="s">
        <v>876</v>
      </c>
    </row>
    <row r="144" spans="1:20">
      <c r="A144" s="528" t="str">
        <f t="shared" si="2"/>
        <v>HaitiSpectrum STI</v>
      </c>
      <c r="B144" s="528" t="s">
        <v>174</v>
      </c>
      <c r="C144" s="528" t="s">
        <v>876</v>
      </c>
    </row>
    <row r="145" spans="1:24">
      <c r="A145" s="528" t="str">
        <f t="shared" si="2"/>
        <v>HondurasSpectrum STI</v>
      </c>
      <c r="B145" s="528" t="s">
        <v>358</v>
      </c>
      <c r="C145" s="528" t="s">
        <v>876</v>
      </c>
      <c r="D145" s="762"/>
      <c r="E145" s="762"/>
      <c r="F145" s="762"/>
      <c r="G145" s="762"/>
      <c r="H145" s="762"/>
      <c r="I145" s="762"/>
      <c r="J145" s="762"/>
      <c r="K145" s="762"/>
      <c r="L145" s="762"/>
      <c r="M145" s="762">
        <v>9.7999999999999997E-4</v>
      </c>
      <c r="N145" s="762">
        <v>1.1100000000000001E-3</v>
      </c>
      <c r="O145" s="762">
        <v>1.2600000000000001E-3</v>
      </c>
      <c r="P145" s="762">
        <v>1.4400000000000001E-3</v>
      </c>
      <c r="Q145" s="762">
        <v>1.65E-3</v>
      </c>
      <c r="R145" s="762">
        <v>1.8699999999999999E-3</v>
      </c>
      <c r="S145" s="762">
        <v>2.14E-3</v>
      </c>
      <c r="T145" s="762"/>
    </row>
    <row r="146" spans="1:24">
      <c r="A146" s="528" t="str">
        <f t="shared" si="2"/>
        <v>IndiaSpectrum STI</v>
      </c>
      <c r="B146" s="528" t="s">
        <v>175</v>
      </c>
      <c r="C146" s="528" t="s">
        <v>876</v>
      </c>
    </row>
    <row r="147" spans="1:24">
      <c r="A147" s="528" t="str">
        <f t="shared" si="2"/>
        <v>IndonesiaSpectrum STI</v>
      </c>
      <c r="B147" s="528" t="s">
        <v>866</v>
      </c>
      <c r="C147" s="528" t="s">
        <v>876</v>
      </c>
    </row>
    <row r="148" spans="1:24" ht="17" thickBot="1">
      <c r="A148" s="528" t="str">
        <f t="shared" si="2"/>
        <v>JamaicaSpectrum STI</v>
      </c>
      <c r="B148" s="528" t="s">
        <v>176</v>
      </c>
      <c r="C148" s="528" t="s">
        <v>876</v>
      </c>
    </row>
    <row r="149" spans="1:24" ht="17" thickBot="1">
      <c r="A149" s="528" t="str">
        <f t="shared" si="2"/>
        <v>KenyaSpectrum STI</v>
      </c>
      <c r="B149" s="528" t="s">
        <v>133</v>
      </c>
      <c r="C149" s="528" t="s">
        <v>876</v>
      </c>
      <c r="D149" s="763"/>
      <c r="E149" s="763"/>
      <c r="F149" s="763"/>
      <c r="G149" s="763"/>
      <c r="H149" s="763"/>
      <c r="I149" s="763"/>
      <c r="J149" s="763"/>
      <c r="K149" s="763"/>
      <c r="L149" s="765"/>
      <c r="M149" s="765"/>
      <c r="N149" s="765"/>
      <c r="O149" s="765"/>
      <c r="P149" s="765"/>
      <c r="Q149" s="765"/>
      <c r="R149" s="765"/>
      <c r="S149" s="765"/>
      <c r="T149" s="767"/>
    </row>
    <row r="150" spans="1:24">
      <c r="A150" s="528" t="str">
        <f t="shared" si="2"/>
        <v>LesothoSpectrum STI</v>
      </c>
      <c r="B150" s="528" t="s">
        <v>930</v>
      </c>
      <c r="C150" s="528" t="s">
        <v>876</v>
      </c>
      <c r="I150" s="536"/>
      <c r="J150" s="536"/>
      <c r="K150" s="536"/>
      <c r="L150" s="536"/>
      <c r="M150" s="536"/>
      <c r="N150" s="536"/>
      <c r="O150" s="536"/>
      <c r="P150" s="536"/>
      <c r="Q150" s="536"/>
      <c r="R150" s="536"/>
      <c r="S150" s="536"/>
      <c r="T150" s="536"/>
      <c r="U150" s="536"/>
      <c r="V150" s="536"/>
      <c r="W150" s="536"/>
      <c r="X150" s="536"/>
    </row>
    <row r="151" spans="1:24">
      <c r="A151" s="528" t="str">
        <f t="shared" si="2"/>
        <v>LiberiaSpectrum STI</v>
      </c>
      <c r="B151" s="528" t="s">
        <v>134</v>
      </c>
      <c r="C151" s="528" t="s">
        <v>876</v>
      </c>
    </row>
    <row r="152" spans="1:24" ht="17" thickBot="1">
      <c r="A152" s="528" t="str">
        <f t="shared" si="2"/>
        <v>MadagascarSpectrum STI</v>
      </c>
      <c r="B152" s="528" t="s">
        <v>135</v>
      </c>
      <c r="C152" s="528" t="s">
        <v>876</v>
      </c>
    </row>
    <row r="153" spans="1:24" ht="17" thickBot="1">
      <c r="A153" s="528" t="str">
        <f t="shared" si="2"/>
        <v>MalawiSpectrum STI</v>
      </c>
      <c r="B153" s="528" t="s">
        <v>136</v>
      </c>
      <c r="C153" s="528" t="s">
        <v>876</v>
      </c>
      <c r="D153" s="763"/>
      <c r="E153" s="763"/>
      <c r="F153" s="763"/>
      <c r="G153" s="763"/>
      <c r="H153" s="763"/>
      <c r="I153" s="763"/>
      <c r="J153" s="763"/>
      <c r="K153" s="763"/>
      <c r="L153" s="763"/>
      <c r="M153" s="763"/>
      <c r="N153" s="763"/>
      <c r="O153" s="763"/>
      <c r="P153" s="763"/>
      <c r="Q153" s="763"/>
      <c r="R153" s="763"/>
      <c r="S153" s="765"/>
    </row>
    <row r="154" spans="1:24" ht="17" thickBot="1">
      <c r="A154" s="528" t="str">
        <f t="shared" si="2"/>
        <v>MalaysiaSpectrum STI</v>
      </c>
      <c r="B154" s="528" t="s">
        <v>177</v>
      </c>
      <c r="C154" s="528" t="s">
        <v>876</v>
      </c>
      <c r="D154" s="763"/>
      <c r="E154" s="763"/>
      <c r="F154" s="763"/>
      <c r="G154" s="763"/>
      <c r="H154" s="763"/>
      <c r="I154" s="763"/>
      <c r="J154" s="763"/>
      <c r="K154" s="763"/>
      <c r="L154" s="765"/>
      <c r="M154" s="765"/>
      <c r="N154" s="765"/>
      <c r="O154" s="765"/>
      <c r="P154" s="765"/>
      <c r="Q154" s="765"/>
      <c r="R154" s="765"/>
      <c r="S154" s="765"/>
      <c r="T154" s="767"/>
    </row>
    <row r="155" spans="1:24">
      <c r="A155" s="528" t="str">
        <f t="shared" si="2"/>
        <v>MaldivesSpectrum STI</v>
      </c>
      <c r="B155" s="528" t="s">
        <v>375</v>
      </c>
      <c r="C155" s="528" t="s">
        <v>876</v>
      </c>
    </row>
    <row r="156" spans="1:24">
      <c r="A156" s="528" t="str">
        <f t="shared" si="2"/>
        <v>MaliSpectrum STI</v>
      </c>
      <c r="B156" s="528" t="s">
        <v>137</v>
      </c>
      <c r="C156" s="528" t="s">
        <v>876</v>
      </c>
    </row>
    <row r="157" spans="1:24">
      <c r="A157" s="528" t="str">
        <f t="shared" si="2"/>
        <v>MauritiusSpectrum STI</v>
      </c>
      <c r="B157" s="528" t="s">
        <v>150</v>
      </c>
      <c r="C157" s="528" t="s">
        <v>876</v>
      </c>
    </row>
    <row r="158" spans="1:24" ht="17" thickBot="1">
      <c r="A158" s="528" t="str">
        <f t="shared" si="2"/>
        <v>MexicoSpectrum STI</v>
      </c>
      <c r="B158" s="528" t="s">
        <v>761</v>
      </c>
      <c r="C158" s="528" t="s">
        <v>876</v>
      </c>
    </row>
    <row r="159" spans="1:24" ht="17" thickBot="1">
      <c r="A159" s="528" t="str">
        <f t="shared" si="2"/>
        <v>MoldovaSpectrum STI</v>
      </c>
      <c r="B159" s="528" t="s">
        <v>230</v>
      </c>
      <c r="C159" s="528" t="s">
        <v>876</v>
      </c>
      <c r="D159" s="763"/>
      <c r="E159" s="763"/>
      <c r="F159" s="763"/>
      <c r="G159" s="763"/>
      <c r="H159" s="763"/>
      <c r="I159" s="763"/>
      <c r="J159" s="763"/>
      <c r="K159" s="763"/>
      <c r="L159" s="763"/>
      <c r="M159" s="763"/>
      <c r="N159" s="763"/>
      <c r="O159" s="763"/>
      <c r="P159" s="763"/>
      <c r="Q159" s="763"/>
      <c r="R159" s="763"/>
    </row>
    <row r="160" spans="1:24">
      <c r="A160" s="528" t="str">
        <f t="shared" si="2"/>
        <v>MongoliaSpectrum STI</v>
      </c>
      <c r="B160" s="528" t="s">
        <v>178</v>
      </c>
      <c r="C160" s="528" t="s">
        <v>876</v>
      </c>
    </row>
    <row r="161" spans="1:24">
      <c r="A161" s="528" t="str">
        <f t="shared" si="2"/>
        <v>MoroccoSpectrum STI</v>
      </c>
      <c r="B161" s="528" t="s">
        <v>931</v>
      </c>
      <c r="C161" s="528" t="s">
        <v>876</v>
      </c>
      <c r="I161" s="536"/>
      <c r="J161" s="536"/>
      <c r="K161" s="536"/>
      <c r="L161" s="536"/>
      <c r="M161" s="536"/>
      <c r="N161" s="536"/>
      <c r="O161" s="536"/>
      <c r="P161" s="536"/>
      <c r="Q161" s="536"/>
      <c r="R161" s="536"/>
      <c r="S161" s="536"/>
      <c r="T161" s="536"/>
      <c r="U161" s="536"/>
      <c r="V161" s="536"/>
      <c r="W161" s="536"/>
      <c r="X161" s="536"/>
    </row>
    <row r="162" spans="1:24" ht="17" thickBot="1">
      <c r="A162" s="528" t="str">
        <f t="shared" si="2"/>
        <v>MozambiqueSpectrum STI</v>
      </c>
      <c r="B162" s="528" t="s">
        <v>138</v>
      </c>
      <c r="C162" s="528" t="s">
        <v>876</v>
      </c>
    </row>
    <row r="163" spans="1:24" ht="17" thickBot="1">
      <c r="A163" s="528" t="str">
        <f t="shared" si="2"/>
        <v>MyanmarSpectrum STI</v>
      </c>
      <c r="B163" s="528" t="s">
        <v>932</v>
      </c>
      <c r="C163" s="528" t="s">
        <v>876</v>
      </c>
      <c r="D163" s="763"/>
      <c r="E163" s="763"/>
      <c r="F163" s="763"/>
      <c r="G163" s="763"/>
      <c r="H163" s="763"/>
      <c r="I163" s="764"/>
      <c r="J163" s="764"/>
      <c r="K163" s="764"/>
      <c r="L163" s="764"/>
      <c r="M163" s="764"/>
      <c r="N163" s="764"/>
      <c r="O163" s="764"/>
      <c r="P163" s="764"/>
      <c r="Q163" s="764"/>
      <c r="R163" s="764"/>
      <c r="S163" s="766"/>
      <c r="T163" s="536"/>
      <c r="U163" s="536"/>
      <c r="V163" s="536"/>
      <c r="W163" s="536"/>
      <c r="X163" s="536"/>
    </row>
    <row r="164" spans="1:24">
      <c r="A164" s="528" t="str">
        <f t="shared" si="2"/>
        <v>NepalSpectrum STI</v>
      </c>
      <c r="B164" s="528" t="s">
        <v>179</v>
      </c>
      <c r="C164" s="528" t="s">
        <v>876</v>
      </c>
    </row>
    <row r="165" spans="1:24">
      <c r="A165" s="528" t="str">
        <f t="shared" si="2"/>
        <v>NicaraguaSpectrum STI</v>
      </c>
      <c r="B165" s="528" t="s">
        <v>359</v>
      </c>
      <c r="C165" s="528" t="s">
        <v>876</v>
      </c>
      <c r="D165" s="762"/>
      <c r="E165" s="762"/>
      <c r="F165" s="762"/>
      <c r="G165" s="762"/>
      <c r="H165" s="762"/>
      <c r="I165" s="762"/>
      <c r="J165" s="762"/>
      <c r="K165" s="762"/>
      <c r="L165" s="762"/>
      <c r="M165" s="762">
        <v>1.1999999999999999E-3</v>
      </c>
      <c r="N165" s="762">
        <v>6.4999999999999997E-4</v>
      </c>
      <c r="O165" s="762">
        <v>6.3000000000000003E-4</v>
      </c>
      <c r="P165" s="762">
        <v>6.3000000000000003E-4</v>
      </c>
      <c r="Q165" s="762">
        <v>6.8780000000000002E-4</v>
      </c>
      <c r="R165" s="762">
        <v>4.8870000000000001E-4</v>
      </c>
      <c r="S165" s="762">
        <v>3.6860000000000001E-4</v>
      </c>
      <c r="T165" s="762"/>
    </row>
    <row r="166" spans="1:24">
      <c r="A166" s="528" t="str">
        <f t="shared" si="2"/>
        <v>NigerSpectrum STI</v>
      </c>
      <c r="B166" s="528" t="s">
        <v>139</v>
      </c>
      <c r="C166" s="528" t="s">
        <v>876</v>
      </c>
    </row>
    <row r="167" spans="1:24">
      <c r="A167" s="528" t="str">
        <f t="shared" si="2"/>
        <v>NigeriaSpectrum STI</v>
      </c>
      <c r="B167" s="528" t="s">
        <v>140</v>
      </c>
      <c r="C167" s="528" t="s">
        <v>876</v>
      </c>
    </row>
    <row r="168" spans="1:24">
      <c r="A168" s="528" t="str">
        <f t="shared" si="2"/>
        <v>OmanSpectrum STI</v>
      </c>
      <c r="B168" s="528" t="s">
        <v>933</v>
      </c>
      <c r="C168" s="528" t="s">
        <v>876</v>
      </c>
      <c r="I168" s="536"/>
      <c r="J168" s="536"/>
      <c r="K168" s="536"/>
      <c r="L168" s="536"/>
      <c r="M168" s="536"/>
      <c r="N168" s="536"/>
      <c r="O168" s="536"/>
      <c r="P168" s="536"/>
      <c r="Q168" s="536"/>
      <c r="R168" s="536"/>
      <c r="S168" s="536"/>
      <c r="T168" s="536"/>
      <c r="U168" s="536"/>
      <c r="V168" s="536"/>
      <c r="W168" s="536"/>
      <c r="X168" s="536"/>
    </row>
    <row r="169" spans="1:24">
      <c r="A169" s="528" t="str">
        <f t="shared" si="2"/>
        <v>PanamaSpectrum STI</v>
      </c>
      <c r="B169" s="528" t="s">
        <v>180</v>
      </c>
      <c r="C169" s="528" t="s">
        <v>876</v>
      </c>
    </row>
    <row r="170" spans="1:24">
      <c r="A170" s="528" t="str">
        <f t="shared" si="2"/>
        <v>Papua New GuineaSpectrum STI</v>
      </c>
      <c r="B170" s="528" t="s">
        <v>181</v>
      </c>
      <c r="C170" s="528" t="s">
        <v>876</v>
      </c>
      <c r="D170" s="762"/>
      <c r="E170" s="762"/>
      <c r="F170" s="762"/>
      <c r="G170" s="762"/>
      <c r="H170" s="762"/>
      <c r="I170" s="762"/>
      <c r="J170" s="762"/>
      <c r="K170" s="762"/>
      <c r="L170" s="762"/>
      <c r="M170" s="762">
        <v>4.6100000000000002E-2</v>
      </c>
      <c r="N170" s="762">
        <v>4.616E-2</v>
      </c>
      <c r="O170" s="762">
        <v>4.6219999999999997E-2</v>
      </c>
      <c r="P170" s="762">
        <v>4.6289999999999998E-2</v>
      </c>
      <c r="Q170" s="762">
        <v>4.632E-2</v>
      </c>
      <c r="R170" s="762">
        <v>4.6379999999999998E-2</v>
      </c>
      <c r="S170" s="762">
        <v>4.6390000000000001E-2</v>
      </c>
    </row>
    <row r="171" spans="1:24">
      <c r="A171" s="528" t="str">
        <f t="shared" si="2"/>
        <v>ParaguaySpectrum STI</v>
      </c>
      <c r="B171" s="528" t="s">
        <v>182</v>
      </c>
      <c r="C171" s="528" t="s">
        <v>876</v>
      </c>
      <c r="D171" s="762"/>
      <c r="E171" s="762"/>
      <c r="F171" s="762"/>
      <c r="G171" s="762"/>
      <c r="H171" s="762"/>
      <c r="I171" s="762">
        <v>2.7300000000000001E-2</v>
      </c>
      <c r="J171" s="762">
        <v>2.75E-2</v>
      </c>
      <c r="K171" s="762">
        <v>2.7799999999999998E-2</v>
      </c>
      <c r="L171" s="762">
        <v>2.81E-2</v>
      </c>
      <c r="M171" s="762">
        <v>2.8400000000000002E-2</v>
      </c>
      <c r="N171" s="762">
        <v>2.86E-2</v>
      </c>
      <c r="O171" s="762">
        <v>2.8799999999999999E-2</v>
      </c>
      <c r="P171" s="762">
        <v>2.9000000000000001E-2</v>
      </c>
      <c r="Q171" s="762">
        <v>2.92E-2</v>
      </c>
      <c r="R171" s="762">
        <v>2.9399999999999999E-2</v>
      </c>
      <c r="S171" s="762">
        <v>2.98E-2</v>
      </c>
      <c r="T171" s="762"/>
    </row>
    <row r="172" spans="1:24">
      <c r="A172" s="528" t="str">
        <f t="shared" si="2"/>
        <v>PeruSpectrum STI</v>
      </c>
      <c r="B172" s="528" t="s">
        <v>360</v>
      </c>
      <c r="C172" s="528" t="s">
        <v>876</v>
      </c>
    </row>
    <row r="173" spans="1:24">
      <c r="A173" s="528" t="str">
        <f t="shared" si="2"/>
        <v>Republic of the CongoSpectrum STI</v>
      </c>
      <c r="B173" s="528" t="s">
        <v>934</v>
      </c>
      <c r="C173" s="528" t="s">
        <v>876</v>
      </c>
      <c r="I173" s="536"/>
      <c r="J173" s="536"/>
      <c r="K173" s="536"/>
      <c r="L173" s="536"/>
      <c r="M173" s="536"/>
      <c r="N173" s="536"/>
      <c r="O173" s="536"/>
      <c r="P173" s="536"/>
      <c r="Q173" s="536"/>
      <c r="R173" s="536"/>
      <c r="S173" s="536"/>
      <c r="T173" s="536"/>
      <c r="U173" s="536"/>
      <c r="V173" s="536"/>
      <c r="W173" s="536"/>
      <c r="X173" s="536"/>
    </row>
    <row r="174" spans="1:24">
      <c r="A174" s="528" t="str">
        <f t="shared" si="2"/>
        <v>RwandaSpectrum STI</v>
      </c>
      <c r="B174" s="528" t="s">
        <v>953</v>
      </c>
      <c r="C174" s="528" t="s">
        <v>876</v>
      </c>
      <c r="I174" s="536"/>
      <c r="J174" s="536"/>
      <c r="K174" s="536"/>
      <c r="L174" s="536"/>
      <c r="M174" s="536"/>
      <c r="N174" s="536"/>
      <c r="O174" s="536"/>
      <c r="P174" s="536"/>
      <c r="Q174" s="536"/>
      <c r="R174" s="536"/>
      <c r="S174" s="536"/>
      <c r="T174" s="536"/>
      <c r="U174" s="536"/>
      <c r="V174" s="536"/>
      <c r="W174" s="536"/>
      <c r="X174" s="536"/>
    </row>
    <row r="175" spans="1:24">
      <c r="A175" s="528" t="str">
        <f t="shared" si="2"/>
        <v>Saint Kitts &amp; NevisSpectrum STI</v>
      </c>
      <c r="B175" s="528" t="s">
        <v>361</v>
      </c>
      <c r="C175" s="528" t="s">
        <v>876</v>
      </c>
    </row>
    <row r="176" spans="1:24">
      <c r="A176" s="528" t="str">
        <f t="shared" si="2"/>
        <v>Saint LuciaSpectrum STI</v>
      </c>
      <c r="B176" s="528" t="s">
        <v>362</v>
      </c>
      <c r="C176" s="528" t="s">
        <v>876</v>
      </c>
    </row>
    <row r="177" spans="1:24">
      <c r="A177" s="528" t="str">
        <f t="shared" si="2"/>
        <v>Saint Vincent &amp; the GrenadinesSpectrum STI</v>
      </c>
      <c r="B177" s="528" t="s">
        <v>363</v>
      </c>
      <c r="C177" s="528" t="s">
        <v>876</v>
      </c>
    </row>
    <row r="178" spans="1:24">
      <c r="A178" s="528" t="str">
        <f t="shared" si="2"/>
        <v>SamoaSpectrum STI</v>
      </c>
      <c r="B178" s="528" t="s">
        <v>183</v>
      </c>
      <c r="C178" s="528" t="s">
        <v>876</v>
      </c>
      <c r="D178" s="762"/>
      <c r="E178" s="762"/>
      <c r="F178" s="762"/>
      <c r="G178" s="762"/>
      <c r="H178" s="762"/>
      <c r="I178" s="762"/>
      <c r="J178" s="762"/>
      <c r="K178" s="762"/>
      <c r="L178" s="762"/>
      <c r="M178" s="762">
        <v>5.0000000000000001E-4</v>
      </c>
      <c r="N178" s="762">
        <v>0</v>
      </c>
      <c r="O178" s="762">
        <v>5.9999999999999995E-4</v>
      </c>
      <c r="P178" s="762">
        <v>5.9999999999999995E-4</v>
      </c>
      <c r="Q178" s="762">
        <v>2.5999999999999999E-3</v>
      </c>
      <c r="R178" s="762">
        <v>1.4E-3</v>
      </c>
    </row>
    <row r="179" spans="1:24">
      <c r="A179" s="528" t="str">
        <f t="shared" si="2"/>
        <v>Sao Tome &amp; PrincipeSpectrum STI</v>
      </c>
      <c r="B179" s="528" t="s">
        <v>364</v>
      </c>
      <c r="C179" s="528" t="s">
        <v>876</v>
      </c>
    </row>
    <row r="180" spans="1:24">
      <c r="A180" s="528" t="str">
        <f t="shared" si="2"/>
        <v>Saudi ArabiaSpectrum STI</v>
      </c>
      <c r="B180" s="528" t="s">
        <v>935</v>
      </c>
      <c r="C180" s="528" t="s">
        <v>876</v>
      </c>
      <c r="I180" s="536"/>
      <c r="J180" s="536"/>
      <c r="K180" s="536"/>
      <c r="L180" s="536"/>
      <c r="M180" s="536"/>
      <c r="N180" s="536"/>
      <c r="O180" s="536"/>
      <c r="P180" s="536"/>
      <c r="Q180" s="536"/>
      <c r="R180" s="536"/>
      <c r="S180" s="536"/>
      <c r="T180" s="536"/>
      <c r="U180" s="536"/>
      <c r="V180" s="536"/>
      <c r="W180" s="536"/>
      <c r="X180" s="536"/>
    </row>
    <row r="181" spans="1:24">
      <c r="A181" s="528" t="str">
        <f t="shared" si="2"/>
        <v>SenegalSpectrum STI</v>
      </c>
      <c r="B181" s="528" t="s">
        <v>141</v>
      </c>
      <c r="C181" s="528" t="s">
        <v>876</v>
      </c>
    </row>
    <row r="182" spans="1:24">
      <c r="A182" s="528" t="str">
        <f t="shared" si="2"/>
        <v>SeychellesSpectrum STI</v>
      </c>
      <c r="B182" s="528" t="s">
        <v>151</v>
      </c>
      <c r="C182" s="528" t="s">
        <v>876</v>
      </c>
    </row>
    <row r="183" spans="1:24">
      <c r="A183" s="528" t="str">
        <f t="shared" si="2"/>
        <v>Sierra LeoneSpectrum STI</v>
      </c>
      <c r="B183" s="528" t="s">
        <v>936</v>
      </c>
      <c r="C183" s="528" t="s">
        <v>876</v>
      </c>
      <c r="I183" s="536"/>
      <c r="J183" s="536"/>
      <c r="K183" s="536"/>
      <c r="L183" s="536"/>
      <c r="M183" s="536"/>
      <c r="N183" s="536"/>
      <c r="O183" s="536"/>
      <c r="P183" s="536"/>
      <c r="Q183" s="536"/>
      <c r="R183" s="536"/>
      <c r="S183" s="536"/>
      <c r="T183" s="536"/>
      <c r="U183" s="536"/>
      <c r="V183" s="536"/>
      <c r="W183" s="536"/>
      <c r="X183" s="536"/>
    </row>
    <row r="184" spans="1:24">
      <c r="A184" s="528" t="str">
        <f t="shared" si="2"/>
        <v>SomaliaSpectrum STI</v>
      </c>
      <c r="B184" s="528" t="s">
        <v>937</v>
      </c>
      <c r="C184" s="528" t="s">
        <v>876</v>
      </c>
      <c r="I184" s="536"/>
      <c r="J184" s="536"/>
      <c r="K184" s="536"/>
      <c r="L184" s="536"/>
      <c r="M184" s="536"/>
      <c r="N184" s="536"/>
      <c r="O184" s="536"/>
      <c r="P184" s="536"/>
      <c r="Q184" s="536"/>
      <c r="R184" s="536"/>
      <c r="S184" s="536"/>
      <c r="T184" s="536"/>
      <c r="U184" s="536"/>
      <c r="V184" s="536"/>
      <c r="W184" s="536"/>
      <c r="X184" s="536"/>
    </row>
    <row r="185" spans="1:24">
      <c r="A185" s="528" t="str">
        <f t="shared" si="2"/>
        <v>South AfricaSpectrum STI</v>
      </c>
      <c r="B185" s="528" t="s">
        <v>0</v>
      </c>
      <c r="C185" s="528" t="s">
        <v>876</v>
      </c>
      <c r="D185" s="762">
        <v>2.9000000000000001E-2</v>
      </c>
      <c r="E185" s="762">
        <v>2.5000000000000001E-2</v>
      </c>
      <c r="F185" s="762">
        <v>2.7E-2</v>
      </c>
      <c r="G185" s="762">
        <v>2.4E-2</v>
      </c>
      <c r="H185" s="762">
        <v>2.1000000000000001E-2</v>
      </c>
      <c r="I185" s="762">
        <v>1.7999999999999999E-2</v>
      </c>
      <c r="J185" s="762">
        <v>1.4999999999999999E-2</v>
      </c>
      <c r="K185" s="762">
        <v>1.2999999999999999E-2</v>
      </c>
      <c r="L185" s="762">
        <v>1.2E-2</v>
      </c>
      <c r="M185" s="762">
        <v>0.01</v>
      </c>
      <c r="N185" s="762">
        <v>8.9999999999999993E-3</v>
      </c>
      <c r="O185" s="762">
        <v>7.0000000000000001E-3</v>
      </c>
      <c r="P185" s="762">
        <v>6.0000000000000001E-3</v>
      </c>
      <c r="Q185" s="762">
        <v>6.0000000000000001E-3</v>
      </c>
      <c r="R185" s="762">
        <v>6.0000000000000001E-3</v>
      </c>
      <c r="S185" s="762">
        <v>5.0000000000000001E-3</v>
      </c>
    </row>
    <row r="186" spans="1:24">
      <c r="A186" s="528" t="str">
        <f t="shared" si="2"/>
        <v>South SudanSpectrum STI</v>
      </c>
      <c r="B186" s="528" t="s">
        <v>938</v>
      </c>
      <c r="C186" s="528" t="s">
        <v>876</v>
      </c>
      <c r="I186" s="536"/>
      <c r="J186" s="536"/>
      <c r="K186" s="536"/>
      <c r="L186" s="536"/>
      <c r="M186" s="536"/>
      <c r="N186" s="536"/>
      <c r="O186" s="536"/>
      <c r="P186" s="536"/>
      <c r="Q186" s="536"/>
      <c r="R186" s="536"/>
      <c r="S186" s="536"/>
      <c r="T186" s="536"/>
      <c r="U186" s="536"/>
      <c r="V186" s="536"/>
      <c r="W186" s="536"/>
      <c r="X186" s="536"/>
    </row>
    <row r="187" spans="1:24">
      <c r="A187" s="528" t="str">
        <f t="shared" si="2"/>
        <v>Solomon IslandsSpectrum STI</v>
      </c>
      <c r="B187" s="528" t="s">
        <v>950</v>
      </c>
      <c r="C187" s="528" t="s">
        <v>876</v>
      </c>
      <c r="I187" s="536"/>
      <c r="J187" s="536"/>
      <c r="K187" s="536"/>
      <c r="L187" s="536"/>
      <c r="M187" s="536"/>
      <c r="N187" s="536"/>
      <c r="O187" s="536"/>
      <c r="P187" s="536"/>
      <c r="Q187" s="536"/>
      <c r="R187" s="536"/>
      <c r="S187" s="536"/>
      <c r="T187" s="536"/>
      <c r="U187" s="536"/>
      <c r="V187" s="536"/>
      <c r="W187" s="536"/>
      <c r="X187" s="536"/>
    </row>
    <row r="188" spans="1:24">
      <c r="A188" s="528" t="str">
        <f t="shared" si="2"/>
        <v>Sri LankaSpectrum STI</v>
      </c>
      <c r="B188" s="528" t="s">
        <v>374</v>
      </c>
      <c r="C188" s="528" t="s">
        <v>876</v>
      </c>
    </row>
    <row r="189" spans="1:24">
      <c r="A189" s="528" t="str">
        <f t="shared" si="2"/>
        <v>SurinameSpectrum STI</v>
      </c>
      <c r="B189" s="528" t="s">
        <v>365</v>
      </c>
      <c r="C189" s="528" t="s">
        <v>876</v>
      </c>
    </row>
    <row r="190" spans="1:24">
      <c r="A190" s="528" t="str">
        <f t="shared" si="2"/>
        <v>TanzaniaSpectrum STI</v>
      </c>
      <c r="B190" s="528" t="s">
        <v>143</v>
      </c>
      <c r="C190" s="528" t="s">
        <v>876</v>
      </c>
    </row>
    <row r="191" spans="1:24">
      <c r="A191" s="528" t="str">
        <f t="shared" si="2"/>
        <v>ThailandSpectrum STI</v>
      </c>
      <c r="B191" s="528" t="s">
        <v>185</v>
      </c>
      <c r="C191" s="528" t="s">
        <v>876</v>
      </c>
    </row>
    <row r="192" spans="1:24">
      <c r="A192" s="528" t="str">
        <f t="shared" si="2"/>
        <v>TogoSpectrum STI</v>
      </c>
      <c r="B192" s="528" t="s">
        <v>142</v>
      </c>
      <c r="C192" s="528" t="s">
        <v>876</v>
      </c>
    </row>
    <row r="193" spans="1:24">
      <c r="A193" s="528" t="str">
        <f t="shared" si="2"/>
        <v>Trinidad &amp; TobagoSpectrum STI</v>
      </c>
      <c r="B193" s="528" t="s">
        <v>366</v>
      </c>
      <c r="C193" s="528" t="s">
        <v>876</v>
      </c>
    </row>
    <row r="194" spans="1:24">
      <c r="A194" s="528" t="str">
        <f t="shared" si="2"/>
        <v>UgandaSpectrum STI</v>
      </c>
      <c r="B194" s="528" t="s">
        <v>144</v>
      </c>
      <c r="C194" s="528" t="s">
        <v>876</v>
      </c>
    </row>
    <row r="195" spans="1:24">
      <c r="A195" s="528" t="str">
        <f t="shared" si="2"/>
        <v>UkraineSpectrum STI</v>
      </c>
      <c r="B195" s="528" t="s">
        <v>186</v>
      </c>
      <c r="C195" s="528" t="s">
        <v>876</v>
      </c>
    </row>
    <row r="196" spans="1:24">
      <c r="A196" s="528" t="str">
        <f t="shared" si="2"/>
        <v>UruguaySpectrum STI</v>
      </c>
      <c r="B196" s="528" t="s">
        <v>187</v>
      </c>
      <c r="C196" s="528" t="s">
        <v>876</v>
      </c>
    </row>
    <row r="197" spans="1:24">
      <c r="A197" s="528" t="str">
        <f t="shared" si="2"/>
        <v>VenezuelaSpectrum STI</v>
      </c>
      <c r="B197" s="528" t="s">
        <v>188</v>
      </c>
      <c r="C197" s="528" t="s">
        <v>876</v>
      </c>
    </row>
    <row r="198" spans="1:24">
      <c r="A198" s="528" t="str">
        <f t="shared" si="2"/>
        <v>ZambiaSpectrum STI</v>
      </c>
      <c r="B198" s="528" t="s">
        <v>124</v>
      </c>
      <c r="C198" s="528" t="s">
        <v>876</v>
      </c>
    </row>
    <row r="199" spans="1:24">
      <c r="A199" s="528" t="str">
        <f t="shared" si="2"/>
        <v>ZimbabweSpectrum STI</v>
      </c>
      <c r="B199" s="528" t="s">
        <v>125</v>
      </c>
      <c r="C199" s="528" t="s">
        <v>876</v>
      </c>
    </row>
    <row r="200" spans="1:24">
      <c r="A200" t="str">
        <f t="shared" si="2"/>
        <v>AfghanistanWorkshops</v>
      </c>
      <c r="B200" s="528" t="s">
        <v>928</v>
      </c>
      <c r="C200" s="528" t="s">
        <v>877</v>
      </c>
      <c r="I200" s="536"/>
      <c r="J200" s="536"/>
      <c r="K200" s="536"/>
      <c r="L200" s="536"/>
      <c r="M200" s="536"/>
      <c r="N200" s="536"/>
      <c r="O200" s="536"/>
      <c r="P200" s="536"/>
      <c r="Q200" s="536"/>
      <c r="R200" s="536"/>
      <c r="S200" s="536"/>
      <c r="T200" s="536"/>
      <c r="U200" s="536"/>
      <c r="V200" s="536"/>
      <c r="W200" s="536"/>
      <c r="X200" s="536"/>
    </row>
    <row r="201" spans="1:24">
      <c r="A201" t="str">
        <f t="shared" si="2"/>
        <v>AngolaWorkshops</v>
      </c>
      <c r="B201" s="528" t="s">
        <v>929</v>
      </c>
      <c r="C201" s="528" t="s">
        <v>877</v>
      </c>
      <c r="I201" s="536"/>
      <c r="J201" s="536"/>
      <c r="K201" s="536"/>
      <c r="L201" s="536"/>
      <c r="M201" s="536"/>
      <c r="N201" s="536"/>
      <c r="O201" s="536"/>
      <c r="P201" s="536"/>
      <c r="Q201" s="536"/>
      <c r="R201" s="536"/>
      <c r="S201" s="536"/>
      <c r="T201" s="536"/>
      <c r="U201" s="536"/>
      <c r="V201" s="536"/>
      <c r="W201" s="536"/>
      <c r="X201" s="536"/>
    </row>
    <row r="202" spans="1:24">
      <c r="A202" s="528" t="str">
        <f t="shared" ref="A202:A267" si="3">B202&amp;C202</f>
        <v>Antigua &amp; BarbudaWorkshops</v>
      </c>
      <c r="B202" s="528" t="s">
        <v>343</v>
      </c>
      <c r="C202" s="528" t="s">
        <v>877</v>
      </c>
    </row>
    <row r="203" spans="1:24">
      <c r="A203" s="528" t="str">
        <f t="shared" si="3"/>
        <v>ArgentinaWorkshops</v>
      </c>
      <c r="B203" s="528" t="s">
        <v>344</v>
      </c>
      <c r="C203" s="528" t="s">
        <v>877</v>
      </c>
    </row>
    <row r="204" spans="1:24">
      <c r="A204" s="528" t="str">
        <f t="shared" si="3"/>
        <v>BahamasWorkshops</v>
      </c>
      <c r="B204" s="528" t="s">
        <v>345</v>
      </c>
      <c r="C204" s="528" t="s">
        <v>877</v>
      </c>
    </row>
    <row r="205" spans="1:24">
      <c r="A205" s="528" t="str">
        <f t="shared" si="3"/>
        <v>BangladeshWorkshops</v>
      </c>
      <c r="B205" s="528" t="s">
        <v>865</v>
      </c>
      <c r="C205" s="528" t="s">
        <v>877</v>
      </c>
    </row>
    <row r="206" spans="1:24">
      <c r="A206" s="528" t="str">
        <f t="shared" si="3"/>
        <v>BarbadosWorkshops</v>
      </c>
      <c r="B206" s="528" t="s">
        <v>346</v>
      </c>
      <c r="C206" s="528" t="s">
        <v>877</v>
      </c>
    </row>
    <row r="207" spans="1:24">
      <c r="A207" s="528" t="str">
        <f t="shared" si="3"/>
        <v>BelarusWorkshops</v>
      </c>
      <c r="B207" s="528" t="s">
        <v>166</v>
      </c>
      <c r="C207" s="528" t="s">
        <v>877</v>
      </c>
    </row>
    <row r="208" spans="1:24">
      <c r="A208" s="528" t="str">
        <f t="shared" si="3"/>
        <v>BelizeWorkshops</v>
      </c>
      <c r="B208" s="528" t="s">
        <v>368</v>
      </c>
      <c r="C208" s="528" t="s">
        <v>877</v>
      </c>
    </row>
    <row r="209" spans="1:3">
      <c r="A209" s="528" t="str">
        <f t="shared" si="3"/>
        <v>BeninWorkshops</v>
      </c>
      <c r="B209" s="528" t="s">
        <v>126</v>
      </c>
      <c r="C209" s="528" t="s">
        <v>877</v>
      </c>
    </row>
    <row r="210" spans="1:3">
      <c r="A210" s="528" t="str">
        <f t="shared" si="3"/>
        <v>BhutanWorkshops</v>
      </c>
      <c r="B210" s="528" t="s">
        <v>951</v>
      </c>
      <c r="C210" s="528" t="s">
        <v>877</v>
      </c>
    </row>
    <row r="211" spans="1:3">
      <c r="A211" s="528" t="str">
        <f t="shared" si="3"/>
        <v>BoliviaWorkshops</v>
      </c>
      <c r="B211" s="528" t="s">
        <v>798</v>
      </c>
      <c r="C211" s="528" t="s">
        <v>877</v>
      </c>
    </row>
    <row r="212" spans="1:3">
      <c r="A212" s="528" t="str">
        <f t="shared" si="3"/>
        <v>BotswanaWorkshops</v>
      </c>
      <c r="B212" s="528" t="s">
        <v>834</v>
      </c>
      <c r="C212" s="528" t="s">
        <v>877</v>
      </c>
    </row>
    <row r="213" spans="1:3">
      <c r="A213" s="528" t="str">
        <f t="shared" si="3"/>
        <v>BrazilWorkshops</v>
      </c>
      <c r="B213" s="528" t="s">
        <v>167</v>
      </c>
      <c r="C213" s="528" t="s">
        <v>877</v>
      </c>
    </row>
    <row r="214" spans="1:3">
      <c r="A214" s="528" t="str">
        <f t="shared" si="3"/>
        <v>BruneiWorkshops</v>
      </c>
      <c r="B214" s="528" t="s">
        <v>952</v>
      </c>
      <c r="C214" s="528" t="s">
        <v>877</v>
      </c>
    </row>
    <row r="215" spans="1:3">
      <c r="A215" s="528" t="str">
        <f t="shared" si="3"/>
        <v>Burkina FasoWorkshops</v>
      </c>
      <c r="B215" s="528" t="s">
        <v>168</v>
      </c>
      <c r="C215" s="528" t="s">
        <v>877</v>
      </c>
    </row>
    <row r="216" spans="1:3">
      <c r="A216" s="528" t="str">
        <f t="shared" si="3"/>
        <v>BurundiWorkshops</v>
      </c>
      <c r="B216" s="528" t="s">
        <v>165</v>
      </c>
      <c r="C216" s="528" t="s">
        <v>877</v>
      </c>
    </row>
    <row r="217" spans="1:3">
      <c r="A217" s="528" t="str">
        <f t="shared" si="3"/>
        <v>Cabo VerdeWorkshops</v>
      </c>
      <c r="B217" s="528" t="s">
        <v>149</v>
      </c>
      <c r="C217" s="528" t="s">
        <v>877</v>
      </c>
    </row>
    <row r="218" spans="1:3">
      <c r="A218" s="528" t="str">
        <f t="shared" si="3"/>
        <v>CambodiaWorkshops</v>
      </c>
      <c r="B218" s="528" t="s">
        <v>169</v>
      </c>
      <c r="C218" s="528" t="s">
        <v>877</v>
      </c>
    </row>
    <row r="219" spans="1:3">
      <c r="A219" s="528" t="str">
        <f t="shared" si="3"/>
        <v>Central African RepublicWorkshops</v>
      </c>
      <c r="B219" s="528" t="s">
        <v>153</v>
      </c>
      <c r="C219" s="528" t="s">
        <v>877</v>
      </c>
    </row>
    <row r="220" spans="1:3">
      <c r="A220" s="528" t="str">
        <f t="shared" si="3"/>
        <v>ChileWorkshops</v>
      </c>
      <c r="B220" s="528" t="s">
        <v>170</v>
      </c>
      <c r="C220" s="528" t="s">
        <v>877</v>
      </c>
    </row>
    <row r="221" spans="1:3">
      <c r="A221" s="528" t="str">
        <f t="shared" si="3"/>
        <v>ChinaWorkshops</v>
      </c>
      <c r="B221" s="528" t="s">
        <v>349</v>
      </c>
      <c r="C221" s="528" t="s">
        <v>877</v>
      </c>
    </row>
    <row r="222" spans="1:3">
      <c r="A222" s="528" t="str">
        <f t="shared" si="3"/>
        <v>ColombiaWorkshops</v>
      </c>
      <c r="B222" s="528" t="s">
        <v>171</v>
      </c>
      <c r="C222" s="528" t="s">
        <v>877</v>
      </c>
    </row>
    <row r="223" spans="1:3">
      <c r="A223" s="528" t="str">
        <f t="shared" si="3"/>
        <v>Costa RicaWorkshops</v>
      </c>
      <c r="B223" s="528" t="s">
        <v>350</v>
      </c>
      <c r="C223" s="528" t="s">
        <v>877</v>
      </c>
    </row>
    <row r="224" spans="1:3">
      <c r="A224" s="528" t="str">
        <f t="shared" si="3"/>
        <v>CubaWorkshops</v>
      </c>
      <c r="B224" s="528" t="s">
        <v>164</v>
      </c>
      <c r="C224" s="528" t="s">
        <v>877</v>
      </c>
    </row>
    <row r="225" spans="1:3">
      <c r="A225" s="528" t="str">
        <f t="shared" si="3"/>
        <v>Democratic Republic of CongoWorkshops</v>
      </c>
      <c r="B225" s="528" t="s">
        <v>152</v>
      </c>
      <c r="C225" s="528" t="s">
        <v>877</v>
      </c>
    </row>
    <row r="226" spans="1:3">
      <c r="A226" s="528" t="str">
        <f t="shared" si="3"/>
        <v>DominicaWorkshops</v>
      </c>
      <c r="B226" s="528" t="s">
        <v>351</v>
      </c>
      <c r="C226" s="528" t="s">
        <v>877</v>
      </c>
    </row>
    <row r="227" spans="1:3">
      <c r="A227" s="528" t="str">
        <f t="shared" si="3"/>
        <v>Dominican RepublicWorkshops</v>
      </c>
      <c r="B227" s="528" t="s">
        <v>172</v>
      </c>
      <c r="C227" s="528" t="s">
        <v>877</v>
      </c>
    </row>
    <row r="228" spans="1:3">
      <c r="A228" s="528" t="str">
        <f t="shared" si="3"/>
        <v>EcuadorWorkshops</v>
      </c>
      <c r="B228" s="528" t="s">
        <v>352</v>
      </c>
      <c r="C228" s="528" t="s">
        <v>877</v>
      </c>
    </row>
    <row r="229" spans="1:3">
      <c r="A229" s="528" t="str">
        <f t="shared" si="3"/>
        <v>El SalvadorWorkshops</v>
      </c>
      <c r="B229" s="528" t="s">
        <v>353</v>
      </c>
      <c r="C229" s="528" t="s">
        <v>877</v>
      </c>
    </row>
    <row r="230" spans="1:3">
      <c r="A230" s="528" t="str">
        <f t="shared" si="3"/>
        <v>Equatorial GuineaWorkshops</v>
      </c>
      <c r="B230" s="528" t="s">
        <v>129</v>
      </c>
      <c r="C230" s="528" t="s">
        <v>877</v>
      </c>
    </row>
    <row r="231" spans="1:3">
      <c r="A231" s="528" t="str">
        <f t="shared" si="3"/>
        <v>EritreaWorkshops</v>
      </c>
      <c r="B231" s="528" t="s">
        <v>128</v>
      </c>
      <c r="C231" s="528" t="s">
        <v>877</v>
      </c>
    </row>
    <row r="232" spans="1:3">
      <c r="A232" s="528" t="str">
        <f t="shared" si="3"/>
        <v>EswatiniWorkshops</v>
      </c>
      <c r="B232" s="528" t="s">
        <v>835</v>
      </c>
      <c r="C232" s="528" t="s">
        <v>877</v>
      </c>
    </row>
    <row r="233" spans="1:3">
      <c r="A233" s="528" t="str">
        <f t="shared" si="3"/>
        <v>EthiopiaWorkshops</v>
      </c>
      <c r="B233" s="528" t="s">
        <v>127</v>
      </c>
      <c r="C233" s="528" t="s">
        <v>877</v>
      </c>
    </row>
    <row r="234" spans="1:3">
      <c r="A234" s="528" t="str">
        <f t="shared" si="3"/>
        <v>Federated States of MicronesiaWorkshops</v>
      </c>
      <c r="B234" s="528" t="s">
        <v>356</v>
      </c>
      <c r="C234" s="528" t="s">
        <v>877</v>
      </c>
    </row>
    <row r="235" spans="1:3">
      <c r="A235" s="528" t="str">
        <f t="shared" si="3"/>
        <v>FijiWorkshops</v>
      </c>
      <c r="B235" s="528" t="s">
        <v>338</v>
      </c>
      <c r="C235" s="528" t="s">
        <v>877</v>
      </c>
    </row>
    <row r="236" spans="1:3">
      <c r="A236" s="528" t="str">
        <f t="shared" si="3"/>
        <v>GabonWorkshops</v>
      </c>
      <c r="B236" s="528" t="s">
        <v>130</v>
      </c>
      <c r="C236" s="528" t="s">
        <v>877</v>
      </c>
    </row>
    <row r="237" spans="1:3">
      <c r="A237" s="528" t="str">
        <f t="shared" si="3"/>
        <v>GeorgiaWorkshops</v>
      </c>
      <c r="B237" s="528" t="s">
        <v>173</v>
      </c>
      <c r="C237" s="528" t="s">
        <v>877</v>
      </c>
    </row>
    <row r="238" spans="1:3">
      <c r="A238" s="528" t="str">
        <f t="shared" si="3"/>
        <v>GhanaWorkshops</v>
      </c>
      <c r="B238" s="528" t="s">
        <v>131</v>
      </c>
      <c r="C238" s="528" t="s">
        <v>877</v>
      </c>
    </row>
    <row r="239" spans="1:3">
      <c r="A239" s="528" t="str">
        <f t="shared" si="3"/>
        <v>GrenadaWorkshops</v>
      </c>
      <c r="B239" s="528" t="s">
        <v>354</v>
      </c>
      <c r="C239" s="528" t="s">
        <v>877</v>
      </c>
    </row>
    <row r="240" spans="1:3">
      <c r="A240" s="528" t="str">
        <f t="shared" si="3"/>
        <v>GuatemalaWorkshops</v>
      </c>
      <c r="B240" s="528" t="s">
        <v>355</v>
      </c>
      <c r="C240" s="528" t="s">
        <v>877</v>
      </c>
    </row>
    <row r="241" spans="1:24">
      <c r="A241" s="528" t="str">
        <f t="shared" si="3"/>
        <v>GuineaWorkshops</v>
      </c>
      <c r="B241" s="528" t="s">
        <v>132</v>
      </c>
      <c r="C241" s="528" t="s">
        <v>877</v>
      </c>
    </row>
    <row r="242" spans="1:24">
      <c r="A242" s="528" t="str">
        <f t="shared" si="3"/>
        <v>GuyanaWorkshops</v>
      </c>
      <c r="B242" s="528" t="s">
        <v>357</v>
      </c>
      <c r="C242" s="528" t="s">
        <v>877</v>
      </c>
    </row>
    <row r="243" spans="1:24">
      <c r="A243" s="528" t="str">
        <f t="shared" si="3"/>
        <v>HaitiWorkshops</v>
      </c>
      <c r="B243" s="528" t="s">
        <v>174</v>
      </c>
      <c r="C243" s="528" t="s">
        <v>877</v>
      </c>
    </row>
    <row r="244" spans="1:24">
      <c r="A244" s="528" t="str">
        <f t="shared" si="3"/>
        <v>HondurasWorkshops</v>
      </c>
      <c r="B244" s="528" t="s">
        <v>358</v>
      </c>
      <c r="C244" s="528" t="s">
        <v>877</v>
      </c>
    </row>
    <row r="245" spans="1:24">
      <c r="A245" s="528" t="str">
        <f t="shared" si="3"/>
        <v>IndiaWorkshops</v>
      </c>
      <c r="B245" s="528" t="s">
        <v>175</v>
      </c>
      <c r="C245" s="528" t="s">
        <v>877</v>
      </c>
    </row>
    <row r="246" spans="1:24">
      <c r="A246" s="528" t="str">
        <f t="shared" si="3"/>
        <v>IndonesiaWorkshops</v>
      </c>
      <c r="B246" s="528" t="s">
        <v>866</v>
      </c>
      <c r="C246" s="528" t="s">
        <v>877</v>
      </c>
    </row>
    <row r="247" spans="1:24">
      <c r="A247" s="528" t="str">
        <f t="shared" si="3"/>
        <v>JamaicaWorkshops</v>
      </c>
      <c r="B247" s="528" t="s">
        <v>176</v>
      </c>
      <c r="C247" s="528" t="s">
        <v>877</v>
      </c>
    </row>
    <row r="248" spans="1:24">
      <c r="A248" s="528" t="str">
        <f t="shared" si="3"/>
        <v>KenyaWorkshops</v>
      </c>
      <c r="B248" s="528" t="s">
        <v>133</v>
      </c>
      <c r="C248" s="528" t="s">
        <v>877</v>
      </c>
    </row>
    <row r="249" spans="1:24">
      <c r="A249" t="str">
        <f t="shared" si="3"/>
        <v>LesothoWorkshops</v>
      </c>
      <c r="B249" s="528" t="s">
        <v>930</v>
      </c>
      <c r="C249" s="528" t="s">
        <v>877</v>
      </c>
      <c r="I249" s="536"/>
      <c r="J249" s="536"/>
      <c r="K249" s="536"/>
      <c r="L249" s="536"/>
      <c r="M249" s="536"/>
      <c r="N249" s="536"/>
      <c r="O249" s="536"/>
      <c r="P249" s="536"/>
      <c r="Q249" s="536"/>
      <c r="R249" s="536"/>
      <c r="S249" s="536"/>
      <c r="T249" s="536"/>
      <c r="U249" s="536"/>
      <c r="V249" s="536"/>
      <c r="W249" s="536"/>
      <c r="X249" s="536"/>
    </row>
    <row r="250" spans="1:24">
      <c r="A250" s="528" t="str">
        <f t="shared" si="3"/>
        <v>LiberiaWorkshops</v>
      </c>
      <c r="B250" s="528" t="s">
        <v>134</v>
      </c>
      <c r="C250" s="528" t="s">
        <v>877</v>
      </c>
    </row>
    <row r="251" spans="1:24">
      <c r="A251" s="528" t="str">
        <f t="shared" si="3"/>
        <v>MadagascarWorkshops</v>
      </c>
      <c r="B251" s="528" t="s">
        <v>135</v>
      </c>
      <c r="C251" s="528" t="s">
        <v>877</v>
      </c>
    </row>
    <row r="252" spans="1:24">
      <c r="A252" s="528" t="str">
        <f t="shared" si="3"/>
        <v>MalawiWorkshops</v>
      </c>
      <c r="B252" s="528" t="s">
        <v>136</v>
      </c>
      <c r="C252" s="528" t="s">
        <v>877</v>
      </c>
    </row>
    <row r="253" spans="1:24">
      <c r="A253" s="528" t="str">
        <f t="shared" si="3"/>
        <v>MalaysiaWorkshops</v>
      </c>
      <c r="B253" s="528" t="s">
        <v>177</v>
      </c>
      <c r="C253" s="528" t="s">
        <v>877</v>
      </c>
    </row>
    <row r="254" spans="1:24">
      <c r="A254" s="528" t="str">
        <f t="shared" si="3"/>
        <v>MaldivesWorkshops</v>
      </c>
      <c r="B254" s="528" t="s">
        <v>375</v>
      </c>
      <c r="C254" s="528" t="s">
        <v>877</v>
      </c>
    </row>
    <row r="255" spans="1:24">
      <c r="A255" s="528" t="str">
        <f t="shared" si="3"/>
        <v>MaliWorkshops</v>
      </c>
      <c r="B255" s="528" t="s">
        <v>137</v>
      </c>
      <c r="C255" s="528" t="s">
        <v>877</v>
      </c>
    </row>
    <row r="256" spans="1:24">
      <c r="A256" s="528" t="str">
        <f t="shared" si="3"/>
        <v>MauritiusWorkshops</v>
      </c>
      <c r="B256" s="528" t="s">
        <v>150</v>
      </c>
      <c r="C256" s="528" t="s">
        <v>877</v>
      </c>
    </row>
    <row r="257" spans="1:24">
      <c r="A257" s="528" t="str">
        <f t="shared" si="3"/>
        <v>MexicoWorkshops</v>
      </c>
      <c r="B257" s="528" t="s">
        <v>761</v>
      </c>
      <c r="C257" s="528" t="s">
        <v>877</v>
      </c>
    </row>
    <row r="258" spans="1:24">
      <c r="A258" s="528" t="str">
        <f t="shared" si="3"/>
        <v>MoldovaWorkshops</v>
      </c>
      <c r="B258" s="528" t="s">
        <v>230</v>
      </c>
      <c r="C258" s="528" t="s">
        <v>877</v>
      </c>
    </row>
    <row r="259" spans="1:24">
      <c r="A259" s="528" t="str">
        <f t="shared" si="3"/>
        <v>MongoliaWorkshops</v>
      </c>
      <c r="B259" s="528" t="s">
        <v>178</v>
      </c>
      <c r="C259" s="528" t="s">
        <v>877</v>
      </c>
    </row>
    <row r="260" spans="1:24">
      <c r="A260" t="str">
        <f t="shared" si="3"/>
        <v>MoroccoWorkshops</v>
      </c>
      <c r="B260" s="528" t="s">
        <v>931</v>
      </c>
      <c r="C260" s="528" t="s">
        <v>877</v>
      </c>
      <c r="I260" s="536"/>
      <c r="J260" s="536"/>
      <c r="K260" s="536"/>
      <c r="L260" s="536"/>
      <c r="M260" s="536"/>
      <c r="N260" s="536"/>
      <c r="O260" s="536"/>
      <c r="P260" s="536"/>
      <c r="Q260" s="536"/>
      <c r="R260" s="536"/>
      <c r="S260" s="536"/>
      <c r="T260" s="536"/>
      <c r="U260" s="536"/>
      <c r="V260" s="536"/>
      <c r="W260" s="536"/>
      <c r="X260" s="536"/>
    </row>
    <row r="261" spans="1:24">
      <c r="A261" s="528" t="str">
        <f t="shared" si="3"/>
        <v>MozambiqueWorkshops</v>
      </c>
      <c r="B261" s="528" t="s">
        <v>138</v>
      </c>
      <c r="C261" s="528" t="s">
        <v>877</v>
      </c>
    </row>
    <row r="262" spans="1:24">
      <c r="A262" t="str">
        <f t="shared" si="3"/>
        <v>MyanmarWorkshops</v>
      </c>
      <c r="B262" s="528" t="s">
        <v>932</v>
      </c>
      <c r="C262" s="528" t="s">
        <v>877</v>
      </c>
      <c r="I262" s="536"/>
      <c r="J262" s="536"/>
      <c r="K262" s="536"/>
      <c r="L262" s="536"/>
      <c r="M262" s="536"/>
      <c r="N262" s="536"/>
      <c r="O262" s="536"/>
      <c r="P262" s="536"/>
      <c r="Q262" s="536"/>
      <c r="R262" s="536"/>
      <c r="S262" s="536"/>
      <c r="U262" s="536"/>
      <c r="V262" s="536"/>
      <c r="W262" s="536"/>
      <c r="X262" s="536"/>
    </row>
    <row r="263" spans="1:24">
      <c r="A263" s="528" t="str">
        <f t="shared" si="3"/>
        <v>NepalWorkshops</v>
      </c>
      <c r="B263" s="528" t="s">
        <v>179</v>
      </c>
      <c r="C263" s="528" t="s">
        <v>877</v>
      </c>
    </row>
    <row r="264" spans="1:24">
      <c r="A264" s="528" t="str">
        <f t="shared" si="3"/>
        <v>NicaraguaWorkshops</v>
      </c>
      <c r="B264" s="528" t="s">
        <v>359</v>
      </c>
      <c r="C264" s="528" t="s">
        <v>877</v>
      </c>
    </row>
    <row r="265" spans="1:24">
      <c r="A265" s="528" t="str">
        <f t="shared" si="3"/>
        <v>NigerWorkshops</v>
      </c>
      <c r="B265" s="528" t="s">
        <v>139</v>
      </c>
      <c r="C265" s="528" t="s">
        <v>877</v>
      </c>
    </row>
    <row r="266" spans="1:24">
      <c r="A266" s="528" t="str">
        <f t="shared" si="3"/>
        <v>NigeriaWorkshops</v>
      </c>
      <c r="B266" s="528" t="s">
        <v>140</v>
      </c>
      <c r="C266" s="528" t="s">
        <v>877</v>
      </c>
    </row>
    <row r="267" spans="1:24">
      <c r="A267" t="str">
        <f t="shared" si="3"/>
        <v>OmanWorkshops</v>
      </c>
      <c r="B267" s="528" t="s">
        <v>933</v>
      </c>
      <c r="C267" s="528" t="s">
        <v>877</v>
      </c>
      <c r="I267" s="536"/>
      <c r="J267" s="536"/>
      <c r="K267" s="536"/>
      <c r="L267" s="536"/>
      <c r="M267" s="536"/>
      <c r="N267" s="536"/>
      <c r="O267" s="536"/>
      <c r="P267" s="536"/>
      <c r="Q267" s="536"/>
      <c r="R267" s="536"/>
      <c r="S267" s="536"/>
      <c r="T267" s="536"/>
      <c r="U267" s="536"/>
      <c r="V267" s="536"/>
      <c r="W267" s="536"/>
      <c r="X267" s="536"/>
    </row>
    <row r="268" spans="1:24">
      <c r="A268" s="528" t="str">
        <f t="shared" ref="A268:A298" si="4">B268&amp;C268</f>
        <v>PanamaWorkshops</v>
      </c>
      <c r="B268" s="528" t="s">
        <v>180</v>
      </c>
      <c r="C268" s="528" t="s">
        <v>877</v>
      </c>
    </row>
    <row r="269" spans="1:24">
      <c r="A269" s="528" t="str">
        <f t="shared" si="4"/>
        <v>Papua New GuineaWorkshops</v>
      </c>
      <c r="B269" s="528" t="s">
        <v>181</v>
      </c>
      <c r="C269" s="528" t="s">
        <v>877</v>
      </c>
    </row>
    <row r="270" spans="1:24">
      <c r="A270" s="528" t="str">
        <f t="shared" si="4"/>
        <v>ParaguayWorkshops</v>
      </c>
      <c r="B270" s="528" t="s">
        <v>182</v>
      </c>
      <c r="C270" s="528" t="s">
        <v>877</v>
      </c>
    </row>
    <row r="271" spans="1:24">
      <c r="A271" s="528" t="str">
        <f t="shared" si="4"/>
        <v>PeruWorkshops</v>
      </c>
      <c r="B271" s="528" t="s">
        <v>360</v>
      </c>
      <c r="C271" s="528" t="s">
        <v>877</v>
      </c>
    </row>
    <row r="272" spans="1:24">
      <c r="A272" t="str">
        <f t="shared" si="4"/>
        <v>Republic of the CongoWorkshops</v>
      </c>
      <c r="B272" s="528" t="s">
        <v>934</v>
      </c>
      <c r="C272" s="528" t="s">
        <v>877</v>
      </c>
      <c r="I272" s="536"/>
      <c r="J272" s="536"/>
      <c r="K272" s="536"/>
      <c r="L272" s="536"/>
      <c r="M272" s="536"/>
      <c r="N272" s="536"/>
      <c r="O272" s="536"/>
      <c r="P272" s="536"/>
      <c r="Q272" s="536"/>
      <c r="R272" s="536"/>
      <c r="S272" s="536"/>
      <c r="T272" s="536"/>
      <c r="U272" s="536"/>
      <c r="V272" s="536"/>
      <c r="W272" s="536"/>
      <c r="X272" s="536"/>
    </row>
    <row r="273" spans="1:24">
      <c r="A273" s="528" t="str">
        <f t="shared" si="4"/>
        <v>RwandaWorkshops</v>
      </c>
      <c r="B273" s="528" t="s">
        <v>953</v>
      </c>
      <c r="C273" s="528" t="s">
        <v>877</v>
      </c>
      <c r="I273" s="536"/>
      <c r="J273" s="536"/>
      <c r="K273" s="536"/>
      <c r="L273" s="536"/>
      <c r="M273" s="536"/>
      <c r="N273" s="536"/>
      <c r="O273" s="536"/>
      <c r="P273" s="536"/>
      <c r="Q273" s="536"/>
      <c r="R273" s="536"/>
      <c r="S273" s="536"/>
      <c r="T273" s="536"/>
      <c r="U273" s="536"/>
      <c r="V273" s="536"/>
      <c r="W273" s="536"/>
      <c r="X273" s="536"/>
    </row>
    <row r="274" spans="1:24">
      <c r="A274" s="528" t="str">
        <f t="shared" si="4"/>
        <v>Saint Kitts &amp; NevisWorkshops</v>
      </c>
      <c r="B274" s="528" t="s">
        <v>361</v>
      </c>
      <c r="C274" s="528" t="s">
        <v>877</v>
      </c>
    </row>
    <row r="275" spans="1:24">
      <c r="A275" s="528" t="str">
        <f t="shared" si="4"/>
        <v>Saint LuciaWorkshops</v>
      </c>
      <c r="B275" s="528" t="s">
        <v>362</v>
      </c>
      <c r="C275" s="528" t="s">
        <v>877</v>
      </c>
    </row>
    <row r="276" spans="1:24">
      <c r="A276" s="528" t="str">
        <f t="shared" si="4"/>
        <v>Saint Vincent &amp; the GrenadinesWorkshops</v>
      </c>
      <c r="B276" s="528" t="s">
        <v>363</v>
      </c>
      <c r="C276" s="528" t="s">
        <v>877</v>
      </c>
    </row>
    <row r="277" spans="1:24">
      <c r="A277" s="528" t="str">
        <f t="shared" si="4"/>
        <v>SamoaWorkshops</v>
      </c>
      <c r="B277" s="528" t="s">
        <v>183</v>
      </c>
      <c r="C277" s="528" t="s">
        <v>877</v>
      </c>
    </row>
    <row r="278" spans="1:24">
      <c r="A278" s="528" t="str">
        <f t="shared" si="4"/>
        <v>Sao Tome &amp; PrincipeWorkshops</v>
      </c>
      <c r="B278" s="528" t="s">
        <v>364</v>
      </c>
      <c r="C278" s="528" t="s">
        <v>877</v>
      </c>
    </row>
    <row r="279" spans="1:24">
      <c r="A279" t="str">
        <f t="shared" si="4"/>
        <v>Saudi ArabiaWorkshops</v>
      </c>
      <c r="B279" s="528" t="s">
        <v>935</v>
      </c>
      <c r="C279" s="528" t="s">
        <v>877</v>
      </c>
      <c r="I279" s="536"/>
      <c r="J279" s="536"/>
      <c r="K279" s="536"/>
      <c r="L279" s="536"/>
      <c r="M279" s="536"/>
      <c r="N279" s="536"/>
      <c r="O279" s="536"/>
      <c r="P279" s="536"/>
      <c r="Q279" s="536"/>
      <c r="R279" s="536"/>
      <c r="S279" s="536"/>
      <c r="T279" s="536"/>
      <c r="U279" s="536"/>
      <c r="V279" s="536"/>
      <c r="W279" s="536"/>
      <c r="X279" s="536"/>
    </row>
    <row r="280" spans="1:24">
      <c r="A280" s="528" t="str">
        <f t="shared" si="4"/>
        <v>SenegalWorkshops</v>
      </c>
      <c r="B280" s="528" t="s">
        <v>141</v>
      </c>
      <c r="C280" s="528" t="s">
        <v>877</v>
      </c>
    </row>
    <row r="281" spans="1:24">
      <c r="A281" s="528" t="str">
        <f t="shared" si="4"/>
        <v>SeychellesWorkshops</v>
      </c>
      <c r="B281" s="528" t="s">
        <v>151</v>
      </c>
      <c r="C281" s="528" t="s">
        <v>877</v>
      </c>
    </row>
    <row r="282" spans="1:24">
      <c r="A282" t="str">
        <f t="shared" si="4"/>
        <v>Sierra LeoneWorkshops</v>
      </c>
      <c r="B282" s="528" t="s">
        <v>936</v>
      </c>
      <c r="C282" s="528" t="s">
        <v>877</v>
      </c>
      <c r="I282" s="536"/>
      <c r="J282" s="536"/>
      <c r="K282" s="536"/>
      <c r="L282" s="536"/>
      <c r="M282" s="536"/>
      <c r="N282" s="536"/>
      <c r="O282" s="536"/>
      <c r="P282" s="536"/>
      <c r="Q282" s="536"/>
      <c r="R282" s="536"/>
      <c r="S282" s="536"/>
      <c r="T282" s="536"/>
      <c r="U282" s="536"/>
      <c r="V282" s="536"/>
      <c r="W282" s="536"/>
      <c r="X282" s="536"/>
    </row>
    <row r="283" spans="1:24">
      <c r="A283" t="str">
        <f t="shared" si="4"/>
        <v>SomaliaWorkshops</v>
      </c>
      <c r="B283" s="528" t="s">
        <v>937</v>
      </c>
      <c r="C283" s="528" t="s">
        <v>877</v>
      </c>
      <c r="I283" s="536"/>
      <c r="J283" s="536"/>
      <c r="K283" s="536"/>
      <c r="L283" s="536"/>
      <c r="M283" s="536"/>
      <c r="N283" s="536"/>
      <c r="O283" s="536"/>
      <c r="P283" s="536"/>
      <c r="Q283" s="536"/>
      <c r="R283" s="536"/>
      <c r="S283" s="536"/>
      <c r="T283" s="536"/>
      <c r="U283" s="536"/>
      <c r="V283" s="536"/>
      <c r="W283" s="536"/>
      <c r="X283" s="536"/>
    </row>
    <row r="284" spans="1:24">
      <c r="A284" s="528" t="str">
        <f t="shared" si="4"/>
        <v>South AfricaWorkshops</v>
      </c>
      <c r="B284" s="528" t="s">
        <v>0</v>
      </c>
      <c r="C284" s="528" t="s">
        <v>877</v>
      </c>
    </row>
    <row r="285" spans="1:24">
      <c r="A285" t="str">
        <f t="shared" si="4"/>
        <v>South SudanWorkshops</v>
      </c>
      <c r="B285" s="528" t="s">
        <v>938</v>
      </c>
      <c r="C285" s="528" t="s">
        <v>877</v>
      </c>
      <c r="I285" s="536"/>
      <c r="J285" s="536"/>
      <c r="K285" s="536"/>
      <c r="L285" s="536"/>
      <c r="M285" s="536"/>
      <c r="N285" s="536"/>
      <c r="O285" s="536"/>
      <c r="P285" s="536"/>
      <c r="Q285" s="536"/>
      <c r="R285" s="536"/>
      <c r="S285" s="536"/>
      <c r="T285" s="536"/>
      <c r="U285" s="536"/>
      <c r="V285" s="536"/>
      <c r="W285" s="536"/>
      <c r="X285" s="536"/>
    </row>
    <row r="286" spans="1:24">
      <c r="A286" t="str">
        <f t="shared" si="4"/>
        <v>Solomon IslandsWorkshops</v>
      </c>
      <c r="B286" s="528" t="s">
        <v>950</v>
      </c>
      <c r="C286" s="528" t="s">
        <v>877</v>
      </c>
      <c r="I286" s="536"/>
      <c r="J286" s="536"/>
      <c r="K286" s="536"/>
      <c r="L286" s="536"/>
      <c r="M286" s="536"/>
      <c r="N286" s="536"/>
      <c r="O286" s="536"/>
      <c r="P286" s="536"/>
      <c r="Q286" s="536"/>
      <c r="R286" s="536"/>
      <c r="S286" s="536"/>
      <c r="T286" s="536"/>
      <c r="U286" s="536"/>
      <c r="V286" s="536"/>
      <c r="W286" s="536"/>
      <c r="X286" s="536"/>
    </row>
    <row r="287" spans="1:24">
      <c r="A287" s="528" t="str">
        <f t="shared" si="4"/>
        <v>Sri LankaWorkshops</v>
      </c>
      <c r="B287" s="528" t="s">
        <v>374</v>
      </c>
      <c r="C287" s="528" t="s">
        <v>877</v>
      </c>
    </row>
    <row r="288" spans="1:24">
      <c r="A288" s="528" t="str">
        <f t="shared" si="4"/>
        <v>SurinameWorkshops</v>
      </c>
      <c r="B288" s="528" t="s">
        <v>365</v>
      </c>
      <c r="C288" s="528" t="s">
        <v>877</v>
      </c>
    </row>
    <row r="289" spans="1:24">
      <c r="A289" s="528" t="str">
        <f t="shared" si="4"/>
        <v>TanzaniaWorkshops</v>
      </c>
      <c r="B289" s="528" t="s">
        <v>143</v>
      </c>
      <c r="C289" s="528" t="s">
        <v>877</v>
      </c>
    </row>
    <row r="290" spans="1:24">
      <c r="A290" s="528" t="str">
        <f t="shared" si="4"/>
        <v>ThailandWorkshops</v>
      </c>
      <c r="B290" s="528" t="s">
        <v>185</v>
      </c>
      <c r="C290" s="528" t="s">
        <v>877</v>
      </c>
    </row>
    <row r="291" spans="1:24">
      <c r="A291" s="528" t="str">
        <f t="shared" si="4"/>
        <v>TogoWorkshops</v>
      </c>
      <c r="B291" s="528" t="s">
        <v>142</v>
      </c>
      <c r="C291" s="528" t="s">
        <v>877</v>
      </c>
    </row>
    <row r="292" spans="1:24">
      <c r="A292" s="528" t="str">
        <f t="shared" si="4"/>
        <v>Trinidad &amp; TobagoWorkshops</v>
      </c>
      <c r="B292" s="528" t="s">
        <v>366</v>
      </c>
      <c r="C292" s="528" t="s">
        <v>877</v>
      </c>
    </row>
    <row r="293" spans="1:24">
      <c r="A293" s="528" t="str">
        <f t="shared" si="4"/>
        <v>UgandaWorkshops</v>
      </c>
      <c r="B293" s="528" t="s">
        <v>144</v>
      </c>
      <c r="C293" s="528" t="s">
        <v>877</v>
      </c>
    </row>
    <row r="294" spans="1:24">
      <c r="A294" s="528" t="str">
        <f t="shared" si="4"/>
        <v>UkraineWorkshops</v>
      </c>
      <c r="B294" s="528" t="s">
        <v>186</v>
      </c>
      <c r="C294" s="528" t="s">
        <v>877</v>
      </c>
    </row>
    <row r="295" spans="1:24">
      <c r="A295" s="528" t="str">
        <f t="shared" si="4"/>
        <v>UruguayWorkshops</v>
      </c>
      <c r="B295" s="528" t="s">
        <v>187</v>
      </c>
      <c r="C295" s="528" t="s">
        <v>877</v>
      </c>
    </row>
    <row r="296" spans="1:24">
      <c r="A296" s="528" t="str">
        <f t="shared" si="4"/>
        <v>VenezuelaWorkshops</v>
      </c>
      <c r="B296" s="528" t="s">
        <v>188</v>
      </c>
      <c r="C296" s="528" t="s">
        <v>877</v>
      </c>
    </row>
    <row r="297" spans="1:24">
      <c r="A297" s="528" t="str">
        <f t="shared" si="4"/>
        <v>ZambiaWorkshops</v>
      </c>
      <c r="B297" s="528" t="s">
        <v>124</v>
      </c>
      <c r="C297" s="528" t="s">
        <v>877</v>
      </c>
    </row>
    <row r="298" spans="1:24">
      <c r="A298" s="528" t="str">
        <f t="shared" si="4"/>
        <v>ZimbabweWorkshops</v>
      </c>
      <c r="B298" s="528" t="s">
        <v>125</v>
      </c>
      <c r="C298" s="528" t="s">
        <v>877</v>
      </c>
      <c r="I298" s="536"/>
      <c r="J298" s="536"/>
      <c r="K298" s="536"/>
      <c r="L298" s="536"/>
      <c r="M298" s="536"/>
      <c r="N298" s="536"/>
      <c r="O298" s="536"/>
      <c r="P298" s="536"/>
      <c r="Q298" s="536"/>
      <c r="R298" s="536"/>
      <c r="S298" s="536"/>
      <c r="T298" s="536"/>
      <c r="U298" s="536"/>
      <c r="V298" s="536"/>
      <c r="W298" s="536"/>
      <c r="X298" s="536"/>
    </row>
    <row r="299" spans="1:24">
      <c r="I299" s="536"/>
      <c r="J299" s="536"/>
      <c r="K299" s="536"/>
      <c r="L299" s="536"/>
      <c r="M299" s="536"/>
      <c r="N299" s="536"/>
      <c r="O299" s="536"/>
      <c r="P299" s="536"/>
      <c r="Q299" s="536"/>
      <c r="R299" s="536"/>
      <c r="S299" s="536"/>
      <c r="T299" s="536"/>
      <c r="U299" s="536"/>
      <c r="V299" s="536"/>
      <c r="W299" s="536"/>
      <c r="X299" s="536"/>
    </row>
  </sheetData>
  <sortState xmlns:xlrd2="http://schemas.microsoft.com/office/spreadsheetml/2017/richdata2" ref="A2:X299">
    <sortCondition ref="C2:C299"/>
    <sortCondition ref="B2:B299"/>
  </sortState>
  <customSheetViews>
    <customSheetView guid="{8967CA62-3554-8A40-ACFF-3515F2B518C8}" scale="67" topLeftCell="A144">
      <selection activeCell="D148" sqref="D148:T148"/>
      <pageMargins left="0.7" right="0.7" top="0.75" bottom="0.75" header="0.3" footer="0.3"/>
    </customSheetView>
    <customSheetView guid="{EB877D66-0749-4C48-89AA-FFA94A34014C}" scale="67" state="hidden" topLeftCell="A144">
      <selection activeCell="N48" sqref="N48"/>
      <pageMargins left="0.7" right="0.7" top="0.75" bottom="0.75" header="0.3" footer="0.3"/>
    </customSheetView>
  </customSheetViews>
  <dataValidations disablePrompts="1" count="1">
    <dataValidation type="list" allowBlank="1" showInputMessage="1" showErrorMessage="1" sqref="D163:S163" xr:uid="{00000000-0002-0000-0F00-000000000000}">
      <formula1>$A$103:$A$166</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U100"/>
  <sheetViews>
    <sheetView zoomScale="75" workbookViewId="0">
      <selection activeCell="N48" sqref="N48"/>
    </sheetView>
  </sheetViews>
  <sheetFormatPr baseColWidth="10" defaultRowHeight="16"/>
  <cols>
    <col min="1" max="1" width="10.83203125" style="48"/>
    <col min="2" max="3" width="10.83203125" style="547"/>
    <col min="4" max="16384" width="10.83203125" style="48"/>
  </cols>
  <sheetData>
    <row r="1" spans="1:21" s="545" customFormat="1">
      <c r="A1" s="545" t="s">
        <v>875</v>
      </c>
      <c r="B1" s="545" t="s">
        <v>871</v>
      </c>
      <c r="C1" s="545" t="s">
        <v>872</v>
      </c>
      <c r="D1" s="546">
        <v>2003</v>
      </c>
      <c r="E1" s="546">
        <v>2004</v>
      </c>
      <c r="F1" s="546">
        <v>2005</v>
      </c>
      <c r="G1" s="546">
        <v>2006</v>
      </c>
      <c r="H1" s="546">
        <v>2007</v>
      </c>
      <c r="I1" s="546">
        <v>2008</v>
      </c>
      <c r="J1" s="546">
        <v>2009</v>
      </c>
      <c r="K1" s="546">
        <v>2010</v>
      </c>
      <c r="L1" s="546">
        <v>2011</v>
      </c>
      <c r="M1" s="546">
        <v>2012</v>
      </c>
      <c r="N1" s="546">
        <v>2013</v>
      </c>
      <c r="O1" s="546">
        <v>2014</v>
      </c>
      <c r="P1" s="546">
        <v>2015</v>
      </c>
      <c r="Q1" s="546">
        <v>2016</v>
      </c>
      <c r="R1" s="546">
        <v>2017</v>
      </c>
      <c r="S1" s="546">
        <v>2018</v>
      </c>
      <c r="T1" s="546">
        <v>2019</v>
      </c>
      <c r="U1" s="545">
        <v>2020</v>
      </c>
    </row>
    <row r="2" spans="1:21">
      <c r="A2" t="str">
        <f>B2&amp;C2</f>
        <v>AfghanistanWorkshops</v>
      </c>
      <c r="B2" s="528" t="s">
        <v>928</v>
      </c>
      <c r="C2" s="528" t="s">
        <v>877</v>
      </c>
    </row>
    <row r="3" spans="1:21">
      <c r="A3" t="str">
        <f>B3&amp;C3</f>
        <v>AngolaWorkshops</v>
      </c>
      <c r="B3" s="528" t="s">
        <v>929</v>
      </c>
      <c r="C3" s="528" t="s">
        <v>877</v>
      </c>
    </row>
    <row r="4" spans="1:21">
      <c r="A4" t="str">
        <f>B4&amp;C4</f>
        <v>Antigua &amp; BarbudaWorkshops</v>
      </c>
      <c r="B4" s="528" t="s">
        <v>343</v>
      </c>
      <c r="C4" s="528" t="s">
        <v>877</v>
      </c>
    </row>
    <row r="5" spans="1:21">
      <c r="A5" t="str">
        <f>B5&amp;C5</f>
        <v>ArgentinaWorkshops</v>
      </c>
      <c r="B5" s="528" t="s">
        <v>344</v>
      </c>
      <c r="C5" s="528" t="s">
        <v>877</v>
      </c>
    </row>
    <row r="6" spans="1:21">
      <c r="A6" t="str">
        <f>B6&amp;C6</f>
        <v>BahamasWorkshops</v>
      </c>
      <c r="B6" s="528" t="s">
        <v>345</v>
      </c>
      <c r="C6" s="528" t="s">
        <v>877</v>
      </c>
    </row>
    <row r="7" spans="1:21">
      <c r="A7" t="str">
        <f>B7&amp;C7</f>
        <v>BangladeshWorkshops</v>
      </c>
      <c r="B7" s="528" t="s">
        <v>865</v>
      </c>
      <c r="C7" s="528" t="s">
        <v>877</v>
      </c>
    </row>
    <row r="8" spans="1:21">
      <c r="A8" t="str">
        <f>B8&amp;C8</f>
        <v>BarbadosWorkshops</v>
      </c>
      <c r="B8" s="528" t="s">
        <v>346</v>
      </c>
      <c r="C8" s="528" t="s">
        <v>877</v>
      </c>
    </row>
    <row r="9" spans="1:21">
      <c r="A9" t="str">
        <f>B9&amp;C9</f>
        <v>BelarusWorkshops</v>
      </c>
      <c r="B9" s="528" t="s">
        <v>166</v>
      </c>
      <c r="C9" s="528" t="s">
        <v>877</v>
      </c>
    </row>
    <row r="10" spans="1:21">
      <c r="A10" t="str">
        <f>B10&amp;C10</f>
        <v>BelizeWorkshops</v>
      </c>
      <c r="B10" s="528" t="s">
        <v>368</v>
      </c>
      <c r="C10" s="528" t="s">
        <v>877</v>
      </c>
    </row>
    <row r="11" spans="1:21">
      <c r="A11" t="str">
        <f>B11&amp;C11</f>
        <v>BeninWorkshops</v>
      </c>
      <c r="B11" s="528" t="s">
        <v>126</v>
      </c>
      <c r="C11" s="528" t="s">
        <v>877</v>
      </c>
    </row>
    <row r="12" spans="1:21">
      <c r="A12" s="729" t="str">
        <f>B12&amp;C12</f>
        <v>BhutanWorkshops</v>
      </c>
      <c r="B12" s="547" t="s">
        <v>951</v>
      </c>
      <c r="C12" s="547" t="s">
        <v>877</v>
      </c>
    </row>
    <row r="13" spans="1:21">
      <c r="A13" t="str">
        <f>B13&amp;C13</f>
        <v>BoliviaWorkshops</v>
      </c>
      <c r="B13" s="528" t="s">
        <v>798</v>
      </c>
      <c r="C13" s="528" t="s">
        <v>877</v>
      </c>
    </row>
    <row r="14" spans="1:21">
      <c r="A14" t="str">
        <f>B14&amp;C14</f>
        <v>BotswanaWorkshops</v>
      </c>
      <c r="B14" s="528" t="s">
        <v>834</v>
      </c>
      <c r="C14" s="528" t="s">
        <v>877</v>
      </c>
    </row>
    <row r="15" spans="1:21">
      <c r="A15" t="str">
        <f>B15&amp;C15</f>
        <v>BrazilWorkshops</v>
      </c>
      <c r="B15" s="528" t="s">
        <v>167</v>
      </c>
      <c r="C15" s="528" t="s">
        <v>877</v>
      </c>
    </row>
    <row r="16" spans="1:21">
      <c r="A16" s="48" t="str">
        <f>B16&amp;C16</f>
        <v>BruneiWorkshops</v>
      </c>
      <c r="B16" s="547" t="s">
        <v>952</v>
      </c>
      <c r="C16" s="547" t="s">
        <v>877</v>
      </c>
    </row>
    <row r="17" spans="1:20">
      <c r="A17" t="str">
        <f>B17&amp;C17</f>
        <v>Burkina FasoWorkshops</v>
      </c>
      <c r="B17" s="528" t="s">
        <v>168</v>
      </c>
      <c r="C17" s="528" t="s">
        <v>877</v>
      </c>
    </row>
    <row r="18" spans="1:20">
      <c r="A18" t="str">
        <f>B18&amp;C18</f>
        <v>BurundiWorkshops</v>
      </c>
      <c r="B18" s="528" t="s">
        <v>165</v>
      </c>
      <c r="C18" s="528" t="s">
        <v>877</v>
      </c>
    </row>
    <row r="19" spans="1:20">
      <c r="A19" t="str">
        <f>B19&amp;C19</f>
        <v>Cabo VerdeWorkshops</v>
      </c>
      <c r="B19" s="528" t="s">
        <v>149</v>
      </c>
      <c r="C19" s="528" t="s">
        <v>877</v>
      </c>
    </row>
    <row r="20" spans="1:20">
      <c r="A20" t="str">
        <f>B20&amp;C20</f>
        <v>CambodiaWorkshops</v>
      </c>
      <c r="B20" s="528" t="s">
        <v>169</v>
      </c>
      <c r="C20" s="528" t="s">
        <v>877</v>
      </c>
    </row>
    <row r="21" spans="1:20">
      <c r="A21" t="str">
        <f>B21&amp;C21</f>
        <v>Central African RepublicWorkshops</v>
      </c>
      <c r="B21" s="528" t="s">
        <v>153</v>
      </c>
      <c r="C21" s="528" t="s">
        <v>877</v>
      </c>
    </row>
    <row r="22" spans="1:20">
      <c r="A22" t="str">
        <f>B22&amp;C22</f>
        <v>ChileWorkshops</v>
      </c>
      <c r="B22" s="528" t="s">
        <v>170</v>
      </c>
      <c r="C22" s="528" t="s">
        <v>877</v>
      </c>
    </row>
    <row r="23" spans="1:20">
      <c r="A23" t="str">
        <f>B23&amp;C23</f>
        <v>ChinaWorkshops</v>
      </c>
      <c r="B23" s="528" t="s">
        <v>349</v>
      </c>
      <c r="C23" s="528" t="s">
        <v>877</v>
      </c>
    </row>
    <row r="24" spans="1:20">
      <c r="A24" t="str">
        <f>B24&amp;C24</f>
        <v>ColombiaWorkshops</v>
      </c>
      <c r="B24" s="528" t="s">
        <v>171</v>
      </c>
      <c r="C24" s="528" t="s">
        <v>877</v>
      </c>
    </row>
    <row r="25" spans="1:20">
      <c r="A25" t="str">
        <f>B25&amp;C25</f>
        <v>Costa RicaWorkshops</v>
      </c>
      <c r="B25" s="528" t="s">
        <v>350</v>
      </c>
      <c r="C25" s="528" t="s">
        <v>877</v>
      </c>
    </row>
    <row r="26" spans="1:20">
      <c r="A26" t="str">
        <f>B26&amp;C26</f>
        <v>CubaWorkshops</v>
      </c>
      <c r="B26" s="528" t="s">
        <v>164</v>
      </c>
      <c r="C26" s="528" t="s">
        <v>877</v>
      </c>
    </row>
    <row r="27" spans="1:20" ht="17" thickBot="1">
      <c r="A27" t="str">
        <f>B27&amp;C27</f>
        <v>Democratic Republic of CongoWorkshops</v>
      </c>
      <c r="B27" s="528" t="s">
        <v>152</v>
      </c>
      <c r="C27" s="528" t="s">
        <v>877</v>
      </c>
    </row>
    <row r="28" spans="1:20" ht="17" thickBot="1">
      <c r="A28" t="str">
        <f>B28&amp;C28</f>
        <v>Dominican RepublicWorkshops</v>
      </c>
      <c r="B28" s="528" t="s">
        <v>172</v>
      </c>
      <c r="C28" s="528" t="s">
        <v>877</v>
      </c>
      <c r="D28" s="757"/>
      <c r="E28" s="757"/>
      <c r="F28" s="757"/>
      <c r="G28" s="757"/>
      <c r="H28" s="757"/>
      <c r="I28" s="757"/>
      <c r="J28" s="757"/>
      <c r="K28" s="757"/>
      <c r="L28" s="757"/>
      <c r="M28" s="757"/>
      <c r="N28" s="757"/>
      <c r="O28" s="757"/>
      <c r="P28" s="757"/>
      <c r="Q28" s="757"/>
      <c r="R28" s="757"/>
      <c r="S28" s="757"/>
      <c r="T28" s="757"/>
    </row>
    <row r="29" spans="1:20">
      <c r="A29" t="str">
        <f>B29&amp;C29</f>
        <v>DominicaWorkshops</v>
      </c>
      <c r="B29" s="528" t="s">
        <v>351</v>
      </c>
      <c r="C29" s="528" t="s">
        <v>877</v>
      </c>
    </row>
    <row r="30" spans="1:20">
      <c r="A30" t="str">
        <f>B30&amp;C30</f>
        <v>EcuadorWorkshops</v>
      </c>
      <c r="B30" s="528" t="s">
        <v>352</v>
      </c>
      <c r="C30" s="528" t="s">
        <v>877</v>
      </c>
    </row>
    <row r="31" spans="1:20">
      <c r="A31" t="str">
        <f>B31&amp;C31</f>
        <v>El SalvadorWorkshops</v>
      </c>
      <c r="B31" s="528" t="s">
        <v>353</v>
      </c>
      <c r="C31" s="528" t="s">
        <v>877</v>
      </c>
      <c r="D31" s="812"/>
      <c r="E31" s="812"/>
      <c r="F31" s="812"/>
      <c r="G31" s="812"/>
      <c r="H31" s="812"/>
      <c r="I31" s="812"/>
      <c r="J31" s="812"/>
      <c r="K31" s="812"/>
      <c r="L31" s="812"/>
      <c r="M31" s="812"/>
      <c r="N31" s="812">
        <v>47</v>
      </c>
      <c r="O31" s="812">
        <v>2</v>
      </c>
      <c r="P31" s="812">
        <v>38</v>
      </c>
      <c r="Q31" s="812">
        <v>38</v>
      </c>
      <c r="R31" s="812">
        <v>19</v>
      </c>
      <c r="S31" s="812">
        <v>7</v>
      </c>
      <c r="T31" s="812"/>
    </row>
    <row r="32" spans="1:20">
      <c r="A32" t="str">
        <f>B32&amp;C32</f>
        <v>Equatorial GuineaWorkshops</v>
      </c>
      <c r="B32" s="528" t="s">
        <v>129</v>
      </c>
      <c r="C32" s="528" t="s">
        <v>877</v>
      </c>
    </row>
    <row r="33" spans="1:20">
      <c r="A33" t="str">
        <f>B33&amp;C33</f>
        <v>EritreaWorkshops</v>
      </c>
      <c r="B33" s="528" t="s">
        <v>128</v>
      </c>
      <c r="C33" s="528" t="s">
        <v>877</v>
      </c>
    </row>
    <row r="34" spans="1:20">
      <c r="A34" t="str">
        <f>B34&amp;C34</f>
        <v>EswatiniWorkshops</v>
      </c>
      <c r="B34" s="528" t="s">
        <v>835</v>
      </c>
      <c r="C34" s="528" t="s">
        <v>877</v>
      </c>
    </row>
    <row r="35" spans="1:20">
      <c r="A35" t="str">
        <f>B35&amp;C35</f>
        <v>EthiopiaWorkshops</v>
      </c>
      <c r="B35" s="528" t="s">
        <v>127</v>
      </c>
      <c r="C35" s="528" t="s">
        <v>877</v>
      </c>
    </row>
    <row r="36" spans="1:20">
      <c r="A36" t="str">
        <f>B36&amp;C36</f>
        <v>Federated States of MicronesiaWorkshops</v>
      </c>
      <c r="B36" s="528" t="s">
        <v>356</v>
      </c>
      <c r="C36" s="528" t="s">
        <v>877</v>
      </c>
    </row>
    <row r="37" spans="1:20">
      <c r="A37" t="str">
        <f>B37&amp;C37</f>
        <v>FijiWorkshops</v>
      </c>
      <c r="B37" s="528" t="s">
        <v>338</v>
      </c>
      <c r="C37" s="528" t="s">
        <v>877</v>
      </c>
    </row>
    <row r="38" spans="1:20">
      <c r="A38" t="str">
        <f>B38&amp;C38</f>
        <v>GabonWorkshops</v>
      </c>
      <c r="B38" s="528" t="s">
        <v>130</v>
      </c>
      <c r="C38" s="528" t="s">
        <v>877</v>
      </c>
    </row>
    <row r="39" spans="1:20">
      <c r="A39" t="str">
        <f>B39&amp;C39</f>
        <v>GeorgiaWorkshops</v>
      </c>
      <c r="B39" s="528" t="s">
        <v>173</v>
      </c>
      <c r="C39" s="528" t="s">
        <v>877</v>
      </c>
    </row>
    <row r="40" spans="1:20">
      <c r="A40" t="str">
        <f>B40&amp;C40</f>
        <v>GhanaWorkshops</v>
      </c>
      <c r="B40" s="528" t="s">
        <v>131</v>
      </c>
      <c r="C40" s="528" t="s">
        <v>877</v>
      </c>
    </row>
    <row r="41" spans="1:20" ht="17" thickBot="1">
      <c r="A41" t="str">
        <f>B41&amp;C41</f>
        <v>GrenadaWorkshops</v>
      </c>
      <c r="B41" s="528" t="s">
        <v>354</v>
      </c>
      <c r="C41" s="528" t="s">
        <v>877</v>
      </c>
    </row>
    <row r="42" spans="1:20" ht="17" thickBot="1">
      <c r="A42" t="str">
        <f>B42&amp;C42</f>
        <v>GuatemalaWorkshops</v>
      </c>
      <c r="B42" s="528" t="s">
        <v>355</v>
      </c>
      <c r="C42" s="528" t="s">
        <v>877</v>
      </c>
      <c r="D42" s="757"/>
      <c r="E42" s="757"/>
      <c r="F42" s="757"/>
      <c r="G42" s="757"/>
      <c r="H42" s="757"/>
      <c r="I42" s="757"/>
      <c r="J42" s="757"/>
      <c r="K42" s="757"/>
      <c r="L42" s="757"/>
      <c r="M42" s="757"/>
      <c r="N42" s="757"/>
      <c r="O42" s="757"/>
      <c r="P42" s="757"/>
      <c r="Q42" s="757"/>
      <c r="R42" s="757"/>
      <c r="S42" s="757"/>
      <c r="T42" s="757"/>
    </row>
    <row r="43" spans="1:20">
      <c r="A43" t="str">
        <f>B43&amp;C43</f>
        <v>GuineaWorkshops</v>
      </c>
      <c r="B43" s="528" t="s">
        <v>132</v>
      </c>
      <c r="C43" s="528" t="s">
        <v>877</v>
      </c>
    </row>
    <row r="44" spans="1:20">
      <c r="A44" t="str">
        <f>B44&amp;C44</f>
        <v>GuyanaWorkshops</v>
      </c>
      <c r="B44" s="528" t="s">
        <v>357</v>
      </c>
      <c r="C44" s="528" t="s">
        <v>877</v>
      </c>
    </row>
    <row r="45" spans="1:20">
      <c r="A45" t="str">
        <f>B45&amp;C45</f>
        <v>HaitiWorkshops</v>
      </c>
      <c r="B45" s="528" t="s">
        <v>174</v>
      </c>
      <c r="C45" s="528" t="s">
        <v>877</v>
      </c>
    </row>
    <row r="46" spans="1:20">
      <c r="A46" t="str">
        <f>B46&amp;C46</f>
        <v>HondurasWorkshops</v>
      </c>
      <c r="B46" s="528" t="s">
        <v>358</v>
      </c>
      <c r="C46" s="528" t="s">
        <v>877</v>
      </c>
      <c r="D46" s="812"/>
      <c r="E46" s="812"/>
      <c r="F46" s="812"/>
      <c r="G46" s="812"/>
      <c r="H46" s="812"/>
      <c r="I46" s="812"/>
      <c r="J46" s="812"/>
      <c r="K46" s="812"/>
      <c r="L46" s="812">
        <v>1</v>
      </c>
      <c r="M46" s="812">
        <v>8</v>
      </c>
      <c r="N46" s="812">
        <v>2</v>
      </c>
      <c r="O46" s="812">
        <v>3</v>
      </c>
      <c r="P46" s="812">
        <v>15</v>
      </c>
      <c r="Q46" s="812">
        <v>23</v>
      </c>
      <c r="R46" s="812">
        <v>33</v>
      </c>
      <c r="S46" s="812"/>
      <c r="T46" s="812"/>
    </row>
    <row r="47" spans="1:20">
      <c r="A47" t="str">
        <f>B47&amp;C47</f>
        <v>IndiaWorkshops</v>
      </c>
      <c r="B47" s="528" t="s">
        <v>175</v>
      </c>
      <c r="C47" s="528" t="s">
        <v>877</v>
      </c>
    </row>
    <row r="48" spans="1:20">
      <c r="A48" t="str">
        <f>B48&amp;C48</f>
        <v>IndonesiaWorkshops</v>
      </c>
      <c r="B48" s="528" t="s">
        <v>866</v>
      </c>
      <c r="C48" s="528" t="s">
        <v>877</v>
      </c>
    </row>
    <row r="49" spans="1:20">
      <c r="A49" t="str">
        <f>B49&amp;C49</f>
        <v>JamaicaWorkshops</v>
      </c>
      <c r="B49" s="528" t="s">
        <v>176</v>
      </c>
      <c r="C49" s="528" t="s">
        <v>877</v>
      </c>
    </row>
    <row r="50" spans="1:20">
      <c r="A50" t="str">
        <f>B50&amp;C50</f>
        <v>KenyaWorkshops</v>
      </c>
      <c r="B50" s="528" t="s">
        <v>133</v>
      </c>
      <c r="C50" s="528" t="s">
        <v>877</v>
      </c>
    </row>
    <row r="51" spans="1:20">
      <c r="A51" t="str">
        <f>B51&amp;C51</f>
        <v>LesothoWorkshops</v>
      </c>
      <c r="B51" s="528" t="s">
        <v>930</v>
      </c>
      <c r="C51" s="528" t="s">
        <v>877</v>
      </c>
    </row>
    <row r="52" spans="1:20">
      <c r="A52" t="str">
        <f>B52&amp;C52</f>
        <v>LiberiaWorkshops</v>
      </c>
      <c r="B52" s="528" t="s">
        <v>134</v>
      </c>
      <c r="C52" s="528" t="s">
        <v>877</v>
      </c>
    </row>
    <row r="53" spans="1:20">
      <c r="A53" t="str">
        <f>B53&amp;C53</f>
        <v>MadagascarWorkshops</v>
      </c>
      <c r="B53" s="528" t="s">
        <v>135</v>
      </c>
      <c r="C53" s="528" t="s">
        <v>877</v>
      </c>
    </row>
    <row r="54" spans="1:20">
      <c r="A54" t="str">
        <f>B54&amp;C54</f>
        <v>MalawiWorkshops</v>
      </c>
      <c r="B54" s="528" t="s">
        <v>136</v>
      </c>
      <c r="C54" s="528" t="s">
        <v>877</v>
      </c>
    </row>
    <row r="55" spans="1:20">
      <c r="A55" t="str">
        <f>B55&amp;C55</f>
        <v>MalaysiaWorkshops</v>
      </c>
      <c r="B55" s="528" t="s">
        <v>177</v>
      </c>
      <c r="C55" s="528" t="s">
        <v>877</v>
      </c>
    </row>
    <row r="56" spans="1:20">
      <c r="A56" t="str">
        <f>B56&amp;C56</f>
        <v>MaldivesWorkshops</v>
      </c>
      <c r="B56" s="528" t="s">
        <v>375</v>
      </c>
      <c r="C56" s="528" t="s">
        <v>877</v>
      </c>
    </row>
    <row r="57" spans="1:20">
      <c r="A57" t="str">
        <f>B57&amp;C57</f>
        <v>MaliWorkshops</v>
      </c>
      <c r="B57" s="528" t="s">
        <v>137</v>
      </c>
      <c r="C57" s="528" t="s">
        <v>877</v>
      </c>
    </row>
    <row r="58" spans="1:20" ht="17" thickBot="1">
      <c r="A58" t="str">
        <f>B58&amp;C58</f>
        <v>MauritiusWorkshops</v>
      </c>
      <c r="B58" s="528" t="s">
        <v>150</v>
      </c>
      <c r="C58" s="528" t="s">
        <v>877</v>
      </c>
    </row>
    <row r="59" spans="1:20" ht="17" thickBot="1">
      <c r="A59" t="str">
        <f>B59&amp;C59</f>
        <v>MexicoWorkshops</v>
      </c>
      <c r="B59" s="528" t="s">
        <v>761</v>
      </c>
      <c r="C59" s="528" t="s">
        <v>877</v>
      </c>
      <c r="D59" s="757"/>
      <c r="E59" s="757"/>
      <c r="F59" s="757"/>
      <c r="G59" s="757"/>
      <c r="H59" s="757"/>
      <c r="I59" s="757"/>
      <c r="J59" s="757"/>
      <c r="K59" s="757"/>
      <c r="L59" s="757"/>
      <c r="M59" s="757"/>
      <c r="N59" s="757"/>
      <c r="O59" s="757"/>
      <c r="P59" s="757"/>
      <c r="Q59" s="757"/>
      <c r="R59" s="757"/>
      <c r="S59" s="757"/>
      <c r="T59" s="757"/>
    </row>
    <row r="60" spans="1:20">
      <c r="A60" t="str">
        <f>B60&amp;C60</f>
        <v>MoldovaWorkshops</v>
      </c>
      <c r="B60" s="528" t="s">
        <v>230</v>
      </c>
      <c r="C60" s="528" t="s">
        <v>877</v>
      </c>
    </row>
    <row r="61" spans="1:20">
      <c r="A61" t="str">
        <f>B61&amp;C61</f>
        <v>MongoliaWorkshops</v>
      </c>
      <c r="B61" s="528" t="s">
        <v>178</v>
      </c>
      <c r="C61" s="528" t="s">
        <v>877</v>
      </c>
    </row>
    <row r="62" spans="1:20">
      <c r="A62" t="str">
        <f>B62&amp;C62</f>
        <v>MoroccoWorkshops</v>
      </c>
      <c r="B62" s="528" t="s">
        <v>931</v>
      </c>
      <c r="C62" s="528" t="s">
        <v>877</v>
      </c>
    </row>
    <row r="63" spans="1:20" ht="17" thickBot="1">
      <c r="A63" t="str">
        <f>B63&amp;C63</f>
        <v>MozambiqueWorkshops</v>
      </c>
      <c r="B63" s="528" t="s">
        <v>138</v>
      </c>
      <c r="C63" s="528" t="s">
        <v>877</v>
      </c>
    </row>
    <row r="64" spans="1:20" ht="17" thickBot="1">
      <c r="A64" t="str">
        <f>B64&amp;C64</f>
        <v>MyanmarWorkshops</v>
      </c>
      <c r="B64" s="528" t="s">
        <v>932</v>
      </c>
      <c r="C64" s="528" t="s">
        <v>877</v>
      </c>
      <c r="D64" s="757"/>
      <c r="E64" s="757"/>
      <c r="F64" s="757"/>
      <c r="G64" s="757"/>
      <c r="H64" s="757"/>
      <c r="I64" s="757"/>
      <c r="J64" s="757"/>
      <c r="K64" s="757"/>
      <c r="L64" s="757"/>
      <c r="M64" s="757"/>
      <c r="N64" s="757"/>
      <c r="O64" s="757"/>
      <c r="P64" s="757"/>
      <c r="Q64" s="757"/>
      <c r="R64" s="757"/>
      <c r="S64" s="757"/>
      <c r="T64" s="757"/>
    </row>
    <row r="65" spans="1:20">
      <c r="A65" t="str">
        <f>B65&amp;C65</f>
        <v>NepalWorkshops</v>
      </c>
      <c r="B65" s="528" t="s">
        <v>179</v>
      </c>
      <c r="C65" s="528" t="s">
        <v>877</v>
      </c>
    </row>
    <row r="66" spans="1:20">
      <c r="A66" t="str">
        <f>B66&amp;C66</f>
        <v>NicaraguaWorkshops</v>
      </c>
      <c r="B66" s="528" t="s">
        <v>359</v>
      </c>
      <c r="C66" s="528" t="s">
        <v>877</v>
      </c>
      <c r="D66" s="812"/>
      <c r="E66" s="812"/>
      <c r="F66" s="812"/>
      <c r="G66" s="812"/>
      <c r="H66" s="812"/>
      <c r="I66" s="812"/>
      <c r="J66" s="812">
        <v>10</v>
      </c>
      <c r="K66" s="812">
        <v>5</v>
      </c>
      <c r="L66" s="812">
        <v>3</v>
      </c>
      <c r="M66" s="812"/>
      <c r="N66" s="812">
        <v>1</v>
      </c>
      <c r="O66" s="812">
        <v>5</v>
      </c>
      <c r="P66" s="812">
        <v>8</v>
      </c>
      <c r="Q66" s="812">
        <v>3</v>
      </c>
      <c r="R66" s="812">
        <v>4</v>
      </c>
      <c r="S66" s="812">
        <v>1</v>
      </c>
      <c r="T66" s="812"/>
    </row>
    <row r="67" spans="1:20">
      <c r="A67" t="str">
        <f>B67&amp;C67</f>
        <v>NigeriaWorkshops</v>
      </c>
      <c r="B67" s="528" t="s">
        <v>140</v>
      </c>
      <c r="C67" s="528" t="s">
        <v>877</v>
      </c>
    </row>
    <row r="68" spans="1:20">
      <c r="A68" t="str">
        <f>B68&amp;C68</f>
        <v>NigerWorkshops</v>
      </c>
      <c r="B68" s="528" t="s">
        <v>139</v>
      </c>
      <c r="C68" s="528" t="s">
        <v>877</v>
      </c>
    </row>
    <row r="69" spans="1:20">
      <c r="A69" t="str">
        <f>B69&amp;C69</f>
        <v>OmanWorkshops</v>
      </c>
      <c r="B69" s="528" t="s">
        <v>933</v>
      </c>
      <c r="C69" s="528" t="s">
        <v>877</v>
      </c>
    </row>
    <row r="70" spans="1:20">
      <c r="A70" t="str">
        <f>B70&amp;C70</f>
        <v>PanamaWorkshops</v>
      </c>
      <c r="B70" s="528" t="s">
        <v>180</v>
      </c>
      <c r="C70" s="528" t="s">
        <v>877</v>
      </c>
    </row>
    <row r="71" spans="1:20">
      <c r="A71" t="str">
        <f>B71&amp;C71</f>
        <v>Papua New GuineaWorkshops</v>
      </c>
      <c r="B71" s="528" t="s">
        <v>181</v>
      </c>
      <c r="C71" s="528" t="s">
        <v>877</v>
      </c>
    </row>
    <row r="72" spans="1:20">
      <c r="A72" t="str">
        <f>B72&amp;C72</f>
        <v>ParaguayWorkshops</v>
      </c>
      <c r="B72" s="528" t="s">
        <v>182</v>
      </c>
      <c r="C72" s="528" t="s">
        <v>877</v>
      </c>
      <c r="D72" s="812"/>
      <c r="E72" s="812"/>
      <c r="F72" s="812"/>
      <c r="G72" s="812"/>
      <c r="H72" s="812"/>
      <c r="I72" s="812"/>
      <c r="J72" s="812">
        <v>390</v>
      </c>
      <c r="K72" s="812"/>
      <c r="L72" s="812"/>
      <c r="M72" s="812"/>
      <c r="N72" s="812"/>
      <c r="O72" s="812">
        <v>436</v>
      </c>
      <c r="P72" s="812">
        <v>474</v>
      </c>
      <c r="Q72" s="812">
        <v>327</v>
      </c>
      <c r="R72" s="812">
        <v>320</v>
      </c>
      <c r="S72" s="812">
        <v>280</v>
      </c>
      <c r="T72" s="812"/>
    </row>
    <row r="73" spans="1:20">
      <c r="A73" t="str">
        <f>B73&amp;C73</f>
        <v>PeruWorkshops</v>
      </c>
      <c r="B73" s="528" t="s">
        <v>360</v>
      </c>
      <c r="C73" s="528" t="s">
        <v>877</v>
      </c>
    </row>
    <row r="74" spans="1:20">
      <c r="A74" t="str">
        <f>B74&amp;C74</f>
        <v>Republic of the CongoWorkshops</v>
      </c>
      <c r="B74" s="528" t="s">
        <v>934</v>
      </c>
      <c r="C74" s="528" t="s">
        <v>877</v>
      </c>
    </row>
    <row r="75" spans="1:20">
      <c r="A75" s="729" t="str">
        <f>B75&amp;C75</f>
        <v>RwandaWorkshops</v>
      </c>
      <c r="B75" s="547" t="s">
        <v>953</v>
      </c>
      <c r="C75" s="547" t="s">
        <v>877</v>
      </c>
    </row>
    <row r="76" spans="1:20">
      <c r="A76" t="str">
        <f>B76&amp;C76</f>
        <v>Saint Kitts &amp; NevisWorkshops</v>
      </c>
      <c r="B76" s="528" t="s">
        <v>361</v>
      </c>
      <c r="C76" s="528" t="s">
        <v>877</v>
      </c>
    </row>
    <row r="77" spans="1:20">
      <c r="A77" t="str">
        <f>B77&amp;C77</f>
        <v>Saint LuciaWorkshops</v>
      </c>
      <c r="B77" s="528" t="s">
        <v>362</v>
      </c>
      <c r="C77" s="528" t="s">
        <v>877</v>
      </c>
    </row>
    <row r="78" spans="1:20">
      <c r="A78" t="str">
        <f>B78&amp;C78</f>
        <v>Saint Vincent &amp; the GrenadinesWorkshops</v>
      </c>
      <c r="B78" s="528" t="s">
        <v>363</v>
      </c>
      <c r="C78" s="528" t="s">
        <v>877</v>
      </c>
    </row>
    <row r="79" spans="1:20">
      <c r="A79" t="str">
        <f>B79&amp;C79</f>
        <v>SamoaWorkshops</v>
      </c>
      <c r="B79" s="528" t="s">
        <v>183</v>
      </c>
      <c r="C79" s="528" t="s">
        <v>877</v>
      </c>
    </row>
    <row r="80" spans="1:20">
      <c r="A80" t="str">
        <f>B80&amp;C80</f>
        <v>Sao Tome &amp; PrincipeWorkshops</v>
      </c>
      <c r="B80" s="528" t="s">
        <v>364</v>
      </c>
      <c r="C80" s="528" t="s">
        <v>877</v>
      </c>
    </row>
    <row r="81" spans="1:3">
      <c r="A81" t="str">
        <f>B81&amp;C81</f>
        <v>Saudi ArabiaWorkshops</v>
      </c>
      <c r="B81" s="528" t="s">
        <v>935</v>
      </c>
      <c r="C81" s="528" t="s">
        <v>877</v>
      </c>
    </row>
    <row r="82" spans="1:3">
      <c r="A82" t="str">
        <f>B82&amp;C82</f>
        <v>SenegalWorkshops</v>
      </c>
      <c r="B82" s="528" t="s">
        <v>141</v>
      </c>
      <c r="C82" s="528" t="s">
        <v>877</v>
      </c>
    </row>
    <row r="83" spans="1:3">
      <c r="A83" t="str">
        <f>B83&amp;C83</f>
        <v>SeychellesWorkshops</v>
      </c>
      <c r="B83" s="528" t="s">
        <v>151</v>
      </c>
      <c r="C83" s="528" t="s">
        <v>877</v>
      </c>
    </row>
    <row r="84" spans="1:3">
      <c r="A84" t="str">
        <f>B84&amp;C84</f>
        <v>Sierra LeoneWorkshops</v>
      </c>
      <c r="B84" s="528" t="s">
        <v>936</v>
      </c>
      <c r="C84" s="528" t="s">
        <v>877</v>
      </c>
    </row>
    <row r="85" spans="1:3">
      <c r="A85" s="729" t="str">
        <f>B85&amp;C85</f>
        <v>Solomon IslandsWorkshops</v>
      </c>
      <c r="B85" s="547" t="s">
        <v>950</v>
      </c>
      <c r="C85" s="547" t="s">
        <v>877</v>
      </c>
    </row>
    <row r="86" spans="1:3">
      <c r="A86" t="str">
        <f>B86&amp;C86</f>
        <v>SomaliaWorkshops</v>
      </c>
      <c r="B86" s="528" t="s">
        <v>937</v>
      </c>
      <c r="C86" s="528" t="s">
        <v>877</v>
      </c>
    </row>
    <row r="87" spans="1:3">
      <c r="A87" t="str">
        <f>B87&amp;C87</f>
        <v>South AfricaWorkshops</v>
      </c>
      <c r="B87" s="528" t="s">
        <v>0</v>
      </c>
      <c r="C87" s="528" t="s">
        <v>877</v>
      </c>
    </row>
    <row r="88" spans="1:3">
      <c r="A88" t="str">
        <f>B88&amp;C88</f>
        <v>South SudanWorkshops</v>
      </c>
      <c r="B88" s="528" t="s">
        <v>938</v>
      </c>
      <c r="C88" s="528" t="s">
        <v>877</v>
      </c>
    </row>
    <row r="89" spans="1:3">
      <c r="A89" t="str">
        <f>B89&amp;C89</f>
        <v>Sri LankaWorkshops</v>
      </c>
      <c r="B89" s="528" t="s">
        <v>374</v>
      </c>
      <c r="C89" s="528" t="s">
        <v>877</v>
      </c>
    </row>
    <row r="90" spans="1:3">
      <c r="A90" t="str">
        <f>B90&amp;C90</f>
        <v>SurinameWorkshops</v>
      </c>
      <c r="B90" s="528" t="s">
        <v>365</v>
      </c>
      <c r="C90" s="528" t="s">
        <v>877</v>
      </c>
    </row>
    <row r="91" spans="1:3">
      <c r="A91" t="str">
        <f>B91&amp;C91</f>
        <v>TanzaniaWorkshops</v>
      </c>
      <c r="B91" s="528" t="s">
        <v>143</v>
      </c>
      <c r="C91" s="528" t="s">
        <v>877</v>
      </c>
    </row>
    <row r="92" spans="1:3">
      <c r="A92" t="str">
        <f>B92&amp;C92</f>
        <v>ThailandWorkshops</v>
      </c>
      <c r="B92" s="528" t="s">
        <v>185</v>
      </c>
      <c r="C92" s="528" t="s">
        <v>877</v>
      </c>
    </row>
    <row r="93" spans="1:3">
      <c r="A93" t="str">
        <f>B93&amp;C93</f>
        <v>TogoWorkshops</v>
      </c>
      <c r="B93" s="528" t="s">
        <v>142</v>
      </c>
      <c r="C93" s="528" t="s">
        <v>877</v>
      </c>
    </row>
    <row r="94" spans="1:3">
      <c r="A94" t="str">
        <f>B94&amp;C94</f>
        <v>Trinidad &amp; TobagoWorkshops</v>
      </c>
      <c r="B94" s="528" t="s">
        <v>366</v>
      </c>
      <c r="C94" s="528" t="s">
        <v>877</v>
      </c>
    </row>
    <row r="95" spans="1:3">
      <c r="A95" t="str">
        <f>B95&amp;C95</f>
        <v>UgandaWorkshops</v>
      </c>
      <c r="B95" s="528" t="s">
        <v>144</v>
      </c>
      <c r="C95" s="528" t="s">
        <v>877</v>
      </c>
    </row>
    <row r="96" spans="1:3">
      <c r="A96" t="str">
        <f>B96&amp;C96</f>
        <v>UkraineWorkshops</v>
      </c>
      <c r="B96" s="528" t="s">
        <v>186</v>
      </c>
      <c r="C96" s="528" t="s">
        <v>877</v>
      </c>
    </row>
    <row r="97" spans="1:3">
      <c r="A97" t="str">
        <f>B97&amp;C97</f>
        <v>UruguayWorkshops</v>
      </c>
      <c r="B97" s="528" t="s">
        <v>187</v>
      </c>
      <c r="C97" s="528" t="s">
        <v>877</v>
      </c>
    </row>
    <row r="98" spans="1:3">
      <c r="A98" t="str">
        <f>B98&amp;C98</f>
        <v>VenezuelaWorkshops</v>
      </c>
      <c r="B98" s="528" t="s">
        <v>188</v>
      </c>
      <c r="C98" s="528" t="s">
        <v>877</v>
      </c>
    </row>
    <row r="99" spans="1:3">
      <c r="A99" t="str">
        <f>B99&amp;C99</f>
        <v>ZambiaWorkshops</v>
      </c>
      <c r="B99" s="528" t="s">
        <v>124</v>
      </c>
      <c r="C99" s="528" t="s">
        <v>877</v>
      </c>
    </row>
    <row r="100" spans="1:3">
      <c r="A100" t="str">
        <f>B100&amp;C100</f>
        <v>ZimbabweWorkshops</v>
      </c>
      <c r="B100" s="528" t="s">
        <v>125</v>
      </c>
      <c r="C100" s="528" t="s">
        <v>877</v>
      </c>
    </row>
  </sheetData>
  <sortState xmlns:xlrd2="http://schemas.microsoft.com/office/spreadsheetml/2017/richdata2" ref="A2:U100">
    <sortCondition ref="A1"/>
  </sortState>
  <customSheetViews>
    <customSheetView guid="{8967CA62-3554-8A40-ACFF-3515F2B518C8}" scale="75">
      <selection activeCell="D64" sqref="D64:T64"/>
      <pageMargins left="0.7" right="0.7" top="0.75" bottom="0.75" header="0.3" footer="0.3"/>
    </customSheetView>
    <customSheetView guid="{EB877D66-0749-4C48-89AA-FFA94A34014C}" scale="75" state="hidden">
      <selection activeCell="N48" sqref="N48"/>
      <pageMargins left="0.7" right="0.7" top="0.75" bottom="0.75" header="0.3" footer="0.3"/>
    </customSheetView>
  </customSheetView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V220"/>
  <sheetViews>
    <sheetView topLeftCell="A105" zoomScale="75" workbookViewId="0">
      <selection activeCell="N48" sqref="N48"/>
    </sheetView>
  </sheetViews>
  <sheetFormatPr baseColWidth="10" defaultRowHeight="16"/>
  <cols>
    <col min="1" max="1" width="13.6640625" style="48" customWidth="1"/>
    <col min="2" max="3" width="10.83203125" style="547"/>
    <col min="4" max="16384" width="10.83203125" style="48"/>
  </cols>
  <sheetData>
    <row r="1" spans="1:21" s="545" customFormat="1">
      <c r="A1" s="545" t="s">
        <v>875</v>
      </c>
      <c r="B1" s="545" t="s">
        <v>871</v>
      </c>
      <c r="C1" s="545" t="s">
        <v>872</v>
      </c>
      <c r="D1" s="546">
        <v>2003</v>
      </c>
      <c r="E1" s="546">
        <v>2004</v>
      </c>
      <c r="F1" s="546">
        <v>2005</v>
      </c>
      <c r="G1" s="546">
        <v>2006</v>
      </c>
      <c r="H1" s="546">
        <v>2007</v>
      </c>
      <c r="I1" s="546">
        <v>2008</v>
      </c>
      <c r="J1" s="546">
        <v>2009</v>
      </c>
      <c r="K1" s="546">
        <v>2010</v>
      </c>
      <c r="L1" s="546">
        <v>2011</v>
      </c>
      <c r="M1" s="546">
        <v>2012</v>
      </c>
      <c r="N1" s="546">
        <v>2013</v>
      </c>
      <c r="O1" s="546">
        <v>2014</v>
      </c>
      <c r="P1" s="546">
        <v>2015</v>
      </c>
      <c r="Q1" s="546">
        <v>2016</v>
      </c>
      <c r="R1" s="546">
        <v>2017</v>
      </c>
      <c r="S1" s="546">
        <v>2018</v>
      </c>
      <c r="T1" s="546">
        <v>2019</v>
      </c>
      <c r="U1" s="545">
        <v>2020</v>
      </c>
    </row>
    <row r="2" spans="1:21">
      <c r="A2" t="str">
        <f>B2&amp;C2</f>
        <v>AfghanistanGAM</v>
      </c>
      <c r="B2" s="528" t="s">
        <v>928</v>
      </c>
      <c r="C2" s="528" t="s">
        <v>873</v>
      </c>
      <c r="R2" s="709">
        <v>1</v>
      </c>
      <c r="T2" s="746">
        <v>1</v>
      </c>
    </row>
    <row r="3" spans="1:21">
      <c r="A3" t="str">
        <f>B3&amp;C3</f>
        <v>AngolaGAM</v>
      </c>
      <c r="B3" s="528" t="s">
        <v>929</v>
      </c>
      <c r="C3" s="528" t="s">
        <v>873</v>
      </c>
      <c r="S3" s="709">
        <v>1</v>
      </c>
      <c r="T3" s="730">
        <v>1</v>
      </c>
    </row>
    <row r="4" spans="1:21">
      <c r="A4" s="48" t="str">
        <f>B4&amp;C4</f>
        <v>Antigua &amp; BarbudaGAM</v>
      </c>
      <c r="B4" s="547" t="s">
        <v>343</v>
      </c>
      <c r="C4" s="547" t="s">
        <v>873</v>
      </c>
      <c r="D4" s="413"/>
      <c r="E4" s="413"/>
      <c r="F4" s="413"/>
      <c r="G4" s="413"/>
      <c r="H4" s="413"/>
      <c r="I4" s="413"/>
      <c r="J4" s="413"/>
      <c r="K4" s="413"/>
      <c r="L4" s="413"/>
      <c r="M4" s="413"/>
      <c r="N4" s="413"/>
      <c r="O4" s="413"/>
      <c r="P4" s="413"/>
      <c r="Q4" s="413"/>
      <c r="R4" s="548">
        <v>1</v>
      </c>
      <c r="S4" s="548">
        <v>1</v>
      </c>
      <c r="T4" s="730">
        <v>1</v>
      </c>
    </row>
    <row r="5" spans="1:21">
      <c r="A5" s="48" t="str">
        <f>B5&amp;C5</f>
        <v>ArgentinaGAM</v>
      </c>
      <c r="B5" s="547" t="s">
        <v>344</v>
      </c>
      <c r="C5" s="547" t="s">
        <v>873</v>
      </c>
      <c r="D5" s="413"/>
      <c r="E5" s="413"/>
      <c r="F5" s="413"/>
      <c r="G5" s="413"/>
      <c r="H5" s="413"/>
      <c r="I5" s="413"/>
      <c r="J5" s="413"/>
      <c r="K5" s="413"/>
      <c r="L5" s="413"/>
      <c r="M5" s="413"/>
      <c r="N5" s="413"/>
      <c r="O5" s="413"/>
      <c r="P5" s="413"/>
      <c r="Q5" s="413"/>
      <c r="R5" s="548">
        <v>1</v>
      </c>
      <c r="S5" s="548">
        <v>1</v>
      </c>
      <c r="T5" s="730">
        <v>1</v>
      </c>
    </row>
    <row r="6" spans="1:21">
      <c r="A6" s="48" t="str">
        <f>B6&amp;C6</f>
        <v>BahamasGAM</v>
      </c>
      <c r="B6" s="547" t="s">
        <v>345</v>
      </c>
      <c r="C6" s="547" t="s">
        <v>873</v>
      </c>
      <c r="D6" s="413"/>
      <c r="E6" s="413"/>
      <c r="F6" s="413"/>
      <c r="G6" s="413"/>
      <c r="H6" s="413"/>
      <c r="I6" s="413"/>
      <c r="J6" s="413"/>
      <c r="K6" s="413"/>
      <c r="L6" s="413"/>
      <c r="M6" s="413"/>
      <c r="N6" s="413"/>
      <c r="O6" s="413"/>
      <c r="P6" s="413"/>
      <c r="Q6" s="413"/>
      <c r="R6" s="413"/>
      <c r="S6" s="413"/>
      <c r="T6" s="730"/>
    </row>
    <row r="7" spans="1:21">
      <c r="A7" s="48" t="str">
        <f>B7&amp;C7</f>
        <v>BangladeshGAM</v>
      </c>
      <c r="B7" s="547" t="s">
        <v>865</v>
      </c>
      <c r="C7" s="547" t="s">
        <v>873</v>
      </c>
      <c r="D7" s="413"/>
      <c r="E7" s="413"/>
      <c r="F7" s="413"/>
      <c r="G7" s="413"/>
      <c r="H7" s="413"/>
      <c r="I7" s="413"/>
      <c r="J7" s="413"/>
      <c r="K7" s="413"/>
      <c r="L7" s="413"/>
      <c r="M7" s="413"/>
      <c r="N7" s="413"/>
      <c r="O7" s="413"/>
      <c r="P7" s="413"/>
      <c r="Q7" s="413"/>
      <c r="R7" s="413"/>
      <c r="S7" s="413"/>
      <c r="T7" s="730"/>
    </row>
    <row r="8" spans="1:21">
      <c r="A8" s="48" t="str">
        <f>B8&amp;C8</f>
        <v>BarbadosGAM</v>
      </c>
      <c r="B8" s="547" t="s">
        <v>346</v>
      </c>
      <c r="C8" s="547" t="s">
        <v>873</v>
      </c>
      <c r="D8" s="413"/>
      <c r="E8" s="413"/>
      <c r="F8" s="413"/>
      <c r="G8" s="413"/>
      <c r="H8" s="413"/>
      <c r="I8" s="413"/>
      <c r="J8" s="413"/>
      <c r="K8" s="413"/>
      <c r="L8" s="413"/>
      <c r="M8" s="413"/>
      <c r="N8" s="413"/>
      <c r="O8" s="413"/>
      <c r="P8" s="413"/>
      <c r="Q8" s="413"/>
      <c r="R8" s="548">
        <v>0.52200000000000002</v>
      </c>
      <c r="T8" s="730"/>
    </row>
    <row r="9" spans="1:21">
      <c r="A9" s="48" t="str">
        <f>B9&amp;C9</f>
        <v>BelarusGAM</v>
      </c>
      <c r="B9" s="547" t="s">
        <v>166</v>
      </c>
      <c r="C9" s="547" t="s">
        <v>873</v>
      </c>
      <c r="D9" s="413"/>
      <c r="E9" s="413"/>
      <c r="F9" s="413"/>
      <c r="G9" s="413"/>
      <c r="H9" s="413"/>
      <c r="I9" s="413"/>
      <c r="J9" s="548">
        <v>0.68600000000000005</v>
      </c>
      <c r="K9" s="548">
        <v>0.68600000000000005</v>
      </c>
      <c r="L9" s="548">
        <v>0.52200000000000002</v>
      </c>
      <c r="M9" s="548">
        <v>0.68600000000000005</v>
      </c>
      <c r="N9" s="548">
        <v>0.53600000000000003</v>
      </c>
      <c r="O9" s="548">
        <v>0.68600000000000005</v>
      </c>
      <c r="P9" s="548">
        <v>0.68600000000000005</v>
      </c>
      <c r="Q9" s="548">
        <v>0.68600000000000005</v>
      </c>
      <c r="R9" s="549">
        <v>0.68600000000000005</v>
      </c>
      <c r="S9" s="413"/>
      <c r="T9" s="730">
        <v>1</v>
      </c>
    </row>
    <row r="10" spans="1:21">
      <c r="A10" s="48" t="str">
        <f>B10&amp;C10</f>
        <v>BelizeGAM</v>
      </c>
      <c r="B10" s="547" t="s">
        <v>368</v>
      </c>
      <c r="C10" s="547" t="s">
        <v>873</v>
      </c>
      <c r="D10" s="413"/>
      <c r="E10" s="413"/>
      <c r="F10" s="413"/>
      <c r="G10" s="413"/>
      <c r="H10" s="413"/>
      <c r="I10" s="413"/>
      <c r="J10" s="413"/>
      <c r="K10" s="413"/>
      <c r="L10" s="413"/>
      <c r="M10" s="413"/>
      <c r="N10" s="413"/>
      <c r="O10" s="413"/>
      <c r="P10" s="413"/>
      <c r="Q10" s="413"/>
      <c r="R10" s="413"/>
      <c r="S10" s="413"/>
      <c r="T10" s="730"/>
    </row>
    <row r="11" spans="1:21">
      <c r="A11" s="48" t="str">
        <f>B11&amp;C11</f>
        <v>BeninGAM</v>
      </c>
      <c r="B11" s="547" t="s">
        <v>126</v>
      </c>
      <c r="C11" s="547" t="s">
        <v>873</v>
      </c>
      <c r="D11" s="413"/>
      <c r="E11" s="413"/>
      <c r="F11" s="413"/>
      <c r="G11" s="413"/>
      <c r="H11" s="413"/>
      <c r="I11" s="413"/>
      <c r="J11" s="413"/>
      <c r="K11" s="413"/>
      <c r="L11" s="548">
        <v>0.68600000000000005</v>
      </c>
      <c r="M11" s="413"/>
      <c r="N11" s="548">
        <v>1</v>
      </c>
      <c r="O11" s="548">
        <v>1</v>
      </c>
      <c r="P11" s="548">
        <v>1</v>
      </c>
      <c r="Q11" s="548">
        <v>1</v>
      </c>
      <c r="R11" s="548">
        <v>1</v>
      </c>
      <c r="T11" s="730"/>
    </row>
    <row r="12" spans="1:21">
      <c r="A12" s="729" t="str">
        <f>B12&amp;C12</f>
        <v>BhutanGAM</v>
      </c>
      <c r="B12" s="547" t="s">
        <v>951</v>
      </c>
      <c r="C12" s="547" t="s">
        <v>873</v>
      </c>
      <c r="D12" s="413"/>
      <c r="E12" s="413"/>
      <c r="F12" s="413"/>
      <c r="G12" s="413"/>
      <c r="H12" s="413"/>
      <c r="I12" s="413"/>
      <c r="J12" s="413"/>
      <c r="K12" s="413"/>
      <c r="L12" s="548"/>
      <c r="M12" s="413"/>
      <c r="N12" s="548"/>
      <c r="O12" s="548"/>
      <c r="P12" s="548"/>
      <c r="Q12" s="548"/>
      <c r="R12" s="548"/>
      <c r="T12" s="730">
        <v>1</v>
      </c>
    </row>
    <row r="13" spans="1:21">
      <c r="A13" s="48" t="str">
        <f>B13&amp;C13</f>
        <v>BoliviaGAM</v>
      </c>
      <c r="B13" s="547" t="s">
        <v>798</v>
      </c>
      <c r="C13" s="547" t="s">
        <v>873</v>
      </c>
      <c r="D13" s="548">
        <v>1</v>
      </c>
      <c r="E13" s="548">
        <v>1</v>
      </c>
      <c r="F13" s="548">
        <v>1</v>
      </c>
      <c r="G13" s="548">
        <v>1</v>
      </c>
      <c r="H13" s="548">
        <v>1</v>
      </c>
      <c r="I13" s="548">
        <v>1</v>
      </c>
      <c r="J13" s="548">
        <v>1</v>
      </c>
      <c r="K13" s="548">
        <v>1</v>
      </c>
      <c r="L13" s="548">
        <v>1</v>
      </c>
      <c r="M13" s="548">
        <v>1</v>
      </c>
      <c r="N13" s="548">
        <v>1</v>
      </c>
      <c r="O13" s="548">
        <v>1</v>
      </c>
      <c r="P13" s="548">
        <v>1</v>
      </c>
      <c r="Q13" s="548">
        <v>1</v>
      </c>
      <c r="R13" s="548">
        <v>1</v>
      </c>
      <c r="T13" s="730"/>
    </row>
    <row r="14" spans="1:21">
      <c r="A14" s="48" t="str">
        <f>B14&amp;C14</f>
        <v>BotswanaGAM</v>
      </c>
      <c r="B14" s="547" t="s">
        <v>834</v>
      </c>
      <c r="C14" s="547" t="s">
        <v>873</v>
      </c>
      <c r="D14" s="413"/>
      <c r="E14" s="413"/>
      <c r="F14" s="413"/>
      <c r="G14" s="413"/>
      <c r="H14" s="413"/>
      <c r="I14" s="413"/>
      <c r="J14" s="413"/>
      <c r="K14" s="413"/>
      <c r="L14" s="413"/>
      <c r="M14" s="413"/>
      <c r="N14" s="413"/>
      <c r="O14" s="413"/>
      <c r="P14" s="413"/>
      <c r="Q14" s="413"/>
      <c r="R14" s="413"/>
      <c r="S14" s="413"/>
      <c r="T14" s="730">
        <v>0.52200000000000002</v>
      </c>
    </row>
    <row r="15" spans="1:21">
      <c r="A15" s="48" t="str">
        <f>B15&amp;C15</f>
        <v>BrazilGAM</v>
      </c>
      <c r="B15" s="547" t="s">
        <v>167</v>
      </c>
      <c r="C15" s="547" t="s">
        <v>873</v>
      </c>
      <c r="D15" s="413"/>
      <c r="E15" s="413"/>
      <c r="F15" s="413"/>
      <c r="G15" s="413"/>
      <c r="H15" s="413"/>
      <c r="I15" s="413"/>
      <c r="J15" s="413"/>
      <c r="K15" s="413"/>
      <c r="L15" s="550">
        <v>0.52200000000000002</v>
      </c>
      <c r="M15" s="550">
        <v>0.52200000000000002</v>
      </c>
      <c r="N15" s="551"/>
      <c r="O15" s="551"/>
      <c r="P15" s="551"/>
      <c r="Q15" s="551"/>
      <c r="R15" s="551"/>
      <c r="S15" s="550">
        <v>0.68600000000000005</v>
      </c>
      <c r="T15" s="730"/>
    </row>
    <row r="16" spans="1:21">
      <c r="A16" s="729" t="str">
        <f>B16&amp;C16</f>
        <v>BruneiGAM</v>
      </c>
      <c r="B16" s="547" t="s">
        <v>952</v>
      </c>
      <c r="C16" s="547" t="s">
        <v>873</v>
      </c>
      <c r="D16" s="413"/>
      <c r="E16" s="413"/>
      <c r="F16" s="413"/>
      <c r="G16" s="413"/>
      <c r="H16" s="413"/>
      <c r="I16" s="413"/>
      <c r="J16" s="413"/>
      <c r="K16" s="413"/>
      <c r="L16" s="550"/>
      <c r="M16" s="550"/>
      <c r="N16" s="551"/>
      <c r="O16" s="551"/>
      <c r="P16" s="551"/>
      <c r="Q16" s="551"/>
      <c r="R16" s="551"/>
      <c r="S16" s="550"/>
      <c r="T16" s="730">
        <v>1</v>
      </c>
    </row>
    <row r="17" spans="1:20">
      <c r="A17" s="48" t="str">
        <f>B17&amp;C17</f>
        <v>Burkina FasoGAM</v>
      </c>
      <c r="B17" s="547" t="s">
        <v>168</v>
      </c>
      <c r="C17" s="547" t="s">
        <v>873</v>
      </c>
      <c r="D17" s="413"/>
      <c r="E17" s="413"/>
      <c r="F17" s="413"/>
      <c r="G17" s="413"/>
      <c r="H17" s="548">
        <v>0.68600000000000005</v>
      </c>
      <c r="I17" s="548">
        <v>0.53600000000000003</v>
      </c>
      <c r="J17" s="548">
        <v>0.68600000000000005</v>
      </c>
      <c r="K17" s="548">
        <v>1</v>
      </c>
      <c r="L17" s="548">
        <v>0.68600000000000005</v>
      </c>
      <c r="M17" s="548">
        <v>1</v>
      </c>
      <c r="N17" s="413"/>
      <c r="O17" s="548">
        <v>1</v>
      </c>
      <c r="P17" s="548">
        <v>1</v>
      </c>
      <c r="Q17" s="548">
        <v>1</v>
      </c>
      <c r="R17" s="548">
        <v>1</v>
      </c>
      <c r="S17" s="548">
        <v>0.52200000000000002</v>
      </c>
      <c r="T17" s="730">
        <v>1</v>
      </c>
    </row>
    <row r="18" spans="1:20">
      <c r="A18" s="48" t="str">
        <f>B18&amp;C18</f>
        <v>BurundiGAM</v>
      </c>
      <c r="B18" s="547" t="s">
        <v>165</v>
      </c>
      <c r="C18" s="547" t="s">
        <v>873</v>
      </c>
      <c r="D18" s="413"/>
      <c r="E18" s="413"/>
      <c r="F18" s="413"/>
      <c r="G18" s="413"/>
      <c r="H18" s="413"/>
      <c r="I18" s="548">
        <v>0.68600000000000005</v>
      </c>
      <c r="J18" s="548">
        <v>0.68600000000000005</v>
      </c>
      <c r="K18" s="548">
        <v>0.68600000000000005</v>
      </c>
      <c r="L18" s="548">
        <v>0.68600000000000005</v>
      </c>
      <c r="M18" s="548">
        <v>0.68600000000000005</v>
      </c>
      <c r="N18" s="548">
        <v>0.68600000000000005</v>
      </c>
      <c r="O18" s="548">
        <v>0.68600000000000005</v>
      </c>
      <c r="P18" s="548">
        <v>0.68600000000000005</v>
      </c>
      <c r="T18" s="730"/>
    </row>
    <row r="19" spans="1:20">
      <c r="A19" s="48" t="str">
        <f>B19&amp;C19</f>
        <v>Cabo VerdeGAM</v>
      </c>
      <c r="B19" s="547" t="s">
        <v>149</v>
      </c>
      <c r="C19" s="547" t="s">
        <v>873</v>
      </c>
      <c r="D19" s="413"/>
      <c r="E19" s="413"/>
      <c r="F19" s="413"/>
      <c r="G19" s="413"/>
      <c r="H19" s="413"/>
      <c r="I19" s="550">
        <v>0.68600000000000005</v>
      </c>
      <c r="J19" s="551"/>
      <c r="K19" s="551"/>
      <c r="L19" s="551"/>
      <c r="M19" s="550">
        <v>0.52200000000000002</v>
      </c>
      <c r="N19" s="550">
        <v>0.52200000000000002</v>
      </c>
      <c r="O19" s="550">
        <v>0.68600000000000005</v>
      </c>
      <c r="P19" s="550">
        <v>0.52200000000000002</v>
      </c>
      <c r="T19" s="730"/>
    </row>
    <row r="20" spans="1:20">
      <c r="A20" s="48" t="str">
        <f>B20&amp;C20</f>
        <v>CambodiaGAM</v>
      </c>
      <c r="B20" s="547" t="s">
        <v>169</v>
      </c>
      <c r="C20" s="547" t="s">
        <v>873</v>
      </c>
      <c r="D20" s="413"/>
      <c r="E20" s="413"/>
      <c r="F20" s="413"/>
      <c r="G20" s="413"/>
      <c r="H20" s="413"/>
      <c r="I20" s="550">
        <v>0.68600000000000005</v>
      </c>
      <c r="J20" s="550">
        <v>0.68600000000000005</v>
      </c>
      <c r="K20" s="550">
        <v>0.68600000000000005</v>
      </c>
      <c r="L20" s="550">
        <v>1</v>
      </c>
      <c r="M20" s="551"/>
      <c r="N20" s="550">
        <v>1</v>
      </c>
      <c r="O20" s="550">
        <v>1</v>
      </c>
      <c r="P20" s="550">
        <v>0.53600000000000003</v>
      </c>
      <c r="Q20" s="550">
        <v>0.53600000000000003</v>
      </c>
      <c r="R20" s="550">
        <v>0.53600000000000003</v>
      </c>
      <c r="S20" s="552">
        <v>0.52200000000000002</v>
      </c>
      <c r="T20" s="730">
        <v>1</v>
      </c>
    </row>
    <row r="21" spans="1:20">
      <c r="A21" s="48" t="str">
        <f>B21&amp;C21</f>
        <v>Central African RepublicGAM</v>
      </c>
      <c r="B21" s="547" t="s">
        <v>153</v>
      </c>
      <c r="C21" s="547" t="s">
        <v>873</v>
      </c>
      <c r="D21" s="413"/>
      <c r="E21" s="413"/>
      <c r="F21" s="413"/>
      <c r="G21" s="413"/>
      <c r="H21" s="413"/>
      <c r="I21" s="548">
        <v>0.68600000000000005</v>
      </c>
      <c r="J21" s="548">
        <v>0.68600000000000005</v>
      </c>
      <c r="K21" s="548">
        <v>0.68600000000000005</v>
      </c>
      <c r="L21" s="548">
        <v>0.68600000000000005</v>
      </c>
      <c r="M21" s="548">
        <v>0.53600000000000003</v>
      </c>
      <c r="N21" s="548">
        <v>0.52200000000000002</v>
      </c>
      <c r="O21" s="548">
        <v>1</v>
      </c>
      <c r="P21" s="548">
        <v>0.52200000000000002</v>
      </c>
      <c r="Q21" s="413"/>
      <c r="R21" s="413"/>
      <c r="S21" s="548">
        <v>1</v>
      </c>
      <c r="T21" s="730">
        <v>0.52200000000000002</v>
      </c>
    </row>
    <row r="22" spans="1:20">
      <c r="A22" s="48" t="str">
        <f>B22&amp;C22</f>
        <v>ChileGAM</v>
      </c>
      <c r="B22" s="547" t="s">
        <v>170</v>
      </c>
      <c r="C22" s="547" t="s">
        <v>873</v>
      </c>
      <c r="D22" s="413"/>
      <c r="E22" s="413"/>
      <c r="F22" s="413"/>
      <c r="G22" s="413"/>
      <c r="H22" s="413"/>
      <c r="I22" s="548">
        <v>0.68600000000000005</v>
      </c>
      <c r="J22" s="548">
        <v>0.68600000000000005</v>
      </c>
      <c r="K22" s="548">
        <v>0.68600000000000005</v>
      </c>
      <c r="L22" s="548">
        <v>0.52200000000000002</v>
      </c>
      <c r="M22" s="548">
        <v>0.52200000000000002</v>
      </c>
      <c r="N22" s="548">
        <v>1</v>
      </c>
      <c r="O22" s="548">
        <v>1</v>
      </c>
      <c r="P22" s="548">
        <v>0.52200000000000002</v>
      </c>
      <c r="Q22" s="413"/>
      <c r="R22" s="548">
        <v>1</v>
      </c>
      <c r="T22" s="730">
        <v>1</v>
      </c>
    </row>
    <row r="23" spans="1:20">
      <c r="A23" s="48" t="str">
        <f>B23&amp;C23</f>
        <v>ChinaGAM</v>
      </c>
      <c r="B23" s="547" t="s">
        <v>349</v>
      </c>
      <c r="C23" s="547" t="s">
        <v>873</v>
      </c>
      <c r="T23" s="730"/>
    </row>
    <row r="24" spans="1:20">
      <c r="A24" s="48" t="str">
        <f>B24&amp;C24</f>
        <v>ColombiaGAM</v>
      </c>
      <c r="B24" s="547" t="s">
        <v>171</v>
      </c>
      <c r="C24" s="547" t="s">
        <v>873</v>
      </c>
      <c r="D24" s="413"/>
      <c r="E24" s="413"/>
      <c r="F24" s="413"/>
      <c r="G24" s="413"/>
      <c r="H24" s="413"/>
      <c r="I24" s="413"/>
      <c r="J24" s="548">
        <v>0.68600000000000005</v>
      </c>
      <c r="K24" s="548">
        <v>0.68600000000000005</v>
      </c>
      <c r="L24" s="548">
        <v>0.68600000000000005</v>
      </c>
      <c r="M24" s="548">
        <v>1</v>
      </c>
      <c r="N24" s="548">
        <v>1</v>
      </c>
      <c r="O24" s="548">
        <v>1</v>
      </c>
      <c r="P24" s="548">
        <v>1</v>
      </c>
      <c r="Q24" s="548">
        <v>1</v>
      </c>
      <c r="R24" s="548">
        <v>0.53600000000000003</v>
      </c>
      <c r="S24" s="549">
        <v>0.53600000000000003</v>
      </c>
      <c r="T24" s="730">
        <v>1</v>
      </c>
    </row>
    <row r="25" spans="1:20">
      <c r="A25" s="48" t="str">
        <f>B25&amp;C25</f>
        <v>Costa RicaGAM</v>
      </c>
      <c r="B25" s="547" t="s">
        <v>350</v>
      </c>
      <c r="C25" s="547" t="s">
        <v>873</v>
      </c>
      <c r="D25" s="413"/>
      <c r="E25" s="413"/>
      <c r="F25" s="413"/>
      <c r="G25" s="413"/>
      <c r="H25" s="413"/>
      <c r="I25" s="413"/>
      <c r="J25" s="413"/>
      <c r="K25" s="413"/>
      <c r="L25" s="413"/>
      <c r="M25" s="413"/>
      <c r="N25" s="413"/>
      <c r="O25" s="413"/>
      <c r="P25" s="413"/>
      <c r="Q25" s="413"/>
      <c r="R25" s="548">
        <v>0.52200000000000002</v>
      </c>
      <c r="S25" s="548">
        <v>0.52200000000000002</v>
      </c>
      <c r="T25" s="730">
        <v>1</v>
      </c>
    </row>
    <row r="26" spans="1:20">
      <c r="A26" s="48" t="str">
        <f>B26&amp;C26</f>
        <v>CubaGAM</v>
      </c>
      <c r="B26" s="547" t="s">
        <v>164</v>
      </c>
      <c r="C26" s="547" t="s">
        <v>873</v>
      </c>
      <c r="D26" s="413"/>
      <c r="E26" s="413"/>
      <c r="F26" s="413"/>
      <c r="G26" s="413"/>
      <c r="H26" s="413"/>
      <c r="I26" s="413"/>
      <c r="J26" s="413"/>
      <c r="K26" s="548">
        <v>0.68600000000000005</v>
      </c>
      <c r="L26" s="548">
        <v>1</v>
      </c>
      <c r="M26" s="548">
        <v>1</v>
      </c>
      <c r="N26" s="548">
        <v>1</v>
      </c>
      <c r="O26" s="548">
        <v>1</v>
      </c>
      <c r="P26" s="548">
        <v>1</v>
      </c>
      <c r="Q26" s="548">
        <v>1</v>
      </c>
      <c r="R26" s="548">
        <v>1</v>
      </c>
      <c r="T26" s="730">
        <v>1</v>
      </c>
    </row>
    <row r="27" spans="1:20">
      <c r="A27" s="48" t="str">
        <f>B27&amp;C27</f>
        <v>Democratic Republic of CongoGAM</v>
      </c>
      <c r="B27" s="547" t="s">
        <v>152</v>
      </c>
      <c r="C27" s="547" t="s">
        <v>873</v>
      </c>
      <c r="D27" s="413"/>
      <c r="E27" s="413"/>
      <c r="F27" s="413"/>
      <c r="G27" s="413"/>
      <c r="H27" s="548">
        <v>0.68600000000000005</v>
      </c>
      <c r="I27" s="548">
        <v>0.68600000000000005</v>
      </c>
      <c r="J27" s="548">
        <v>0.68600000000000005</v>
      </c>
      <c r="K27" s="553"/>
      <c r="L27" s="553"/>
      <c r="M27" s="553"/>
      <c r="N27" s="553"/>
      <c r="O27" s="548">
        <v>0.52200000000000002</v>
      </c>
      <c r="P27" s="548">
        <v>1</v>
      </c>
      <c r="Q27" s="553"/>
      <c r="R27" s="548">
        <v>0.52200000000000002</v>
      </c>
      <c r="S27" s="548">
        <v>1</v>
      </c>
      <c r="T27" s="730">
        <v>1</v>
      </c>
    </row>
    <row r="28" spans="1:20">
      <c r="A28" s="48" t="str">
        <f>B28&amp;C28</f>
        <v>DominicaGAM</v>
      </c>
      <c r="B28" s="547" t="s">
        <v>351</v>
      </c>
      <c r="C28" s="547" t="s">
        <v>873</v>
      </c>
      <c r="D28" s="413"/>
      <c r="E28" s="413"/>
      <c r="F28" s="413"/>
      <c r="G28" s="413"/>
      <c r="H28" s="413"/>
      <c r="I28" s="413"/>
      <c r="J28" s="413"/>
      <c r="K28" s="413"/>
      <c r="L28" s="413"/>
      <c r="M28" s="413"/>
      <c r="N28" s="413"/>
      <c r="O28" s="413"/>
      <c r="P28" s="413"/>
      <c r="Q28" s="413"/>
      <c r="R28" s="548">
        <v>1</v>
      </c>
      <c r="T28" s="730">
        <v>1</v>
      </c>
    </row>
    <row r="29" spans="1:20">
      <c r="A29" s="48" t="str">
        <f>B29&amp;C29</f>
        <v>Dominican RepublicGAM</v>
      </c>
      <c r="B29" s="547" t="s">
        <v>172</v>
      </c>
      <c r="C29" s="547" t="s">
        <v>873</v>
      </c>
      <c r="D29" s="413"/>
      <c r="E29" s="413"/>
      <c r="F29" s="413"/>
      <c r="G29" s="413"/>
      <c r="H29" s="548">
        <v>0.68600000000000005</v>
      </c>
      <c r="I29" s="548">
        <v>0.68600000000000005</v>
      </c>
      <c r="J29" s="548">
        <v>0.68600000000000005</v>
      </c>
      <c r="K29" s="548">
        <v>0.68600000000000005</v>
      </c>
      <c r="L29" s="548">
        <v>0.68600000000000005</v>
      </c>
      <c r="M29" s="548">
        <v>0.68600000000000005</v>
      </c>
      <c r="N29" s="548">
        <v>1</v>
      </c>
      <c r="O29" s="548">
        <v>0.68600000000000005</v>
      </c>
      <c r="P29" s="548">
        <v>0.52200000000000002</v>
      </c>
      <c r="Q29" s="548">
        <v>0.52200000000000002</v>
      </c>
      <c r="R29" s="548">
        <v>0.68600000000000005</v>
      </c>
      <c r="S29" s="548">
        <v>1</v>
      </c>
      <c r="T29" s="730"/>
    </row>
    <row r="30" spans="1:20">
      <c r="A30" s="48" t="str">
        <f>B30&amp;C30</f>
        <v>EcuadorGAM</v>
      </c>
      <c r="B30" s="547" t="s">
        <v>352</v>
      </c>
      <c r="C30" s="547" t="s">
        <v>873</v>
      </c>
      <c r="R30" s="548">
        <v>0.52200000000000002</v>
      </c>
      <c r="S30" s="548">
        <v>0.52200000000000002</v>
      </c>
      <c r="T30" s="730"/>
    </row>
    <row r="31" spans="1:20">
      <c r="A31" s="48" t="str">
        <f>B31&amp;C31</f>
        <v>El SalvadorGAM</v>
      </c>
      <c r="B31" s="547" t="s">
        <v>353</v>
      </c>
      <c r="C31" s="547" t="s">
        <v>873</v>
      </c>
      <c r="R31" s="548">
        <v>0.52200000000000002</v>
      </c>
      <c r="S31" s="548">
        <v>1</v>
      </c>
      <c r="T31" s="730">
        <v>1</v>
      </c>
    </row>
    <row r="32" spans="1:20">
      <c r="A32" s="48" t="str">
        <f>B32&amp;C32</f>
        <v>Equatorial GuineaGAM</v>
      </c>
      <c r="B32" s="547" t="s">
        <v>129</v>
      </c>
      <c r="C32" s="547" t="s">
        <v>873</v>
      </c>
      <c r="M32" s="548">
        <v>0.68600000000000005</v>
      </c>
      <c r="N32" s="548">
        <v>0.53600000000000003</v>
      </c>
      <c r="O32" s="548">
        <v>1</v>
      </c>
      <c r="P32" s="548">
        <v>0.52200000000000002</v>
      </c>
      <c r="Q32" s="548">
        <v>0.52200000000000002</v>
      </c>
      <c r="T32" s="730"/>
    </row>
    <row r="33" spans="1:20">
      <c r="A33" s="48" t="str">
        <f>B33&amp;C33</f>
        <v>EritreaGAM</v>
      </c>
      <c r="B33" s="547" t="s">
        <v>128</v>
      </c>
      <c r="C33" s="547" t="s">
        <v>873</v>
      </c>
      <c r="P33" s="548">
        <v>1</v>
      </c>
      <c r="Q33" s="548">
        <v>1</v>
      </c>
      <c r="R33" s="548">
        <v>0.53600000000000003</v>
      </c>
      <c r="S33" s="548">
        <v>0.53600000000000003</v>
      </c>
      <c r="T33" s="730">
        <v>1</v>
      </c>
    </row>
    <row r="34" spans="1:20">
      <c r="A34" s="48" t="str">
        <f>B34&amp;C34</f>
        <v>EswatiniGAM</v>
      </c>
      <c r="B34" s="547" t="s">
        <v>835</v>
      </c>
      <c r="C34" s="547" t="s">
        <v>873</v>
      </c>
      <c r="D34" s="413"/>
      <c r="E34" s="413"/>
      <c r="F34" s="413"/>
      <c r="G34" s="413"/>
      <c r="H34" s="413"/>
      <c r="I34" s="548">
        <v>0.68600000000000005</v>
      </c>
      <c r="J34" s="413"/>
      <c r="K34" s="548">
        <v>0.68600000000000005</v>
      </c>
      <c r="L34" s="413"/>
      <c r="M34" s="413"/>
      <c r="N34" s="548">
        <v>0.53600000000000003</v>
      </c>
      <c r="O34" s="413"/>
      <c r="P34" s="413"/>
      <c r="Q34" s="548">
        <v>0.68600000000000005</v>
      </c>
      <c r="T34" s="730"/>
    </row>
    <row r="35" spans="1:20">
      <c r="A35" s="48" t="str">
        <f>B35&amp;C35</f>
        <v>EthiopiaGAM</v>
      </c>
      <c r="B35" s="547" t="s">
        <v>127</v>
      </c>
      <c r="C35" s="547" t="s">
        <v>873</v>
      </c>
      <c r="H35" s="548">
        <v>0.68600000000000005</v>
      </c>
      <c r="I35" s="548">
        <v>0.68600000000000005</v>
      </c>
      <c r="J35" s="548">
        <v>0.68600000000000005</v>
      </c>
      <c r="K35" s="548">
        <v>0.68600000000000005</v>
      </c>
      <c r="L35" s="548">
        <v>0.68600000000000005</v>
      </c>
      <c r="M35" s="548">
        <v>0.52200000000000002</v>
      </c>
      <c r="N35" s="548">
        <v>0.68600000000000005</v>
      </c>
      <c r="O35" s="548">
        <v>0.68600000000000005</v>
      </c>
      <c r="P35" s="548">
        <v>0.68600000000000005</v>
      </c>
      <c r="Q35" s="548">
        <v>0.68600000000000005</v>
      </c>
      <c r="T35" s="730"/>
    </row>
    <row r="36" spans="1:20">
      <c r="A36" s="48" t="str">
        <f>B36&amp;C36</f>
        <v>Federated States of MicronesiaGAM</v>
      </c>
      <c r="B36" s="547" t="s">
        <v>356</v>
      </c>
      <c r="C36" s="547" t="s">
        <v>873</v>
      </c>
      <c r="M36" s="549">
        <v>0.68600000000000005</v>
      </c>
      <c r="N36" s="549">
        <v>0.52200000000000002</v>
      </c>
      <c r="O36" s="549">
        <v>0.622</v>
      </c>
      <c r="P36" s="549">
        <v>0.52200000000000002</v>
      </c>
      <c r="Q36" s="548">
        <v>0.52200000000000002</v>
      </c>
      <c r="R36" s="548">
        <v>0.52200000000000002</v>
      </c>
      <c r="T36" s="730"/>
    </row>
    <row r="37" spans="1:20">
      <c r="A37" s="48" t="str">
        <f>B37&amp;C37</f>
        <v>FijiGAM</v>
      </c>
      <c r="B37" s="547" t="s">
        <v>338</v>
      </c>
      <c r="C37" s="547" t="s">
        <v>873</v>
      </c>
      <c r="D37" s="413"/>
      <c r="E37" s="413"/>
      <c r="F37" s="413"/>
      <c r="G37" s="413"/>
      <c r="H37" s="413"/>
      <c r="I37" s="548">
        <v>0.68600000000000005</v>
      </c>
      <c r="J37" s="553"/>
      <c r="K37" s="548">
        <v>0.68600000000000005</v>
      </c>
      <c r="L37" s="553"/>
      <c r="M37" s="548">
        <v>0.68600000000000005</v>
      </c>
      <c r="T37" s="730"/>
    </row>
    <row r="38" spans="1:20">
      <c r="A38" s="48" t="str">
        <f>B38&amp;C38</f>
        <v>GabonGAM</v>
      </c>
      <c r="B38" s="547" t="s">
        <v>130</v>
      </c>
      <c r="C38" s="547" t="s">
        <v>873</v>
      </c>
      <c r="H38" s="548">
        <v>0.68600000000000005</v>
      </c>
      <c r="I38" s="553"/>
      <c r="J38" s="553"/>
      <c r="K38" s="548">
        <v>0.68600000000000005</v>
      </c>
      <c r="L38" s="548">
        <v>1</v>
      </c>
      <c r="M38" s="548">
        <v>0.68600000000000005</v>
      </c>
      <c r="N38" s="548">
        <v>1</v>
      </c>
      <c r="O38" s="548">
        <v>0.52200000000000002</v>
      </c>
      <c r="P38" s="548">
        <v>1</v>
      </c>
      <c r="Q38" s="548">
        <v>1</v>
      </c>
      <c r="R38" s="548">
        <v>1</v>
      </c>
      <c r="S38" s="548">
        <v>0.53600000000000003</v>
      </c>
      <c r="T38" s="730">
        <v>0.53600000000000003</v>
      </c>
    </row>
    <row r="39" spans="1:20">
      <c r="A39" s="48" t="str">
        <f>B39&amp;C39</f>
        <v>GeorgiaGAM</v>
      </c>
      <c r="B39" s="547" t="s">
        <v>173</v>
      </c>
      <c r="C39" s="547" t="s">
        <v>873</v>
      </c>
      <c r="H39" s="548">
        <v>0.68600000000000005</v>
      </c>
      <c r="I39" s="553"/>
      <c r="J39" s="553"/>
      <c r="K39" s="553"/>
      <c r="L39" s="548">
        <v>0.68600000000000005</v>
      </c>
      <c r="M39" s="548">
        <v>0.68600000000000005</v>
      </c>
      <c r="N39" s="548">
        <v>0.52200000000000002</v>
      </c>
      <c r="O39" s="548">
        <v>0.68600000000000005</v>
      </c>
      <c r="P39" s="548">
        <v>0.68600000000000005</v>
      </c>
      <c r="Q39" s="548">
        <v>1</v>
      </c>
      <c r="R39" s="548">
        <v>0.52200000000000002</v>
      </c>
      <c r="S39" s="548">
        <v>1</v>
      </c>
      <c r="T39" s="730">
        <v>0.53600000000000003</v>
      </c>
    </row>
    <row r="40" spans="1:20">
      <c r="A40" s="48" t="str">
        <f>B40&amp;C40</f>
        <v>GhanaGAM</v>
      </c>
      <c r="B40" s="547" t="s">
        <v>131</v>
      </c>
      <c r="C40" s="547" t="s">
        <v>873</v>
      </c>
      <c r="H40" s="548">
        <v>0.68600000000000005</v>
      </c>
      <c r="I40" s="553"/>
      <c r="J40" s="548">
        <v>0.68600000000000005</v>
      </c>
      <c r="K40" s="548">
        <v>0.68600000000000005</v>
      </c>
      <c r="L40" s="553"/>
      <c r="M40" s="548">
        <v>0.53600000000000003</v>
      </c>
      <c r="N40" s="548">
        <v>0.53600000000000003</v>
      </c>
      <c r="O40" s="548">
        <v>0.53600000000000003</v>
      </c>
      <c r="P40" s="548">
        <v>0.53600000000000003</v>
      </c>
      <c r="Q40" s="548">
        <v>0.53600000000000003</v>
      </c>
      <c r="R40" s="548">
        <v>1</v>
      </c>
      <c r="T40" s="730">
        <v>0.53600000000000003</v>
      </c>
    </row>
    <row r="41" spans="1:20">
      <c r="A41" s="48" t="str">
        <f>B41&amp;C41</f>
        <v>GrenadaGAM</v>
      </c>
      <c r="B41" s="547" t="s">
        <v>354</v>
      </c>
      <c r="C41" s="547" t="s">
        <v>873</v>
      </c>
      <c r="S41" s="548">
        <v>1</v>
      </c>
      <c r="T41" s="730"/>
    </row>
    <row r="42" spans="1:20">
      <c r="A42" s="48" t="str">
        <f>B42&amp;C42</f>
        <v>GuatemalaGAM</v>
      </c>
      <c r="B42" s="547" t="s">
        <v>355</v>
      </c>
      <c r="C42" s="547" t="s">
        <v>873</v>
      </c>
      <c r="S42" s="548">
        <v>1</v>
      </c>
      <c r="T42" s="730">
        <v>0.52200000000000002</v>
      </c>
    </row>
    <row r="43" spans="1:20">
      <c r="A43" s="48" t="str">
        <f>B43&amp;C43</f>
        <v>GuineaGAM</v>
      </c>
      <c r="B43" s="547" t="s">
        <v>132</v>
      </c>
      <c r="C43" s="547" t="s">
        <v>873</v>
      </c>
      <c r="D43" s="413"/>
      <c r="E43" s="413"/>
      <c r="F43" s="413"/>
      <c r="G43" s="413"/>
      <c r="H43" s="413"/>
      <c r="I43" s="548">
        <v>0.68600000000000005</v>
      </c>
      <c r="J43" s="548">
        <v>0.68600000000000005</v>
      </c>
      <c r="K43" s="553"/>
      <c r="L43" s="553"/>
      <c r="M43" s="553"/>
      <c r="N43" s="553"/>
      <c r="O43" s="553"/>
      <c r="P43" s="553"/>
      <c r="Q43" s="548">
        <v>0.52200000000000002</v>
      </c>
      <c r="R43" s="548">
        <v>0.53600000000000003</v>
      </c>
      <c r="T43" s="730"/>
    </row>
    <row r="44" spans="1:20">
      <c r="A44" s="48" t="str">
        <f>B44&amp;C44</f>
        <v>GuyanaGAM</v>
      </c>
      <c r="B44" s="554" t="s">
        <v>357</v>
      </c>
      <c r="C44" s="554" t="s">
        <v>873</v>
      </c>
      <c r="T44" s="730"/>
    </row>
    <row r="45" spans="1:20">
      <c r="A45" s="48" t="str">
        <f>B45&amp;C45</f>
        <v>HaitiGAM</v>
      </c>
      <c r="B45" s="554" t="s">
        <v>174</v>
      </c>
      <c r="C45" s="554" t="s">
        <v>873</v>
      </c>
      <c r="D45" s="413"/>
      <c r="E45" s="413"/>
      <c r="F45" s="413"/>
      <c r="G45" s="413"/>
      <c r="H45" s="413"/>
      <c r="I45" s="548">
        <v>0.68600000000000005</v>
      </c>
      <c r="J45" s="548">
        <v>0.68600000000000005</v>
      </c>
      <c r="K45" s="548">
        <v>0.68600000000000005</v>
      </c>
      <c r="L45" s="548">
        <v>0.68600000000000005</v>
      </c>
      <c r="M45" s="548">
        <v>0.68600000000000005</v>
      </c>
      <c r="N45" s="548">
        <v>0.52200000000000002</v>
      </c>
      <c r="O45" s="548">
        <v>0.52200000000000002</v>
      </c>
      <c r="P45" s="548">
        <v>0.52200000000000002</v>
      </c>
      <c r="Q45" s="548">
        <v>0.53600000000000003</v>
      </c>
      <c r="R45" s="548">
        <v>0.53600000000000003</v>
      </c>
      <c r="S45" s="548">
        <v>0.53600000000000003</v>
      </c>
      <c r="T45" s="730">
        <v>0.53600000000000003</v>
      </c>
    </row>
    <row r="46" spans="1:20">
      <c r="A46" s="48" t="str">
        <f>B46&amp;C46</f>
        <v>HondurasGAM</v>
      </c>
      <c r="B46" s="554" t="s">
        <v>358</v>
      </c>
      <c r="C46" s="554" t="s">
        <v>873</v>
      </c>
      <c r="D46" s="413"/>
      <c r="E46" s="413"/>
      <c r="F46" s="413"/>
      <c r="G46" s="413"/>
      <c r="H46" s="413"/>
      <c r="I46" s="413"/>
      <c r="J46" s="413"/>
      <c r="K46" s="413"/>
      <c r="L46" s="413"/>
      <c r="M46" s="413"/>
      <c r="N46" s="413"/>
      <c r="O46" s="413"/>
      <c r="P46" s="413"/>
      <c r="Q46" s="413"/>
      <c r="R46" s="548">
        <v>1</v>
      </c>
      <c r="S46" s="548">
        <v>1</v>
      </c>
      <c r="T46" s="730">
        <v>1</v>
      </c>
    </row>
    <row r="47" spans="1:20">
      <c r="A47" s="48" t="str">
        <f>B47&amp;C47</f>
        <v>IndiaGAM</v>
      </c>
      <c r="B47" s="554" t="s">
        <v>175</v>
      </c>
      <c r="C47" s="554" t="s">
        <v>873</v>
      </c>
      <c r="D47" s="413"/>
      <c r="E47" s="413"/>
      <c r="F47" s="413"/>
      <c r="G47" s="413"/>
      <c r="H47" s="413"/>
      <c r="I47" s="413"/>
      <c r="J47" s="413"/>
      <c r="K47" s="548">
        <v>0.68600000000000005</v>
      </c>
      <c r="L47" s="548">
        <v>0.68600000000000005</v>
      </c>
      <c r="M47" s="548">
        <v>0.68600000000000005</v>
      </c>
      <c r="N47" s="548">
        <v>1</v>
      </c>
      <c r="O47" s="548">
        <v>0.52200000000000002</v>
      </c>
      <c r="P47" s="548">
        <v>0.68600000000000005</v>
      </c>
      <c r="Q47" s="548">
        <v>0.52200000000000002</v>
      </c>
      <c r="R47" s="548">
        <v>0.68600000000000005</v>
      </c>
      <c r="T47" s="730"/>
    </row>
    <row r="48" spans="1:20">
      <c r="A48" s="48" t="str">
        <f>B48&amp;C48</f>
        <v>IndonesiaGAM</v>
      </c>
      <c r="B48" s="554" t="s">
        <v>866</v>
      </c>
      <c r="C48" s="554" t="s">
        <v>873</v>
      </c>
      <c r="T48" s="730">
        <v>1</v>
      </c>
    </row>
    <row r="49" spans="1:20">
      <c r="A49" s="48" t="str">
        <f>B49&amp;C49</f>
        <v>JamaicaGAM</v>
      </c>
      <c r="B49" s="554" t="s">
        <v>176</v>
      </c>
      <c r="C49" s="554" t="s">
        <v>873</v>
      </c>
      <c r="D49" s="413"/>
      <c r="E49" s="413"/>
      <c r="F49" s="413"/>
      <c r="G49" s="413"/>
      <c r="H49" s="413"/>
      <c r="I49" s="548">
        <v>0.68600000000000005</v>
      </c>
      <c r="J49" s="548">
        <v>0.68600000000000005</v>
      </c>
      <c r="K49" s="413"/>
      <c r="L49" s="548">
        <v>1</v>
      </c>
      <c r="M49" s="548">
        <v>1</v>
      </c>
      <c r="N49" s="413"/>
      <c r="O49" s="548">
        <v>0.53600000000000003</v>
      </c>
      <c r="P49" s="413"/>
      <c r="Q49" s="413"/>
      <c r="R49" s="413"/>
      <c r="S49" s="548">
        <v>0.68600000000000005</v>
      </c>
      <c r="T49" s="730"/>
    </row>
    <row r="50" spans="1:20">
      <c r="A50" s="48" t="str">
        <f>B50&amp;C50</f>
        <v>KenyaGAM</v>
      </c>
      <c r="B50" s="554" t="s">
        <v>133</v>
      </c>
      <c r="C50" s="554" t="s">
        <v>873</v>
      </c>
      <c r="D50" s="413"/>
      <c r="E50" s="413"/>
      <c r="F50" s="413"/>
      <c r="G50" s="413"/>
      <c r="H50" s="413"/>
      <c r="I50" s="413"/>
      <c r="J50" s="548">
        <v>0.68600000000000005</v>
      </c>
      <c r="K50" s="548">
        <v>0.68600000000000005</v>
      </c>
      <c r="L50" s="548">
        <v>0.53600000000000003</v>
      </c>
      <c r="M50" s="548">
        <v>0.68600000000000005</v>
      </c>
      <c r="N50" s="548">
        <v>0.52200000000000002</v>
      </c>
      <c r="O50" s="548">
        <v>0.68600000000000005</v>
      </c>
      <c r="P50" s="548">
        <v>0.52200000000000002</v>
      </c>
      <c r="Q50" s="548">
        <v>0.68600000000000005</v>
      </c>
      <c r="R50" s="548">
        <v>0.68600000000000005</v>
      </c>
      <c r="S50" s="548">
        <v>0.68600000000000005</v>
      </c>
      <c r="T50" s="730">
        <v>1</v>
      </c>
    </row>
    <row r="51" spans="1:20">
      <c r="A51" t="str">
        <f>B51&amp;C51</f>
        <v>LesothoGAM</v>
      </c>
      <c r="B51" s="528" t="s">
        <v>930</v>
      </c>
      <c r="C51" s="528" t="s">
        <v>873</v>
      </c>
      <c r="Q51" s="747">
        <v>0.52200000000000002</v>
      </c>
      <c r="R51" s="747">
        <v>0.52200000000000002</v>
      </c>
      <c r="S51" s="747">
        <v>0.52200000000000002</v>
      </c>
      <c r="T51" s="747">
        <v>0.52200000000000002</v>
      </c>
    </row>
    <row r="52" spans="1:20">
      <c r="A52" s="48" t="str">
        <f>B52&amp;C52</f>
        <v>LiberiaGAM</v>
      </c>
      <c r="B52" s="547" t="s">
        <v>134</v>
      </c>
      <c r="C52" s="547" t="s">
        <v>873</v>
      </c>
      <c r="D52" s="413"/>
      <c r="E52" s="413"/>
      <c r="F52" s="413"/>
      <c r="G52" s="413"/>
      <c r="H52" s="413"/>
      <c r="I52" s="413"/>
      <c r="J52" s="413"/>
      <c r="K52" s="548">
        <v>0.68600000000000005</v>
      </c>
      <c r="L52" s="413"/>
      <c r="M52" s="548">
        <v>0.52200000000000002</v>
      </c>
      <c r="N52" s="548">
        <v>0.52200000000000002</v>
      </c>
      <c r="O52" s="548">
        <v>0.52200000000000002</v>
      </c>
      <c r="P52" s="548">
        <v>0.52200000000000002</v>
      </c>
      <c r="Q52" s="413"/>
      <c r="R52" s="548">
        <v>0.53600000000000003</v>
      </c>
      <c r="S52" s="548">
        <v>0.68600000000000005</v>
      </c>
      <c r="T52" s="730">
        <v>0.68600000000000005</v>
      </c>
    </row>
    <row r="53" spans="1:20">
      <c r="A53" s="48" t="str">
        <f>B53&amp;C53</f>
        <v>MadagascarGAM</v>
      </c>
      <c r="B53" s="547" t="s">
        <v>135</v>
      </c>
      <c r="C53" s="547" t="s">
        <v>873</v>
      </c>
      <c r="D53" s="413"/>
      <c r="E53" s="413"/>
      <c r="F53" s="413"/>
      <c r="G53" s="413"/>
      <c r="H53" s="548">
        <v>0.68600000000000005</v>
      </c>
      <c r="I53" s="548">
        <v>0.68600000000000005</v>
      </c>
      <c r="J53" s="548">
        <v>0.68600000000000005</v>
      </c>
      <c r="K53" s="548">
        <v>0.68600000000000005</v>
      </c>
      <c r="L53" s="548">
        <v>0.68600000000000005</v>
      </c>
      <c r="M53" s="548">
        <v>0.68600000000000005</v>
      </c>
      <c r="N53" s="548">
        <v>0.52200000000000002</v>
      </c>
      <c r="O53" s="548">
        <v>1</v>
      </c>
      <c r="P53" s="548">
        <v>0.52200000000000002</v>
      </c>
      <c r="Q53" s="548">
        <v>0.53600000000000003</v>
      </c>
      <c r="R53" s="548">
        <v>0.53600000000000003</v>
      </c>
      <c r="S53" s="548">
        <v>1</v>
      </c>
      <c r="T53" s="730">
        <v>1</v>
      </c>
    </row>
    <row r="54" spans="1:20">
      <c r="A54" s="48" t="str">
        <f>B54&amp;C54</f>
        <v>MalawiGAM</v>
      </c>
      <c r="B54" s="547" t="s">
        <v>136</v>
      </c>
      <c r="C54" s="547" t="s">
        <v>873</v>
      </c>
      <c r="D54" s="413"/>
      <c r="E54" s="413"/>
      <c r="F54" s="413"/>
      <c r="G54" s="413"/>
      <c r="H54" s="548">
        <v>0.68600000000000005</v>
      </c>
      <c r="I54" s="548">
        <v>0.68600000000000005</v>
      </c>
      <c r="J54" s="548">
        <v>0.68600000000000005</v>
      </c>
      <c r="K54" s="548">
        <v>0.68600000000000005</v>
      </c>
      <c r="L54" s="548">
        <v>0.52200000000000002</v>
      </c>
      <c r="M54" s="548">
        <v>0.68600000000000005</v>
      </c>
      <c r="N54" s="548">
        <v>0.68600000000000005</v>
      </c>
      <c r="O54" s="548">
        <v>1</v>
      </c>
      <c r="P54" s="548">
        <v>0.52200000000000002</v>
      </c>
      <c r="Q54" s="548">
        <v>0.53600000000000003</v>
      </c>
      <c r="R54" s="548">
        <v>0.52200000000000002</v>
      </c>
      <c r="S54" s="548">
        <v>0.52200000000000002</v>
      </c>
      <c r="T54" s="730">
        <v>0.52200000000000002</v>
      </c>
    </row>
    <row r="55" spans="1:20">
      <c r="A55" s="48" t="str">
        <f>B55&amp;C55</f>
        <v>MalaysiaGAM</v>
      </c>
      <c r="B55" s="547" t="s">
        <v>177</v>
      </c>
      <c r="C55" s="547" t="s">
        <v>873</v>
      </c>
      <c r="D55" s="413"/>
      <c r="E55" s="413"/>
      <c r="F55" s="413"/>
      <c r="G55" s="413"/>
      <c r="H55" s="413"/>
      <c r="I55" s="548">
        <v>0.68600000000000005</v>
      </c>
      <c r="J55" s="548">
        <v>0.68600000000000005</v>
      </c>
      <c r="K55" s="548">
        <v>0.68600000000000005</v>
      </c>
      <c r="L55" s="548">
        <v>0.68600000000000005</v>
      </c>
      <c r="M55" s="548">
        <v>0.68600000000000005</v>
      </c>
      <c r="N55" s="548">
        <v>1</v>
      </c>
      <c r="O55" s="548">
        <v>1</v>
      </c>
      <c r="P55" s="548">
        <v>1</v>
      </c>
      <c r="Q55" s="548">
        <v>1</v>
      </c>
      <c r="R55" s="548">
        <v>1</v>
      </c>
      <c r="S55" s="548">
        <v>1</v>
      </c>
      <c r="T55" s="730">
        <v>1</v>
      </c>
    </row>
    <row r="56" spans="1:20">
      <c r="A56" s="48" t="str">
        <f>B56&amp;C56</f>
        <v>MaldivesGAM</v>
      </c>
      <c r="B56" s="547" t="s">
        <v>375</v>
      </c>
      <c r="C56" s="547" t="s">
        <v>873</v>
      </c>
      <c r="T56" s="730"/>
    </row>
    <row r="57" spans="1:20">
      <c r="A57" s="48" t="str">
        <f>B57&amp;C57</f>
        <v>MaliGAM</v>
      </c>
      <c r="B57" s="547" t="s">
        <v>137</v>
      </c>
      <c r="C57" s="547" t="s">
        <v>873</v>
      </c>
      <c r="D57" s="413"/>
      <c r="E57" s="413"/>
      <c r="F57" s="413"/>
      <c r="G57" s="413"/>
      <c r="H57" s="413"/>
      <c r="I57" s="413"/>
      <c r="J57" s="413"/>
      <c r="K57" s="413"/>
      <c r="L57" s="548">
        <v>0.68600000000000005</v>
      </c>
      <c r="M57" s="548">
        <v>0.68600000000000005</v>
      </c>
      <c r="N57" s="548">
        <v>0.68600000000000005</v>
      </c>
      <c r="O57" s="548">
        <v>0.68600000000000005</v>
      </c>
      <c r="P57" s="548">
        <v>0.53600000000000003</v>
      </c>
      <c r="Q57" s="548">
        <v>0.52200000000000002</v>
      </c>
      <c r="R57" s="548">
        <v>0.52200000000000002</v>
      </c>
      <c r="S57" s="548">
        <v>0.53600000000000003</v>
      </c>
      <c r="T57" s="730">
        <v>1</v>
      </c>
    </row>
    <row r="58" spans="1:20">
      <c r="A58" s="48" t="str">
        <f>B58&amp;C58</f>
        <v>MauritiusGAM</v>
      </c>
      <c r="B58" s="547" t="s">
        <v>150</v>
      </c>
      <c r="C58" s="547" t="s">
        <v>873</v>
      </c>
      <c r="D58" s="413"/>
      <c r="E58" s="413"/>
      <c r="F58" s="413"/>
      <c r="G58" s="413"/>
      <c r="H58" s="413"/>
      <c r="I58" s="413"/>
      <c r="J58" s="548">
        <v>0.68600000000000005</v>
      </c>
      <c r="K58" s="548">
        <v>1</v>
      </c>
      <c r="L58" s="548">
        <v>1</v>
      </c>
      <c r="M58" s="548">
        <v>1</v>
      </c>
      <c r="N58" s="548">
        <v>1</v>
      </c>
      <c r="O58" s="548">
        <v>1</v>
      </c>
      <c r="P58" s="548">
        <v>1</v>
      </c>
      <c r="Q58" s="548">
        <v>1</v>
      </c>
      <c r="R58" s="548">
        <v>1</v>
      </c>
      <c r="T58" s="730">
        <v>1</v>
      </c>
    </row>
    <row r="59" spans="1:20">
      <c r="A59" s="48" t="str">
        <f>B59&amp;C59</f>
        <v>MexicoGAM</v>
      </c>
      <c r="B59" s="547" t="s">
        <v>761</v>
      </c>
      <c r="C59" s="547" t="s">
        <v>873</v>
      </c>
      <c r="D59" s="413"/>
      <c r="E59" s="413"/>
      <c r="F59" s="413"/>
      <c r="G59" s="413"/>
      <c r="H59" s="413"/>
      <c r="I59" s="413"/>
      <c r="J59" s="413"/>
      <c r="K59" s="413"/>
      <c r="L59" s="413"/>
      <c r="M59" s="413"/>
      <c r="N59" s="413"/>
      <c r="O59" s="413"/>
      <c r="P59" s="413"/>
      <c r="Q59" s="413"/>
      <c r="R59" s="548">
        <v>0.68600000000000005</v>
      </c>
      <c r="T59" s="730"/>
    </row>
    <row r="60" spans="1:20">
      <c r="A60" s="48" t="str">
        <f>B60&amp;C60</f>
        <v>MoldovaGAM</v>
      </c>
      <c r="B60" s="547" t="s">
        <v>230</v>
      </c>
      <c r="C60" s="547" t="s">
        <v>873</v>
      </c>
      <c r="D60" s="413"/>
      <c r="E60" s="413"/>
      <c r="F60" s="413"/>
      <c r="G60" s="413"/>
      <c r="H60" s="413"/>
      <c r="I60" s="548">
        <v>0.68600000000000005</v>
      </c>
      <c r="J60" s="548">
        <v>0.68600000000000005</v>
      </c>
      <c r="K60" s="548">
        <v>1</v>
      </c>
      <c r="L60" s="548">
        <v>1</v>
      </c>
      <c r="M60" s="548">
        <v>1</v>
      </c>
      <c r="N60" s="548">
        <v>1</v>
      </c>
      <c r="O60" s="548">
        <v>1</v>
      </c>
      <c r="P60" s="548">
        <v>0.68600000000000005</v>
      </c>
      <c r="Q60" s="548">
        <v>1</v>
      </c>
      <c r="R60" s="548">
        <v>1</v>
      </c>
      <c r="S60" s="548">
        <v>0.52200000000000002</v>
      </c>
      <c r="T60" s="730">
        <v>0.52200000000000002</v>
      </c>
    </row>
    <row r="61" spans="1:20">
      <c r="A61" s="48" t="str">
        <f>B61&amp;C61</f>
        <v>MongoliaGAM</v>
      </c>
      <c r="B61" s="547" t="s">
        <v>178</v>
      </c>
      <c r="C61" s="547" t="s">
        <v>873</v>
      </c>
      <c r="D61" s="413"/>
      <c r="E61" s="413"/>
      <c r="F61" s="413"/>
      <c r="G61" s="413"/>
      <c r="H61" s="413"/>
      <c r="I61" s="548">
        <v>0.68600000000000005</v>
      </c>
      <c r="J61" s="548">
        <v>0.68600000000000005</v>
      </c>
      <c r="K61" s="548">
        <v>0.68600000000000005</v>
      </c>
      <c r="L61" s="548">
        <v>0.68600000000000005</v>
      </c>
      <c r="M61" s="548">
        <v>0.68600000000000005</v>
      </c>
      <c r="N61" s="548">
        <v>1</v>
      </c>
      <c r="O61" s="548">
        <v>1</v>
      </c>
      <c r="P61" s="548">
        <v>1</v>
      </c>
      <c r="Q61" s="548">
        <v>1</v>
      </c>
      <c r="R61" s="548">
        <v>1</v>
      </c>
      <c r="S61" s="548">
        <v>1</v>
      </c>
      <c r="T61" s="730">
        <v>1</v>
      </c>
    </row>
    <row r="62" spans="1:20">
      <c r="A62" t="str">
        <f>B62&amp;C62</f>
        <v>MoroccoGAM</v>
      </c>
      <c r="B62" s="528" t="s">
        <v>931</v>
      </c>
      <c r="C62" s="528" t="s">
        <v>873</v>
      </c>
      <c r="R62" s="748">
        <v>0.53600000000000003</v>
      </c>
      <c r="S62" s="709">
        <v>1</v>
      </c>
      <c r="T62" s="730">
        <v>1</v>
      </c>
    </row>
    <row r="63" spans="1:20">
      <c r="A63" s="48" t="str">
        <f>B63&amp;C63</f>
        <v>MozambiqueGAM</v>
      </c>
      <c r="B63" s="547" t="s">
        <v>138</v>
      </c>
      <c r="C63" s="547" t="s">
        <v>873</v>
      </c>
      <c r="D63" s="413"/>
      <c r="E63" s="413"/>
      <c r="F63" s="413"/>
      <c r="G63" s="413"/>
      <c r="H63" s="413"/>
      <c r="I63" s="548">
        <v>0.68600000000000005</v>
      </c>
      <c r="J63" s="548">
        <v>0.68600000000000005</v>
      </c>
      <c r="K63" s="413"/>
      <c r="L63" s="555">
        <v>0.69</v>
      </c>
      <c r="M63" s="555">
        <v>0.69</v>
      </c>
      <c r="N63" s="555">
        <v>1</v>
      </c>
      <c r="O63" s="548">
        <v>0.52200000000000002</v>
      </c>
      <c r="P63" s="548">
        <v>0.52200000000000002</v>
      </c>
      <c r="Q63" s="548">
        <v>1</v>
      </c>
      <c r="R63" s="548">
        <v>0.53600000000000003</v>
      </c>
      <c r="S63" s="548">
        <v>0.68600000000000005</v>
      </c>
      <c r="T63" s="730">
        <v>0.53600000000000003</v>
      </c>
    </row>
    <row r="64" spans="1:20">
      <c r="A64" t="str">
        <f>B64&amp;C64</f>
        <v>MyanmarGAM</v>
      </c>
      <c r="B64" s="528" t="s">
        <v>932</v>
      </c>
      <c r="C64" s="528" t="s">
        <v>873</v>
      </c>
      <c r="Q64" s="748">
        <v>0.52200000000000002</v>
      </c>
      <c r="R64" s="709">
        <v>1</v>
      </c>
      <c r="S64" s="748">
        <v>0.52200000000000002</v>
      </c>
      <c r="T64" s="730">
        <v>0.53600000000000003</v>
      </c>
    </row>
    <row r="65" spans="1:20">
      <c r="A65" s="48" t="str">
        <f>B65&amp;C65</f>
        <v>NepalGAM</v>
      </c>
      <c r="B65" s="547" t="s">
        <v>179</v>
      </c>
      <c r="C65" s="547" t="s">
        <v>873</v>
      </c>
      <c r="D65" s="413"/>
      <c r="E65" s="413"/>
      <c r="F65" s="413"/>
      <c r="G65" s="413"/>
      <c r="H65" s="413"/>
      <c r="I65" s="413"/>
      <c r="J65" s="413"/>
      <c r="K65" s="413"/>
      <c r="L65" s="413"/>
      <c r="M65" s="413"/>
      <c r="N65" s="413"/>
      <c r="O65" s="413"/>
      <c r="P65" s="413"/>
      <c r="Q65" s="413"/>
      <c r="R65" s="548">
        <v>1</v>
      </c>
      <c r="S65" s="548">
        <v>1</v>
      </c>
      <c r="T65" s="730">
        <v>0.68600000000000005</v>
      </c>
    </row>
    <row r="66" spans="1:20">
      <c r="A66" s="48" t="str">
        <f>B66&amp;C66</f>
        <v>NicaraguaGAM</v>
      </c>
      <c r="B66" s="547" t="s">
        <v>359</v>
      </c>
      <c r="C66" s="547" t="s">
        <v>873</v>
      </c>
      <c r="D66" s="413"/>
      <c r="E66" s="413"/>
      <c r="F66" s="413"/>
      <c r="G66" s="413"/>
      <c r="H66" s="413"/>
      <c r="I66" s="413"/>
      <c r="J66" s="413"/>
      <c r="K66" s="413"/>
      <c r="L66" s="413"/>
      <c r="M66" s="413"/>
      <c r="N66" s="413"/>
      <c r="O66" s="413"/>
      <c r="P66" s="413"/>
      <c r="Q66" s="413"/>
      <c r="R66" s="548">
        <v>0.52200000000000002</v>
      </c>
      <c r="S66" s="548">
        <v>0.52200000000000002</v>
      </c>
      <c r="T66" s="730">
        <v>1</v>
      </c>
    </row>
    <row r="67" spans="1:20">
      <c r="A67" s="48" t="str">
        <f>B67&amp;C67</f>
        <v>NigerGAM</v>
      </c>
      <c r="B67" s="547" t="s">
        <v>139</v>
      </c>
      <c r="C67" s="547" t="s">
        <v>873</v>
      </c>
      <c r="D67" s="413"/>
      <c r="E67" s="413"/>
      <c r="F67" s="413"/>
      <c r="G67" s="413"/>
      <c r="H67" s="413"/>
      <c r="I67" s="413"/>
      <c r="J67" s="413"/>
      <c r="K67" s="413"/>
      <c r="L67" s="413"/>
      <c r="M67" s="548">
        <v>1</v>
      </c>
      <c r="N67" s="413"/>
      <c r="O67" s="548">
        <v>0.52200000000000002</v>
      </c>
      <c r="P67" s="413"/>
      <c r="Q67" s="548">
        <v>1</v>
      </c>
      <c r="R67" s="413"/>
      <c r="S67" s="548">
        <v>0.52200000000000002</v>
      </c>
      <c r="T67" s="730">
        <v>1</v>
      </c>
    </row>
    <row r="68" spans="1:20">
      <c r="A68" s="48" t="str">
        <f>B68&amp;C68</f>
        <v>NigeriaGAM</v>
      </c>
      <c r="B68" s="547" t="s">
        <v>140</v>
      </c>
      <c r="C68" s="547" t="s">
        <v>873</v>
      </c>
      <c r="D68" s="413"/>
      <c r="E68" s="413"/>
      <c r="F68" s="548">
        <v>0.68600000000000005</v>
      </c>
      <c r="G68" s="413"/>
      <c r="H68" s="413"/>
      <c r="I68" s="413"/>
      <c r="J68" s="413"/>
      <c r="K68" s="413"/>
      <c r="L68" s="413"/>
      <c r="M68" s="413"/>
      <c r="N68" s="413"/>
      <c r="O68" s="548">
        <v>1</v>
      </c>
      <c r="P68" s="548">
        <v>1</v>
      </c>
      <c r="Q68" s="548">
        <v>0.52200000000000002</v>
      </c>
      <c r="R68" s="548">
        <v>0.52200000000000002</v>
      </c>
      <c r="S68" s="548">
        <v>0.52200000000000002</v>
      </c>
      <c r="T68" s="730">
        <v>0.52200000000000002</v>
      </c>
    </row>
    <row r="69" spans="1:20">
      <c r="A69" t="str">
        <f>B69&amp;C69</f>
        <v>OmanGAM</v>
      </c>
      <c r="B69" s="528" t="s">
        <v>933</v>
      </c>
      <c r="C69" s="528" t="s">
        <v>873</v>
      </c>
      <c r="Q69" s="709">
        <v>1</v>
      </c>
      <c r="R69" s="709">
        <v>1</v>
      </c>
      <c r="S69" s="709">
        <v>1</v>
      </c>
      <c r="T69" s="709">
        <v>1</v>
      </c>
    </row>
    <row r="70" spans="1:20">
      <c r="A70" s="48" t="str">
        <f>B70&amp;C70</f>
        <v>PanamaGAM</v>
      </c>
      <c r="B70" s="547" t="s">
        <v>180</v>
      </c>
      <c r="C70" s="547" t="s">
        <v>873</v>
      </c>
      <c r="D70" s="413"/>
      <c r="E70" s="413"/>
      <c r="F70" s="413"/>
      <c r="G70" s="413"/>
      <c r="H70" s="413"/>
      <c r="I70" s="413"/>
      <c r="J70" s="413"/>
      <c r="K70" s="413"/>
      <c r="L70" s="413"/>
      <c r="M70" s="413"/>
      <c r="N70" s="548">
        <v>0.52200000000000002</v>
      </c>
      <c r="O70" s="548">
        <v>1</v>
      </c>
      <c r="P70" s="548">
        <v>1</v>
      </c>
      <c r="Q70" s="556"/>
      <c r="R70" s="548">
        <v>1</v>
      </c>
      <c r="T70" s="730">
        <v>1</v>
      </c>
    </row>
    <row r="71" spans="1:20">
      <c r="A71" s="48" t="str">
        <f>B71&amp;C71</f>
        <v>Papua New GuineaGAM</v>
      </c>
      <c r="B71" s="547" t="s">
        <v>181</v>
      </c>
      <c r="C71" s="547" t="s">
        <v>873</v>
      </c>
      <c r="D71" s="413"/>
      <c r="E71" s="413"/>
      <c r="F71" s="413"/>
      <c r="G71" s="413"/>
      <c r="H71" s="413"/>
      <c r="I71" s="548">
        <v>0.68600000000000005</v>
      </c>
      <c r="J71" s="548">
        <v>0.68600000000000005</v>
      </c>
      <c r="K71" s="548">
        <v>0.68600000000000005</v>
      </c>
      <c r="L71" s="548">
        <v>0.53600000000000003</v>
      </c>
      <c r="M71" s="413"/>
      <c r="N71" s="413"/>
      <c r="O71" s="413"/>
      <c r="P71" s="413"/>
      <c r="Q71" s="548">
        <v>0.53600000000000003</v>
      </c>
      <c r="R71" s="548">
        <v>0.53600000000000003</v>
      </c>
      <c r="S71" s="548">
        <v>0.53600000000000003</v>
      </c>
      <c r="T71" s="730">
        <v>0.53600000000000003</v>
      </c>
    </row>
    <row r="72" spans="1:20">
      <c r="A72" s="48" t="str">
        <f>B72&amp;C72</f>
        <v>ParaguayGAM</v>
      </c>
      <c r="B72" s="547" t="s">
        <v>182</v>
      </c>
      <c r="C72" s="547" t="s">
        <v>873</v>
      </c>
      <c r="D72" s="413"/>
      <c r="E72" s="413"/>
      <c r="F72" s="413"/>
      <c r="G72" s="413"/>
      <c r="H72" s="413"/>
      <c r="I72" s="548">
        <v>0.68600000000000005</v>
      </c>
      <c r="J72" s="413"/>
      <c r="K72" s="548">
        <v>0.68600000000000005</v>
      </c>
      <c r="L72" s="548">
        <v>1</v>
      </c>
      <c r="M72" s="548">
        <v>0.68600000000000005</v>
      </c>
      <c r="N72" s="548">
        <v>1</v>
      </c>
      <c r="O72" s="548">
        <v>1</v>
      </c>
      <c r="P72" s="548">
        <v>0.68600000000000005</v>
      </c>
      <c r="Q72" s="548">
        <v>1</v>
      </c>
      <c r="R72" s="548">
        <v>1</v>
      </c>
      <c r="S72" s="548">
        <v>0.68600000000000005</v>
      </c>
      <c r="T72" s="730">
        <v>0.68600000000000005</v>
      </c>
    </row>
    <row r="73" spans="1:20">
      <c r="A73" s="48" t="str">
        <f>B73&amp;C73</f>
        <v>PeruGAM</v>
      </c>
      <c r="B73" s="547" t="s">
        <v>360</v>
      </c>
      <c r="C73" s="547" t="s">
        <v>873</v>
      </c>
      <c r="D73" s="413"/>
      <c r="E73" s="413"/>
      <c r="F73" s="413"/>
      <c r="G73" s="413"/>
      <c r="H73" s="413"/>
      <c r="I73" s="413"/>
      <c r="J73" s="413"/>
      <c r="K73" s="413"/>
      <c r="L73" s="413"/>
      <c r="M73" s="413"/>
      <c r="N73" s="413"/>
      <c r="O73" s="413"/>
      <c r="P73" s="413"/>
      <c r="Q73" s="413"/>
      <c r="R73" s="548">
        <v>1</v>
      </c>
      <c r="S73" s="548">
        <v>0.53600000000000003</v>
      </c>
      <c r="T73" s="730">
        <v>1</v>
      </c>
    </row>
    <row r="74" spans="1:20">
      <c r="A74" t="str">
        <f>B74&amp;C74</f>
        <v>Republic of the CongoGAM</v>
      </c>
      <c r="B74" s="528" t="s">
        <v>934</v>
      </c>
      <c r="C74" s="528" t="s">
        <v>873</v>
      </c>
      <c r="Q74" s="748">
        <v>0.52200000000000002</v>
      </c>
      <c r="T74" s="730">
        <v>1</v>
      </c>
    </row>
    <row r="75" spans="1:20">
      <c r="A75" t="str">
        <f>B75&amp;C75</f>
        <v>RwandaGAM</v>
      </c>
      <c r="B75" s="528" t="s">
        <v>953</v>
      </c>
      <c r="C75" s="528" t="s">
        <v>873</v>
      </c>
      <c r="Q75" s="748"/>
      <c r="T75" s="730"/>
    </row>
    <row r="76" spans="1:20">
      <c r="A76" s="48" t="str">
        <f>B76&amp;C76</f>
        <v>Saint Kitts &amp; NevisGAM</v>
      </c>
      <c r="B76" s="547" t="s">
        <v>361</v>
      </c>
      <c r="C76" s="547" t="s">
        <v>873</v>
      </c>
      <c r="D76" s="413"/>
      <c r="E76" s="413"/>
      <c r="F76" s="413"/>
      <c r="G76" s="413"/>
      <c r="H76" s="413"/>
      <c r="I76" s="413"/>
      <c r="J76" s="413"/>
      <c r="K76" s="413"/>
      <c r="L76" s="413"/>
      <c r="M76" s="413"/>
      <c r="N76" s="413"/>
      <c r="O76" s="413"/>
      <c r="P76" s="413"/>
      <c r="Q76" s="413"/>
      <c r="R76" s="548">
        <v>1</v>
      </c>
      <c r="S76" s="548">
        <v>0.52200000000000002</v>
      </c>
      <c r="T76" s="730">
        <v>0.52200000000000002</v>
      </c>
    </row>
    <row r="77" spans="1:20">
      <c r="A77" s="48" t="str">
        <f>B77&amp;C77</f>
        <v>Saint LuciaGAM</v>
      </c>
      <c r="B77" s="547" t="s">
        <v>362</v>
      </c>
      <c r="C77" s="547" t="s">
        <v>873</v>
      </c>
      <c r="D77" s="413"/>
      <c r="E77" s="413"/>
      <c r="F77" s="413"/>
      <c r="G77" s="413"/>
      <c r="H77" s="413"/>
      <c r="I77" s="413"/>
      <c r="J77" s="413"/>
      <c r="K77" s="413"/>
      <c r="L77" s="413"/>
      <c r="M77" s="413"/>
      <c r="N77" s="413"/>
      <c r="O77" s="413"/>
      <c r="P77" s="413"/>
      <c r="Q77" s="413"/>
      <c r="R77" s="548">
        <v>1</v>
      </c>
      <c r="T77" s="730">
        <v>1</v>
      </c>
    </row>
    <row r="78" spans="1:20">
      <c r="A78" s="48" t="str">
        <f>B78&amp;C78</f>
        <v>Saint Vincent &amp; the GrenadinesGAM</v>
      </c>
      <c r="B78" s="547" t="s">
        <v>363</v>
      </c>
      <c r="C78" s="547" t="s">
        <v>873</v>
      </c>
      <c r="D78" s="413"/>
      <c r="E78" s="413"/>
      <c r="F78" s="413"/>
      <c r="G78" s="413"/>
      <c r="H78" s="413"/>
      <c r="I78" s="413"/>
      <c r="J78" s="413"/>
      <c r="K78" s="413"/>
      <c r="L78" s="413"/>
      <c r="M78" s="413"/>
      <c r="N78" s="413"/>
      <c r="O78" s="413"/>
      <c r="P78" s="413"/>
      <c r="Q78" s="413"/>
      <c r="R78" s="548">
        <v>1</v>
      </c>
      <c r="T78" s="730"/>
    </row>
    <row r="79" spans="1:20">
      <c r="A79" s="48" t="str">
        <f>B79&amp;C79</f>
        <v>SamoaGAM</v>
      </c>
      <c r="B79" s="547" t="s">
        <v>183</v>
      </c>
      <c r="C79" s="547" t="s">
        <v>873</v>
      </c>
      <c r="D79" s="413"/>
      <c r="E79" s="413"/>
      <c r="F79" s="413"/>
      <c r="G79" s="413"/>
      <c r="H79" s="413"/>
      <c r="I79" s="413"/>
      <c r="J79" s="413"/>
      <c r="K79" s="413"/>
      <c r="L79" s="548">
        <v>0.68600000000000005</v>
      </c>
      <c r="M79" s="413"/>
      <c r="N79" s="548">
        <v>0.52200000000000002</v>
      </c>
      <c r="O79" s="548">
        <v>0.53600000000000003</v>
      </c>
      <c r="P79" s="548">
        <v>0.52200000000000002</v>
      </c>
      <c r="Q79" s="548">
        <v>1</v>
      </c>
      <c r="R79" s="548">
        <v>1</v>
      </c>
      <c r="S79" s="548">
        <v>1</v>
      </c>
      <c r="T79" s="730">
        <v>1</v>
      </c>
    </row>
    <row r="80" spans="1:20">
      <c r="A80" s="48" t="str">
        <f>B80&amp;C80</f>
        <v>Sao Tome &amp; PrincipeGAM</v>
      </c>
      <c r="B80" s="547" t="s">
        <v>364</v>
      </c>
      <c r="C80" s="547" t="s">
        <v>873</v>
      </c>
      <c r="D80" s="413"/>
      <c r="E80" s="413"/>
      <c r="F80" s="413"/>
      <c r="G80" s="413"/>
      <c r="H80" s="413"/>
      <c r="I80" s="413"/>
      <c r="J80" s="548">
        <v>0.68600000000000005</v>
      </c>
      <c r="K80" s="548">
        <v>0.68600000000000005</v>
      </c>
      <c r="L80" s="548">
        <v>1</v>
      </c>
      <c r="M80" s="548">
        <v>0.68600000000000005</v>
      </c>
      <c r="N80" s="413"/>
      <c r="O80" s="548">
        <v>0.52200000000000002</v>
      </c>
      <c r="P80" s="548">
        <v>0.52200000000000002</v>
      </c>
      <c r="Q80" s="413"/>
      <c r="R80" s="548">
        <v>0.52200000000000002</v>
      </c>
      <c r="T80" s="730">
        <v>0.52200000000000002</v>
      </c>
    </row>
    <row r="81" spans="1:22">
      <c r="A81" t="str">
        <f>B81&amp;C81</f>
        <v>Saudi ArabiaGAM</v>
      </c>
      <c r="B81" s="528" t="s">
        <v>935</v>
      </c>
      <c r="C81" s="528" t="s">
        <v>873</v>
      </c>
      <c r="Q81" s="748">
        <v>0.52200000000000002</v>
      </c>
      <c r="R81" s="748">
        <v>0.52200000000000002</v>
      </c>
      <c r="S81" s="709">
        <v>1</v>
      </c>
      <c r="T81" s="709">
        <v>1</v>
      </c>
    </row>
    <row r="82" spans="1:22">
      <c r="A82" s="48" t="str">
        <f>B82&amp;C82</f>
        <v>SenegalGAM</v>
      </c>
      <c r="B82" s="547" t="s">
        <v>141</v>
      </c>
      <c r="C82" s="547" t="s">
        <v>873</v>
      </c>
      <c r="D82" s="413"/>
      <c r="E82" s="413"/>
      <c r="F82" s="413"/>
      <c r="G82" s="413"/>
      <c r="H82" s="413"/>
      <c r="I82" s="413"/>
      <c r="J82" s="413"/>
      <c r="K82" s="413"/>
      <c r="L82" s="413"/>
      <c r="M82" s="413"/>
      <c r="N82" s="413"/>
      <c r="O82" s="413"/>
      <c r="P82" s="413"/>
      <c r="Q82" s="548">
        <v>0.68600000000000005</v>
      </c>
      <c r="R82" s="548">
        <v>1</v>
      </c>
      <c r="S82" s="548">
        <v>1</v>
      </c>
      <c r="T82" s="730">
        <v>1</v>
      </c>
    </row>
    <row r="83" spans="1:22">
      <c r="A83" s="48" t="str">
        <f>B83&amp;C83</f>
        <v>SeychellesGAM</v>
      </c>
      <c r="B83" s="547" t="s">
        <v>151</v>
      </c>
      <c r="C83" s="547" t="s">
        <v>873</v>
      </c>
      <c r="D83" s="413"/>
      <c r="E83" s="413"/>
      <c r="F83" s="413"/>
      <c r="G83" s="413"/>
      <c r="H83" s="413"/>
      <c r="I83" s="413"/>
      <c r="J83" s="413"/>
      <c r="K83" s="413"/>
      <c r="L83" s="548">
        <v>0.54600000000000004</v>
      </c>
      <c r="M83" s="548">
        <v>0.68600000000000005</v>
      </c>
      <c r="N83" s="413"/>
      <c r="O83" s="548">
        <v>1</v>
      </c>
      <c r="P83" s="548">
        <v>0.68600000000000005</v>
      </c>
      <c r="Q83" s="548">
        <v>1</v>
      </c>
      <c r="R83" s="548">
        <v>1</v>
      </c>
      <c r="S83" s="548">
        <v>0.52200000000000002</v>
      </c>
      <c r="T83" s="730">
        <v>0.52200000000000002</v>
      </c>
    </row>
    <row r="84" spans="1:22">
      <c r="A84" t="str">
        <f>B84&amp;C84</f>
        <v>Sierra LeoneGAM</v>
      </c>
      <c r="B84" s="528" t="s">
        <v>936</v>
      </c>
      <c r="C84" s="528" t="s">
        <v>873</v>
      </c>
      <c r="Q84" s="748">
        <v>0.68600000000000005</v>
      </c>
      <c r="R84" s="748">
        <v>0.68600000000000005</v>
      </c>
      <c r="S84" s="748">
        <v>0.53600000000000003</v>
      </c>
      <c r="T84" s="748">
        <v>0.53600000000000003</v>
      </c>
    </row>
    <row r="85" spans="1:22">
      <c r="A85" t="str">
        <f>B85&amp;C85</f>
        <v>Solomon IslandsGAM</v>
      </c>
      <c r="B85" s="528" t="s">
        <v>950</v>
      </c>
      <c r="C85" s="528" t="s">
        <v>873</v>
      </c>
      <c r="R85" s="748"/>
      <c r="S85" s="748"/>
      <c r="T85" s="746"/>
    </row>
    <row r="86" spans="1:22">
      <c r="A86" t="str">
        <f>B86&amp;C86</f>
        <v>SomaliaGAM</v>
      </c>
      <c r="B86" s="528" t="s">
        <v>937</v>
      </c>
      <c r="C86" s="528" t="s">
        <v>873</v>
      </c>
      <c r="Q86" s="748">
        <v>0.52200000000000002</v>
      </c>
      <c r="R86" s="748">
        <v>0.53600000000000003</v>
      </c>
      <c r="S86" s="748">
        <v>0.68600000000000005</v>
      </c>
      <c r="T86" s="746" t="s">
        <v>939</v>
      </c>
    </row>
    <row r="87" spans="1:22">
      <c r="A87" s="48" t="str">
        <f>B87&amp;C87</f>
        <v>South AfricaGAM</v>
      </c>
      <c r="B87" s="547" t="s">
        <v>0</v>
      </c>
      <c r="C87" s="547" t="s">
        <v>873</v>
      </c>
      <c r="D87" s="413"/>
      <c r="E87" s="413"/>
      <c r="F87" s="413"/>
      <c r="G87" s="413"/>
      <c r="H87" s="413"/>
      <c r="I87" s="413"/>
      <c r="J87" s="548">
        <v>1</v>
      </c>
      <c r="K87" s="548">
        <v>1</v>
      </c>
      <c r="L87" s="548">
        <v>1</v>
      </c>
      <c r="M87" s="413"/>
      <c r="N87" s="413"/>
      <c r="O87" s="413"/>
      <c r="P87" s="413"/>
      <c r="Q87" s="413"/>
      <c r="R87" s="413"/>
      <c r="S87" s="548">
        <v>1</v>
      </c>
      <c r="T87" s="730">
        <v>1</v>
      </c>
    </row>
    <row r="88" spans="1:22">
      <c r="A88" t="str">
        <f>B88&amp;C88</f>
        <v>South SudanGAM</v>
      </c>
      <c r="B88" s="528" t="s">
        <v>938</v>
      </c>
      <c r="C88" s="528" t="s">
        <v>873</v>
      </c>
      <c r="R88" s="748">
        <v>0.52200000000000002</v>
      </c>
      <c r="S88" s="748">
        <v>0.53600000000000003</v>
      </c>
      <c r="T88" s="746">
        <v>0.53600000000000003</v>
      </c>
    </row>
    <row r="89" spans="1:22">
      <c r="A89" s="48" t="str">
        <f>B89&amp;C89</f>
        <v>Sri LankaGAM</v>
      </c>
      <c r="B89" s="547" t="s">
        <v>374</v>
      </c>
      <c r="C89" s="547" t="s">
        <v>873</v>
      </c>
      <c r="D89" s="553"/>
      <c r="E89" s="553"/>
      <c r="F89" s="553"/>
      <c r="G89" s="553"/>
      <c r="H89" s="553"/>
      <c r="I89" s="553"/>
      <c r="J89" s="553"/>
      <c r="K89" s="553"/>
      <c r="L89" s="553"/>
      <c r="M89" s="553"/>
      <c r="N89" s="553"/>
      <c r="O89" s="553"/>
      <c r="P89" s="553"/>
      <c r="Q89" s="553"/>
      <c r="R89" s="553"/>
      <c r="S89" s="548">
        <v>1</v>
      </c>
      <c r="T89" s="730">
        <v>1</v>
      </c>
    </row>
    <row r="90" spans="1:22">
      <c r="A90" s="48" t="str">
        <f>B90&amp;C90</f>
        <v>SurinameGAM</v>
      </c>
      <c r="B90" s="547" t="s">
        <v>365</v>
      </c>
      <c r="C90" s="547" t="s">
        <v>873</v>
      </c>
      <c r="T90" s="730"/>
    </row>
    <row r="91" spans="1:22">
      <c r="A91" s="48" t="str">
        <f>B91&amp;C91</f>
        <v>TanzaniaGAM</v>
      </c>
      <c r="B91" s="547" t="s">
        <v>143</v>
      </c>
      <c r="C91" s="547" t="s">
        <v>873</v>
      </c>
      <c r="D91" s="413"/>
      <c r="E91" s="413"/>
      <c r="F91" s="413"/>
      <c r="G91" s="548">
        <v>0.68600000000000005</v>
      </c>
      <c r="H91" s="413"/>
      <c r="I91" s="548">
        <v>0.68600000000000005</v>
      </c>
      <c r="J91" s="413"/>
      <c r="K91" s="548">
        <v>0.68600000000000005</v>
      </c>
      <c r="L91" s="548">
        <v>0.68600000000000005</v>
      </c>
      <c r="M91" s="413"/>
      <c r="N91" s="413"/>
      <c r="O91" s="548">
        <v>0.52200000000000002</v>
      </c>
      <c r="P91" s="548">
        <v>0.52200000000000002</v>
      </c>
      <c r="Q91" s="548">
        <v>0.52200000000000002</v>
      </c>
      <c r="R91" s="548">
        <v>0.52200000000000002</v>
      </c>
      <c r="S91" s="548">
        <v>0.52200000000000002</v>
      </c>
      <c r="T91" s="730">
        <v>0.52200000000000002</v>
      </c>
      <c r="U91" s="729"/>
      <c r="V91" s="729"/>
    </row>
    <row r="92" spans="1:22">
      <c r="A92" s="48" t="str">
        <f>B92&amp;C92</f>
        <v>ThailandGAM</v>
      </c>
      <c r="B92" s="547" t="s">
        <v>185</v>
      </c>
      <c r="C92" s="547" t="s">
        <v>873</v>
      </c>
      <c r="D92" s="413"/>
      <c r="E92" s="413"/>
      <c r="F92" s="413"/>
      <c r="G92" s="413"/>
      <c r="H92" s="413"/>
      <c r="I92" s="548">
        <v>0.68600000000000005</v>
      </c>
      <c r="J92" s="548">
        <v>0.68600000000000005</v>
      </c>
      <c r="K92" s="548">
        <v>0.68600000000000005</v>
      </c>
      <c r="L92" s="548">
        <v>1</v>
      </c>
      <c r="M92" s="548">
        <v>1</v>
      </c>
      <c r="N92" s="548">
        <v>1</v>
      </c>
      <c r="O92" s="548">
        <v>1</v>
      </c>
      <c r="P92" s="548">
        <v>1</v>
      </c>
      <c r="Q92" s="413"/>
      <c r="R92" s="548">
        <v>1</v>
      </c>
      <c r="T92" s="730">
        <v>1</v>
      </c>
    </row>
    <row r="93" spans="1:22">
      <c r="A93" s="48" t="str">
        <f>B93&amp;C93</f>
        <v>TogoGAM</v>
      </c>
      <c r="B93" s="547" t="s">
        <v>142</v>
      </c>
      <c r="C93" s="547" t="s">
        <v>873</v>
      </c>
      <c r="D93" s="413"/>
      <c r="E93" s="413"/>
      <c r="F93" s="413"/>
      <c r="G93" s="413"/>
      <c r="H93" s="413"/>
      <c r="I93" s="548">
        <v>0.68600000000000005</v>
      </c>
      <c r="J93" s="548">
        <v>0.68600000000000005</v>
      </c>
      <c r="K93" s="413"/>
      <c r="L93" s="413"/>
      <c r="M93" s="548">
        <v>0.68600000000000005</v>
      </c>
      <c r="N93" s="548">
        <v>1</v>
      </c>
      <c r="O93" s="548">
        <v>1</v>
      </c>
      <c r="P93" s="548">
        <v>1</v>
      </c>
      <c r="Q93" s="548">
        <v>1</v>
      </c>
      <c r="R93" s="548">
        <v>0.52200000000000002</v>
      </c>
      <c r="S93" s="548">
        <v>1</v>
      </c>
      <c r="T93" s="730">
        <v>1</v>
      </c>
    </row>
    <row r="94" spans="1:22">
      <c r="A94" s="48" t="str">
        <f>B94&amp;C94</f>
        <v>Trinidad &amp; TobagoGAM</v>
      </c>
      <c r="B94" s="547" t="s">
        <v>366</v>
      </c>
      <c r="C94" s="547" t="s">
        <v>873</v>
      </c>
      <c r="R94" s="548">
        <v>1</v>
      </c>
      <c r="T94" s="730"/>
    </row>
    <row r="95" spans="1:22">
      <c r="A95" s="48" t="str">
        <f>B95&amp;C95</f>
        <v>UgandaGAM</v>
      </c>
      <c r="B95" s="547" t="s">
        <v>144</v>
      </c>
      <c r="C95" s="547" t="s">
        <v>873</v>
      </c>
      <c r="D95" s="413"/>
      <c r="E95" s="413"/>
      <c r="F95" s="413"/>
      <c r="G95" s="413"/>
      <c r="H95" s="413"/>
      <c r="I95" s="413"/>
      <c r="J95" s="413"/>
      <c r="K95" s="413"/>
      <c r="L95" s="413"/>
      <c r="M95" s="413"/>
      <c r="N95" s="548">
        <v>1</v>
      </c>
      <c r="O95" s="548">
        <v>1</v>
      </c>
      <c r="P95" s="548">
        <v>1</v>
      </c>
      <c r="Q95" s="548">
        <v>1</v>
      </c>
      <c r="R95" s="413"/>
      <c r="S95" s="548">
        <v>1</v>
      </c>
      <c r="T95" s="730"/>
    </row>
    <row r="96" spans="1:22">
      <c r="A96" s="48" t="str">
        <f>B96&amp;C96</f>
        <v>UkraineGAM</v>
      </c>
      <c r="B96" s="547" t="s">
        <v>186</v>
      </c>
      <c r="C96" s="547" t="s">
        <v>873</v>
      </c>
      <c r="D96" s="413"/>
      <c r="E96" s="413"/>
      <c r="F96" s="413"/>
      <c r="G96" s="413"/>
      <c r="H96" s="413"/>
      <c r="I96" s="413"/>
      <c r="J96" s="413"/>
      <c r="K96" s="413"/>
      <c r="L96" s="413"/>
      <c r="M96" s="413"/>
      <c r="N96" s="548">
        <v>0.53600000000000003</v>
      </c>
      <c r="O96" s="548">
        <v>0.68600000000000005</v>
      </c>
      <c r="P96" s="548">
        <v>0.68600000000000005</v>
      </c>
      <c r="Q96" s="548">
        <v>0.53600000000000003</v>
      </c>
      <c r="R96" s="548">
        <v>0.68600000000000005</v>
      </c>
      <c r="S96" s="548">
        <v>0.52200000000000002</v>
      </c>
      <c r="T96" s="730">
        <v>0.52200000000000002</v>
      </c>
    </row>
    <row r="97" spans="1:20">
      <c r="A97" s="48" t="str">
        <f>B97&amp;C97</f>
        <v>UruguayGAM</v>
      </c>
      <c r="B97" s="547" t="s">
        <v>187</v>
      </c>
      <c r="C97" s="547" t="s">
        <v>873</v>
      </c>
      <c r="D97" s="413"/>
      <c r="E97" s="413"/>
      <c r="F97" s="413"/>
      <c r="G97" s="413"/>
      <c r="H97" s="413"/>
      <c r="I97" s="413"/>
      <c r="J97" s="548">
        <v>0.68600000000000005</v>
      </c>
      <c r="K97" s="413"/>
      <c r="L97" s="413"/>
      <c r="M97" s="548">
        <v>0.68600000000000005</v>
      </c>
      <c r="N97" s="548">
        <v>1</v>
      </c>
      <c r="O97" s="548">
        <v>1</v>
      </c>
      <c r="P97" s="548">
        <v>1</v>
      </c>
      <c r="Q97" s="413"/>
      <c r="R97" s="548">
        <v>0.52200000000000002</v>
      </c>
      <c r="T97" s="730">
        <v>1</v>
      </c>
    </row>
    <row r="98" spans="1:20">
      <c r="A98" s="48" t="str">
        <f>B98&amp;C98</f>
        <v>VenezuelaGAM</v>
      </c>
      <c r="B98" s="547" t="s">
        <v>188</v>
      </c>
      <c r="C98" s="547" t="s">
        <v>873</v>
      </c>
      <c r="D98" s="413"/>
      <c r="E98" s="413"/>
      <c r="F98" s="413"/>
      <c r="G98" s="413"/>
      <c r="H98" s="413"/>
      <c r="I98" s="413"/>
      <c r="J98" s="413"/>
      <c r="K98" s="413"/>
      <c r="L98" s="413"/>
      <c r="M98" s="413"/>
      <c r="N98" s="413"/>
      <c r="O98" s="413"/>
      <c r="P98" s="548">
        <v>0.52200000000000002</v>
      </c>
      <c r="Q98" s="548">
        <v>0.52200000000000002</v>
      </c>
      <c r="T98" s="730">
        <v>1</v>
      </c>
    </row>
    <row r="99" spans="1:20">
      <c r="A99" s="48" t="str">
        <f>B99&amp;C99</f>
        <v>ZambiaGAM</v>
      </c>
      <c r="B99" s="547" t="s">
        <v>124</v>
      </c>
      <c r="C99" s="547" t="s">
        <v>873</v>
      </c>
      <c r="D99" s="413"/>
      <c r="E99" s="413"/>
      <c r="F99" s="413"/>
      <c r="G99" s="548">
        <v>0.68600000000000005</v>
      </c>
      <c r="H99" s="548">
        <v>0.68600000000000005</v>
      </c>
      <c r="I99" s="548">
        <v>0.68600000000000005</v>
      </c>
      <c r="J99" s="548">
        <v>0.68600000000000005</v>
      </c>
      <c r="K99" s="548">
        <v>0.68600000000000005</v>
      </c>
      <c r="L99" s="413"/>
      <c r="M99" s="413"/>
      <c r="N99" s="548">
        <v>0.68600000000000005</v>
      </c>
      <c r="O99" s="548">
        <v>0.68600000000000005</v>
      </c>
      <c r="P99" s="548">
        <v>0.52200000000000002</v>
      </c>
      <c r="Q99" s="548">
        <v>0.52200000000000002</v>
      </c>
      <c r="R99" s="548">
        <v>1</v>
      </c>
      <c r="S99" s="548">
        <v>0.52200000000000002</v>
      </c>
      <c r="T99" s="730">
        <v>0.52200000000000002</v>
      </c>
    </row>
    <row r="100" spans="1:20">
      <c r="A100" s="48" t="str">
        <f>B100&amp;C100</f>
        <v>ZimbabweGAM</v>
      </c>
      <c r="B100" s="547" t="s">
        <v>125</v>
      </c>
      <c r="C100" s="547" t="s">
        <v>873</v>
      </c>
      <c r="D100" s="413"/>
      <c r="E100" s="413"/>
      <c r="F100" s="413"/>
      <c r="G100" s="548">
        <v>0.68600000000000005</v>
      </c>
      <c r="H100" s="548">
        <v>0.68600000000000005</v>
      </c>
      <c r="I100" s="548">
        <v>0.68600000000000005</v>
      </c>
      <c r="J100" s="548">
        <v>0.68600000000000005</v>
      </c>
      <c r="K100" s="548">
        <v>0.68600000000000005</v>
      </c>
      <c r="L100" s="413"/>
      <c r="M100" s="413"/>
      <c r="N100" s="548">
        <v>0.68600000000000005</v>
      </c>
      <c r="O100" s="548">
        <v>0.68600000000000005</v>
      </c>
      <c r="P100" s="548">
        <v>0.52200000000000002</v>
      </c>
      <c r="Q100" s="548">
        <v>0.52200000000000002</v>
      </c>
      <c r="R100" s="548">
        <v>1</v>
      </c>
      <c r="S100" s="548">
        <v>0.52200000000000002</v>
      </c>
      <c r="T100" s="730">
        <v>0.53600000000000003</v>
      </c>
    </row>
    <row r="101" spans="1:20">
      <c r="A101" t="str">
        <f>B101&amp;C101</f>
        <v>AfghanistanWorkshops</v>
      </c>
      <c r="B101" s="528" t="s">
        <v>928</v>
      </c>
      <c r="C101" s="528" t="s">
        <v>877</v>
      </c>
      <c r="T101" s="730"/>
    </row>
    <row r="102" spans="1:20">
      <c r="A102" t="str">
        <f>B102&amp;C102</f>
        <v>AngolaWorkshops</v>
      </c>
      <c r="B102" s="528" t="s">
        <v>929</v>
      </c>
      <c r="C102" s="528" t="s">
        <v>877</v>
      </c>
      <c r="T102" s="730"/>
    </row>
    <row r="103" spans="1:20">
      <c r="A103" t="str">
        <f>B103&amp;C103</f>
        <v>Antigua &amp; BarbudaWorkshops</v>
      </c>
      <c r="B103" s="528" t="s">
        <v>343</v>
      </c>
      <c r="C103" s="528" t="s">
        <v>877</v>
      </c>
      <c r="T103" s="730"/>
    </row>
    <row r="104" spans="1:20">
      <c r="A104" t="str">
        <f>B104&amp;C104</f>
        <v>ArgentinaWorkshops</v>
      </c>
      <c r="B104" s="528" t="s">
        <v>344</v>
      </c>
      <c r="C104" s="528" t="s">
        <v>877</v>
      </c>
      <c r="T104" s="730"/>
    </row>
    <row r="105" spans="1:20">
      <c r="A105" t="str">
        <f>B105&amp;C105</f>
        <v>BahamasWorkshops</v>
      </c>
      <c r="B105" s="528" t="s">
        <v>345</v>
      </c>
      <c r="C105" s="528" t="s">
        <v>877</v>
      </c>
      <c r="T105" s="730"/>
    </row>
    <row r="106" spans="1:20">
      <c r="A106" t="str">
        <f>B106&amp;C106</f>
        <v>BangladeshWorkshops</v>
      </c>
      <c r="B106" s="528" t="s">
        <v>865</v>
      </c>
      <c r="C106" s="528" t="s">
        <v>877</v>
      </c>
      <c r="T106" s="730"/>
    </row>
    <row r="107" spans="1:20">
      <c r="A107" t="str">
        <f>B107&amp;C107</f>
        <v>BarbadosWorkshops</v>
      </c>
      <c r="B107" s="528" t="s">
        <v>346</v>
      </c>
      <c r="C107" s="528" t="s">
        <v>877</v>
      </c>
      <c r="T107" s="730"/>
    </row>
    <row r="108" spans="1:20">
      <c r="A108" t="str">
        <f>B108&amp;C108</f>
        <v>BelarusWorkshops</v>
      </c>
      <c r="B108" s="528" t="s">
        <v>166</v>
      </c>
      <c r="C108" s="528" t="s">
        <v>877</v>
      </c>
      <c r="T108" s="730"/>
    </row>
    <row r="109" spans="1:20">
      <c r="A109" t="str">
        <f>B109&amp;C109</f>
        <v>BelizeWorkshops</v>
      </c>
      <c r="B109" s="528" t="s">
        <v>368</v>
      </c>
      <c r="C109" s="528" t="s">
        <v>877</v>
      </c>
      <c r="T109" s="730"/>
    </row>
    <row r="110" spans="1:20">
      <c r="A110" t="str">
        <f>B110&amp;C110</f>
        <v>BeninWorkshops</v>
      </c>
      <c r="B110" s="528" t="s">
        <v>126</v>
      </c>
      <c r="C110" s="528" t="s">
        <v>877</v>
      </c>
      <c r="T110" s="730"/>
    </row>
    <row r="111" spans="1:20">
      <c r="A111" t="str">
        <f>B111&amp;C111</f>
        <v>BhutanWorkshops</v>
      </c>
      <c r="B111" s="547" t="s">
        <v>951</v>
      </c>
      <c r="C111" s="528" t="s">
        <v>877</v>
      </c>
      <c r="T111" s="730"/>
    </row>
    <row r="112" spans="1:20">
      <c r="A112" t="str">
        <f>B112&amp;C112</f>
        <v>BoliviaWorkshops</v>
      </c>
      <c r="B112" s="528" t="s">
        <v>798</v>
      </c>
      <c r="C112" s="528" t="s">
        <v>877</v>
      </c>
      <c r="T112" s="730"/>
    </row>
    <row r="113" spans="1:20">
      <c r="A113" t="str">
        <f>B113&amp;C113</f>
        <v>BotswanaWorkshops</v>
      </c>
      <c r="B113" s="528" t="s">
        <v>834</v>
      </c>
      <c r="C113" s="528" t="s">
        <v>877</v>
      </c>
      <c r="T113" s="730"/>
    </row>
    <row r="114" spans="1:20">
      <c r="A114" t="str">
        <f>B114&amp;C114</f>
        <v>BrazilWorkshops</v>
      </c>
      <c r="B114" s="528" t="s">
        <v>167</v>
      </c>
      <c r="C114" s="528" t="s">
        <v>877</v>
      </c>
      <c r="T114" s="730"/>
    </row>
    <row r="115" spans="1:20">
      <c r="A115" t="str">
        <f>B115&amp;C115</f>
        <v>BruneiWorkshops</v>
      </c>
      <c r="B115" s="547" t="s">
        <v>952</v>
      </c>
      <c r="C115" s="528" t="s">
        <v>877</v>
      </c>
      <c r="T115" s="730"/>
    </row>
    <row r="116" spans="1:20">
      <c r="A116" t="str">
        <f>B116&amp;C116</f>
        <v>Burkina FasoWorkshops</v>
      </c>
      <c r="B116" s="528" t="s">
        <v>168</v>
      </c>
      <c r="C116" s="528" t="s">
        <v>877</v>
      </c>
      <c r="T116" s="730"/>
    </row>
    <row r="117" spans="1:20">
      <c r="A117" t="str">
        <f>B117&amp;C117</f>
        <v>BurundiWorkshops</v>
      </c>
      <c r="B117" s="528" t="s">
        <v>165</v>
      </c>
      <c r="C117" s="528" t="s">
        <v>877</v>
      </c>
      <c r="T117" s="730"/>
    </row>
    <row r="118" spans="1:20">
      <c r="A118" t="str">
        <f>B118&amp;C118</f>
        <v>Cabo VerdeWorkshops</v>
      </c>
      <c r="B118" s="528" t="s">
        <v>149</v>
      </c>
      <c r="C118" s="528" t="s">
        <v>877</v>
      </c>
      <c r="T118" s="730"/>
    </row>
    <row r="119" spans="1:20">
      <c r="A119" t="str">
        <f>B119&amp;C119</f>
        <v>CambodiaWorkshops</v>
      </c>
      <c r="B119" s="528" t="s">
        <v>169</v>
      </c>
      <c r="C119" s="528" t="s">
        <v>877</v>
      </c>
      <c r="T119" s="730"/>
    </row>
    <row r="120" spans="1:20">
      <c r="A120" t="str">
        <f>B120&amp;C120</f>
        <v>Central African RepublicWorkshops</v>
      </c>
      <c r="B120" s="528" t="s">
        <v>153</v>
      </c>
      <c r="C120" s="528" t="s">
        <v>877</v>
      </c>
      <c r="T120" s="730"/>
    </row>
    <row r="121" spans="1:20">
      <c r="A121" t="str">
        <f>B121&amp;C121</f>
        <v>ChileWorkshops</v>
      </c>
      <c r="B121" s="528" t="s">
        <v>170</v>
      </c>
      <c r="C121" s="528" t="s">
        <v>877</v>
      </c>
      <c r="T121" s="730"/>
    </row>
    <row r="122" spans="1:20">
      <c r="A122" t="str">
        <f>B122&amp;C122</f>
        <v>ChinaWorkshops</v>
      </c>
      <c r="B122" s="528" t="s">
        <v>349</v>
      </c>
      <c r="C122" s="528" t="s">
        <v>877</v>
      </c>
      <c r="T122" s="730"/>
    </row>
    <row r="123" spans="1:20">
      <c r="A123" t="str">
        <f>B123&amp;C123</f>
        <v>ColombiaWorkshops</v>
      </c>
      <c r="B123" s="528" t="s">
        <v>171</v>
      </c>
      <c r="C123" s="528" t="s">
        <v>877</v>
      </c>
      <c r="T123" s="730"/>
    </row>
    <row r="124" spans="1:20">
      <c r="A124" t="str">
        <f>B124&amp;C124</f>
        <v>Costa RicaWorkshops</v>
      </c>
      <c r="B124" s="528" t="s">
        <v>350</v>
      </c>
      <c r="C124" s="528" t="s">
        <v>877</v>
      </c>
      <c r="T124" s="730"/>
    </row>
    <row r="125" spans="1:20">
      <c r="A125" t="str">
        <f>B125&amp;C125</f>
        <v>CubaWorkshops</v>
      </c>
      <c r="B125" s="528" t="s">
        <v>164</v>
      </c>
      <c r="C125" s="528" t="s">
        <v>877</v>
      </c>
      <c r="T125" s="730"/>
    </row>
    <row r="126" spans="1:20">
      <c r="A126" t="str">
        <f>B126&amp;C126</f>
        <v>Democratic Republic of CongoWorkshops</v>
      </c>
      <c r="B126" s="528" t="s">
        <v>152</v>
      </c>
      <c r="C126" s="528" t="s">
        <v>877</v>
      </c>
      <c r="T126" s="730"/>
    </row>
    <row r="127" spans="1:20">
      <c r="A127" t="str">
        <f>B127&amp;C127</f>
        <v>DominicaWorkshops</v>
      </c>
      <c r="B127" s="528" t="s">
        <v>351</v>
      </c>
      <c r="C127" s="528" t="s">
        <v>877</v>
      </c>
      <c r="T127" s="730"/>
    </row>
    <row r="128" spans="1:20">
      <c r="A128" t="str">
        <f>B128&amp;C128</f>
        <v>Dominican RepublicWorkshops</v>
      </c>
      <c r="B128" s="528" t="s">
        <v>172</v>
      </c>
      <c r="C128" s="528" t="s">
        <v>877</v>
      </c>
      <c r="T128" s="730"/>
    </row>
    <row r="129" spans="1:20">
      <c r="A129" t="str">
        <f>B129&amp;C129</f>
        <v>EcuadorWorkshops</v>
      </c>
      <c r="B129" s="528" t="s">
        <v>352</v>
      </c>
      <c r="C129" s="528" t="s">
        <v>877</v>
      </c>
      <c r="T129" s="730"/>
    </row>
    <row r="130" spans="1:20">
      <c r="A130" t="str">
        <f>B130&amp;C130</f>
        <v>El SalvadorWorkshops</v>
      </c>
      <c r="B130" s="528" t="s">
        <v>353</v>
      </c>
      <c r="C130" s="528" t="s">
        <v>877</v>
      </c>
      <c r="I130" s="709">
        <v>1</v>
      </c>
      <c r="J130" s="709">
        <v>1</v>
      </c>
      <c r="K130" s="709">
        <v>1</v>
      </c>
      <c r="L130" s="709">
        <v>1</v>
      </c>
      <c r="M130" s="709">
        <v>1</v>
      </c>
      <c r="N130" s="709">
        <v>1</v>
      </c>
      <c r="O130" s="709">
        <v>1</v>
      </c>
      <c r="P130" s="709">
        <v>1</v>
      </c>
      <c r="Q130" s="709">
        <v>1</v>
      </c>
      <c r="R130" s="709">
        <v>1</v>
      </c>
      <c r="S130" s="709">
        <v>1</v>
      </c>
      <c r="T130" s="730"/>
    </row>
    <row r="131" spans="1:20">
      <c r="A131" t="str">
        <f>B131&amp;C131</f>
        <v>Equatorial GuineaWorkshops</v>
      </c>
      <c r="B131" s="528" t="s">
        <v>129</v>
      </c>
      <c r="C131" s="528" t="s">
        <v>877</v>
      </c>
      <c r="T131" s="730"/>
    </row>
    <row r="132" spans="1:20">
      <c r="A132" t="str">
        <f>B132&amp;C132</f>
        <v>EritreaWorkshops</v>
      </c>
      <c r="B132" s="528" t="s">
        <v>128</v>
      </c>
      <c r="C132" s="528" t="s">
        <v>877</v>
      </c>
      <c r="T132" s="730"/>
    </row>
    <row r="133" spans="1:20">
      <c r="A133" t="str">
        <f>B133&amp;C133</f>
        <v>EswatiniWorkshops</v>
      </c>
      <c r="B133" s="528" t="s">
        <v>835</v>
      </c>
      <c r="C133" s="528" t="s">
        <v>877</v>
      </c>
      <c r="T133" s="730"/>
    </row>
    <row r="134" spans="1:20">
      <c r="A134" t="str">
        <f>B134&amp;C134</f>
        <v>EthiopiaWorkshops</v>
      </c>
      <c r="B134" s="528" t="s">
        <v>127</v>
      </c>
      <c r="C134" s="528" t="s">
        <v>877</v>
      </c>
      <c r="T134" s="730"/>
    </row>
    <row r="135" spans="1:20">
      <c r="A135" t="str">
        <f>B135&amp;C135</f>
        <v>Federated States of MicronesiaWorkshops</v>
      </c>
      <c r="B135" s="528" t="s">
        <v>356</v>
      </c>
      <c r="C135" s="528" t="s">
        <v>877</v>
      </c>
      <c r="T135" s="730"/>
    </row>
    <row r="136" spans="1:20">
      <c r="A136" t="str">
        <f>B136&amp;C136</f>
        <v>FijiWorkshops</v>
      </c>
      <c r="B136" s="528" t="s">
        <v>338</v>
      </c>
      <c r="C136" s="528" t="s">
        <v>877</v>
      </c>
      <c r="T136" s="730"/>
    </row>
    <row r="137" spans="1:20">
      <c r="A137" t="str">
        <f>B137&amp;C137</f>
        <v>GabonWorkshops</v>
      </c>
      <c r="B137" s="528" t="s">
        <v>130</v>
      </c>
      <c r="C137" s="528" t="s">
        <v>877</v>
      </c>
      <c r="T137" s="730"/>
    </row>
    <row r="138" spans="1:20">
      <c r="A138" t="str">
        <f>B138&amp;C138</f>
        <v>GeorgiaWorkshops</v>
      </c>
      <c r="B138" s="528" t="s">
        <v>173</v>
      </c>
      <c r="C138" s="528" t="s">
        <v>877</v>
      </c>
      <c r="T138" s="730"/>
    </row>
    <row r="139" spans="1:20">
      <c r="A139" t="str">
        <f>B139&amp;C139</f>
        <v>GhanaWorkshops</v>
      </c>
      <c r="B139" s="528" t="s">
        <v>131</v>
      </c>
      <c r="C139" s="528" t="s">
        <v>877</v>
      </c>
      <c r="T139" s="730"/>
    </row>
    <row r="140" spans="1:20">
      <c r="A140" t="str">
        <f>B140&amp;C140</f>
        <v>GrenadaWorkshops</v>
      </c>
      <c r="B140" s="528" t="s">
        <v>354</v>
      </c>
      <c r="C140" s="528" t="s">
        <v>877</v>
      </c>
      <c r="T140" s="730"/>
    </row>
    <row r="141" spans="1:20">
      <c r="A141" t="str">
        <f>B141&amp;C141</f>
        <v>GuatemalaWorkshops</v>
      </c>
      <c r="B141" s="528" t="s">
        <v>355</v>
      </c>
      <c r="C141" s="528" t="s">
        <v>877</v>
      </c>
      <c r="T141" s="730"/>
    </row>
    <row r="142" spans="1:20">
      <c r="A142" t="str">
        <f>B142&amp;C142</f>
        <v>GuineaWorkshops</v>
      </c>
      <c r="B142" s="528" t="s">
        <v>132</v>
      </c>
      <c r="C142" s="528" t="s">
        <v>877</v>
      </c>
      <c r="T142" s="730"/>
    </row>
    <row r="143" spans="1:20">
      <c r="A143" t="str">
        <f>B143&amp;C143</f>
        <v>GuyanaWorkshops</v>
      </c>
      <c r="B143" s="528" t="s">
        <v>357</v>
      </c>
      <c r="C143" s="528" t="s">
        <v>877</v>
      </c>
      <c r="T143" s="730"/>
    </row>
    <row r="144" spans="1:20">
      <c r="A144" t="str">
        <f>B144&amp;C144</f>
        <v>HaitiWorkshops</v>
      </c>
      <c r="B144" s="528" t="s">
        <v>174</v>
      </c>
      <c r="C144" s="528" t="s">
        <v>877</v>
      </c>
      <c r="T144" s="730"/>
    </row>
    <row r="145" spans="1:20">
      <c r="A145" t="str">
        <f>B145&amp;C145</f>
        <v>HondurasWorkshops</v>
      </c>
      <c r="B145" s="528" t="s">
        <v>358</v>
      </c>
      <c r="C145" s="528" t="s">
        <v>877</v>
      </c>
      <c r="I145" s="709">
        <v>1</v>
      </c>
      <c r="J145" s="709">
        <v>1</v>
      </c>
      <c r="K145" s="709">
        <v>1</v>
      </c>
      <c r="L145" s="709">
        <v>1</v>
      </c>
      <c r="M145" s="709">
        <v>1</v>
      </c>
      <c r="N145" s="709">
        <v>1</v>
      </c>
      <c r="O145" s="709">
        <v>1</v>
      </c>
      <c r="P145" s="709">
        <v>1</v>
      </c>
      <c r="Q145" s="709">
        <v>1</v>
      </c>
      <c r="R145" s="709">
        <v>1</v>
      </c>
      <c r="S145" s="709">
        <v>1</v>
      </c>
      <c r="T145" s="730"/>
    </row>
    <row r="146" spans="1:20">
      <c r="A146" t="str">
        <f>B146&amp;C146</f>
        <v>IndiaWorkshops</v>
      </c>
      <c r="B146" s="528" t="s">
        <v>175</v>
      </c>
      <c r="C146" s="528" t="s">
        <v>877</v>
      </c>
      <c r="T146" s="730"/>
    </row>
    <row r="147" spans="1:20">
      <c r="A147" t="str">
        <f>B147&amp;C147</f>
        <v>IndonesiaWorkshops</v>
      </c>
      <c r="B147" s="528" t="s">
        <v>866</v>
      </c>
      <c r="C147" s="528" t="s">
        <v>877</v>
      </c>
      <c r="T147" s="730"/>
    </row>
    <row r="148" spans="1:20">
      <c r="A148" t="str">
        <f>B148&amp;C148</f>
        <v>JamaicaWorkshops</v>
      </c>
      <c r="B148" s="528" t="s">
        <v>176</v>
      </c>
      <c r="C148" s="528" t="s">
        <v>877</v>
      </c>
      <c r="T148" s="730"/>
    </row>
    <row r="149" spans="1:20">
      <c r="A149" t="str">
        <f>B149&amp;C149</f>
        <v>KenyaWorkshops</v>
      </c>
      <c r="B149" s="528" t="s">
        <v>133</v>
      </c>
      <c r="C149" s="528" t="s">
        <v>877</v>
      </c>
      <c r="T149" s="730"/>
    </row>
    <row r="150" spans="1:20">
      <c r="A150" t="str">
        <f>B150&amp;C150</f>
        <v>LesothoWorkshops</v>
      </c>
      <c r="B150" s="528" t="s">
        <v>930</v>
      </c>
      <c r="C150" s="528" t="s">
        <v>877</v>
      </c>
      <c r="T150" s="730"/>
    </row>
    <row r="151" spans="1:20">
      <c r="A151" t="str">
        <f>B151&amp;C151</f>
        <v>LiberiaWorkshops</v>
      </c>
      <c r="B151" s="528" t="s">
        <v>134</v>
      </c>
      <c r="C151" s="528" t="s">
        <v>877</v>
      </c>
      <c r="T151" s="730"/>
    </row>
    <row r="152" spans="1:20">
      <c r="A152" t="str">
        <f>B152&amp;C152</f>
        <v>MadagascarWorkshops</v>
      </c>
      <c r="B152" s="528" t="s">
        <v>135</v>
      </c>
      <c r="C152" s="528" t="s">
        <v>877</v>
      </c>
      <c r="T152" s="730"/>
    </row>
    <row r="153" spans="1:20">
      <c r="A153" t="str">
        <f>B153&amp;C153</f>
        <v>MalawiWorkshops</v>
      </c>
      <c r="B153" s="528" t="s">
        <v>136</v>
      </c>
      <c r="C153" s="528" t="s">
        <v>877</v>
      </c>
      <c r="T153" s="730"/>
    </row>
    <row r="154" spans="1:20">
      <c r="A154" t="str">
        <f>B154&amp;C154</f>
        <v>MalaysiaWorkshops</v>
      </c>
      <c r="B154" s="528" t="s">
        <v>177</v>
      </c>
      <c r="C154" s="528" t="s">
        <v>877</v>
      </c>
      <c r="T154" s="730"/>
    </row>
    <row r="155" spans="1:20">
      <c r="A155" t="str">
        <f>B155&amp;C155</f>
        <v>MaldivesWorkshops</v>
      </c>
      <c r="B155" s="528" t="s">
        <v>375</v>
      </c>
      <c r="C155" s="528" t="s">
        <v>877</v>
      </c>
      <c r="T155" s="730"/>
    </row>
    <row r="156" spans="1:20">
      <c r="A156" t="str">
        <f>B156&amp;C156</f>
        <v>MaliWorkshops</v>
      </c>
      <c r="B156" s="528" t="s">
        <v>137</v>
      </c>
      <c r="C156" s="528" t="s">
        <v>877</v>
      </c>
      <c r="T156" s="730"/>
    </row>
    <row r="157" spans="1:20">
      <c r="A157" t="str">
        <f>B157&amp;C157</f>
        <v>MauritiusWorkshops</v>
      </c>
      <c r="B157" s="528" t="s">
        <v>150</v>
      </c>
      <c r="C157" s="528" t="s">
        <v>877</v>
      </c>
      <c r="T157" s="730"/>
    </row>
    <row r="158" spans="1:20">
      <c r="A158" t="str">
        <f>B158&amp;C158</f>
        <v>MexicoWorkshops</v>
      </c>
      <c r="B158" s="528" t="s">
        <v>761</v>
      </c>
      <c r="C158" s="528" t="s">
        <v>877</v>
      </c>
      <c r="T158" s="730"/>
    </row>
    <row r="159" spans="1:20">
      <c r="A159" t="str">
        <f>B159&amp;C159</f>
        <v>MoldovaWorkshops</v>
      </c>
      <c r="B159" s="528" t="s">
        <v>230</v>
      </c>
      <c r="C159" s="528" t="s">
        <v>877</v>
      </c>
      <c r="T159" s="730"/>
    </row>
    <row r="160" spans="1:20">
      <c r="A160" t="str">
        <f>B160&amp;C160</f>
        <v>MongoliaWorkshops</v>
      </c>
      <c r="B160" s="528" t="s">
        <v>178</v>
      </c>
      <c r="C160" s="528" t="s">
        <v>877</v>
      </c>
      <c r="T160" s="730"/>
    </row>
    <row r="161" spans="1:20">
      <c r="A161" t="str">
        <f>B161&amp;C161</f>
        <v>MoroccoWorkshops</v>
      </c>
      <c r="B161" s="528" t="s">
        <v>931</v>
      </c>
      <c r="C161" s="528" t="s">
        <v>877</v>
      </c>
      <c r="T161" s="730"/>
    </row>
    <row r="162" spans="1:20">
      <c r="A162" t="str">
        <f>B162&amp;C162</f>
        <v>MozambiqueWorkshops</v>
      </c>
      <c r="B162" s="528" t="s">
        <v>138</v>
      </c>
      <c r="C162" s="528" t="s">
        <v>877</v>
      </c>
      <c r="T162" s="730"/>
    </row>
    <row r="163" spans="1:20">
      <c r="A163" t="str">
        <f>B163&amp;C163</f>
        <v>MyanmarWorkshops</v>
      </c>
      <c r="B163" s="528" t="s">
        <v>932</v>
      </c>
      <c r="C163" s="528" t="s">
        <v>877</v>
      </c>
      <c r="T163" s="730"/>
    </row>
    <row r="164" spans="1:20">
      <c r="A164" t="str">
        <f>B164&amp;C164</f>
        <v>NepalWorkshops</v>
      </c>
      <c r="B164" s="528" t="s">
        <v>179</v>
      </c>
      <c r="C164" s="528" t="s">
        <v>877</v>
      </c>
      <c r="T164" s="730"/>
    </row>
    <row r="165" spans="1:20">
      <c r="A165" t="str">
        <f>B165&amp;C165</f>
        <v>NicaraguaWorkshops</v>
      </c>
      <c r="B165" s="528" t="s">
        <v>359</v>
      </c>
      <c r="C165" s="528" t="s">
        <v>877</v>
      </c>
      <c r="I165" s="709">
        <v>1</v>
      </c>
      <c r="J165" s="709">
        <v>1</v>
      </c>
      <c r="K165" s="709">
        <v>1</v>
      </c>
      <c r="L165" s="709">
        <v>1</v>
      </c>
      <c r="M165" s="709">
        <v>1</v>
      </c>
      <c r="N165" s="709">
        <v>1</v>
      </c>
      <c r="O165" s="709">
        <v>1</v>
      </c>
      <c r="P165" s="709">
        <v>1</v>
      </c>
      <c r="Q165" s="709">
        <v>1</v>
      </c>
      <c r="R165" s="709">
        <v>1</v>
      </c>
      <c r="S165" s="709">
        <v>1</v>
      </c>
      <c r="T165" s="730"/>
    </row>
    <row r="166" spans="1:20">
      <c r="A166" t="str">
        <f>B166&amp;C166</f>
        <v>NigerWorkshops</v>
      </c>
      <c r="B166" s="528" t="s">
        <v>139</v>
      </c>
      <c r="C166" s="528" t="s">
        <v>877</v>
      </c>
      <c r="T166" s="730"/>
    </row>
    <row r="167" spans="1:20">
      <c r="A167" t="str">
        <f>B167&amp;C167</f>
        <v>NigeriaWorkshops</v>
      </c>
      <c r="B167" s="528" t="s">
        <v>140</v>
      </c>
      <c r="C167" s="528" t="s">
        <v>877</v>
      </c>
      <c r="T167" s="730"/>
    </row>
    <row r="168" spans="1:20">
      <c r="A168" t="str">
        <f>B168&amp;C168</f>
        <v>OmanWorkshops</v>
      </c>
      <c r="B168" s="528" t="s">
        <v>933</v>
      </c>
      <c r="C168" s="528" t="s">
        <v>877</v>
      </c>
      <c r="T168" s="730"/>
    </row>
    <row r="169" spans="1:20">
      <c r="A169" t="str">
        <f>B169&amp;C169</f>
        <v>PanamaWorkshops</v>
      </c>
      <c r="B169" s="528" t="s">
        <v>180</v>
      </c>
      <c r="C169" s="528" t="s">
        <v>877</v>
      </c>
      <c r="T169" s="730"/>
    </row>
    <row r="170" spans="1:20">
      <c r="A170" t="str">
        <f>B170&amp;C170</f>
        <v>Papua New GuineaWorkshops</v>
      </c>
      <c r="B170" s="528" t="s">
        <v>181</v>
      </c>
      <c r="C170" s="528" t="s">
        <v>877</v>
      </c>
      <c r="T170" s="730"/>
    </row>
    <row r="171" spans="1:20">
      <c r="A171" t="str">
        <f>B171&amp;C171</f>
        <v>ParaguayWorkshops</v>
      </c>
      <c r="B171" s="528" t="s">
        <v>182</v>
      </c>
      <c r="C171" s="528" t="s">
        <v>877</v>
      </c>
      <c r="I171" s="709">
        <v>1</v>
      </c>
      <c r="J171" s="709">
        <v>1</v>
      </c>
      <c r="K171" s="709">
        <v>1</v>
      </c>
      <c r="L171" s="709">
        <v>1</v>
      </c>
      <c r="M171" s="709">
        <v>1</v>
      </c>
      <c r="N171" s="709">
        <v>1</v>
      </c>
      <c r="O171" s="709">
        <v>1</v>
      </c>
      <c r="P171" s="709">
        <v>1</v>
      </c>
      <c r="Q171" s="709">
        <v>1</v>
      </c>
      <c r="R171" s="709">
        <v>1</v>
      </c>
      <c r="S171" s="709">
        <v>1</v>
      </c>
      <c r="T171" s="730"/>
    </row>
    <row r="172" spans="1:20">
      <c r="A172" t="str">
        <f>B172&amp;C172</f>
        <v>PeruWorkshops</v>
      </c>
      <c r="B172" s="528" t="s">
        <v>360</v>
      </c>
      <c r="C172" s="528" t="s">
        <v>877</v>
      </c>
      <c r="T172" s="730"/>
    </row>
    <row r="173" spans="1:20">
      <c r="A173" t="str">
        <f>B173&amp;C173</f>
        <v>Republic of the CongoWorkshops</v>
      </c>
      <c r="B173" s="528" t="s">
        <v>934</v>
      </c>
      <c r="C173" s="528" t="s">
        <v>877</v>
      </c>
      <c r="T173" s="730"/>
    </row>
    <row r="174" spans="1:20">
      <c r="A174" t="str">
        <f>B174&amp;C174</f>
        <v>RwandaWorkshops</v>
      </c>
      <c r="B174" s="547" t="s">
        <v>953</v>
      </c>
      <c r="C174" s="528" t="s">
        <v>877</v>
      </c>
      <c r="T174" s="730"/>
    </row>
    <row r="175" spans="1:20">
      <c r="A175" t="str">
        <f>B175&amp;C175</f>
        <v>Saint Kitts &amp; NevisWorkshops</v>
      </c>
      <c r="B175" s="528" t="s">
        <v>361</v>
      </c>
      <c r="C175" s="528" t="s">
        <v>877</v>
      </c>
      <c r="T175" s="730"/>
    </row>
    <row r="176" spans="1:20">
      <c r="A176" t="str">
        <f>B176&amp;C176</f>
        <v>Saint LuciaWorkshops</v>
      </c>
      <c r="B176" s="528" t="s">
        <v>362</v>
      </c>
      <c r="C176" s="528" t="s">
        <v>877</v>
      </c>
      <c r="T176" s="730"/>
    </row>
    <row r="177" spans="1:20">
      <c r="A177" t="str">
        <f>B177&amp;C177</f>
        <v>Saint Vincent &amp; the GrenadinesWorkshops</v>
      </c>
      <c r="B177" s="528" t="s">
        <v>363</v>
      </c>
      <c r="C177" s="528" t="s">
        <v>877</v>
      </c>
      <c r="T177" s="730"/>
    </row>
    <row r="178" spans="1:20">
      <c r="A178" t="str">
        <f>B178&amp;C178</f>
        <v>SamoaWorkshops</v>
      </c>
      <c r="B178" s="528" t="s">
        <v>183</v>
      </c>
      <c r="C178" s="528" t="s">
        <v>877</v>
      </c>
      <c r="T178" s="730"/>
    </row>
    <row r="179" spans="1:20">
      <c r="A179" t="str">
        <f>B179&amp;C179</f>
        <v>Sao Tome &amp; PrincipeWorkshops</v>
      </c>
      <c r="B179" s="528" t="s">
        <v>364</v>
      </c>
      <c r="C179" s="528" t="s">
        <v>877</v>
      </c>
      <c r="T179" s="730"/>
    </row>
    <row r="180" spans="1:20">
      <c r="A180" t="str">
        <f>B180&amp;C180</f>
        <v>Saudi ArabiaWorkshops</v>
      </c>
      <c r="B180" s="528" t="s">
        <v>935</v>
      </c>
      <c r="C180" s="528" t="s">
        <v>877</v>
      </c>
      <c r="T180" s="730"/>
    </row>
    <row r="181" spans="1:20">
      <c r="A181" t="str">
        <f>B181&amp;C181</f>
        <v>SenegalWorkshops</v>
      </c>
      <c r="B181" s="528" t="s">
        <v>141</v>
      </c>
      <c r="C181" s="528" t="s">
        <v>877</v>
      </c>
      <c r="T181" s="730"/>
    </row>
    <row r="182" spans="1:20">
      <c r="A182" t="str">
        <f>B182&amp;C182</f>
        <v>SeychellesWorkshops</v>
      </c>
      <c r="B182" s="528" t="s">
        <v>151</v>
      </c>
      <c r="C182" s="528" t="s">
        <v>877</v>
      </c>
      <c r="T182" s="730"/>
    </row>
    <row r="183" spans="1:20">
      <c r="A183" t="str">
        <f>B183&amp;C183</f>
        <v>Sierra LeoneWorkshops</v>
      </c>
      <c r="B183" s="528" t="s">
        <v>936</v>
      </c>
      <c r="C183" s="528" t="s">
        <v>877</v>
      </c>
      <c r="T183" s="730"/>
    </row>
    <row r="184" spans="1:20">
      <c r="A184" t="str">
        <f>B184&amp;C184</f>
        <v>Solomon IslandsWorkshops</v>
      </c>
      <c r="B184" s="547" t="s">
        <v>950</v>
      </c>
      <c r="C184" s="528" t="s">
        <v>877</v>
      </c>
      <c r="T184" s="730"/>
    </row>
    <row r="185" spans="1:20">
      <c r="A185" t="str">
        <f>B185&amp;C185</f>
        <v>SomaliaWorkshops</v>
      </c>
      <c r="B185" s="528" t="s">
        <v>937</v>
      </c>
      <c r="C185" s="528" t="s">
        <v>877</v>
      </c>
      <c r="T185" s="730"/>
    </row>
    <row r="186" spans="1:20">
      <c r="A186" t="str">
        <f>B186&amp;C186</f>
        <v>South AfricaWorkshops</v>
      </c>
      <c r="B186" s="528" t="s">
        <v>0</v>
      </c>
      <c r="C186" s="528" t="s">
        <v>877</v>
      </c>
      <c r="T186" s="730"/>
    </row>
    <row r="187" spans="1:20">
      <c r="A187" t="str">
        <f>B187&amp;C187</f>
        <v>South SudanWorkshops</v>
      </c>
      <c r="B187" s="528" t="s">
        <v>938</v>
      </c>
      <c r="C187" s="528" t="s">
        <v>877</v>
      </c>
      <c r="T187" s="730"/>
    </row>
    <row r="188" spans="1:20">
      <c r="A188" t="str">
        <f>B188&amp;C188</f>
        <v>Sri LankaWorkshops</v>
      </c>
      <c r="B188" s="528" t="s">
        <v>374</v>
      </c>
      <c r="C188" s="528" t="s">
        <v>877</v>
      </c>
      <c r="T188" s="730"/>
    </row>
    <row r="189" spans="1:20">
      <c r="A189" t="str">
        <f>B189&amp;C189</f>
        <v>SurinameWorkshops</v>
      </c>
      <c r="B189" s="528" t="s">
        <v>365</v>
      </c>
      <c r="C189" s="528" t="s">
        <v>877</v>
      </c>
      <c r="T189" s="730"/>
    </row>
    <row r="190" spans="1:20">
      <c r="A190" t="str">
        <f>B190&amp;C190</f>
        <v>TanzaniaWorkshops</v>
      </c>
      <c r="B190" s="528" t="s">
        <v>143</v>
      </c>
      <c r="C190" s="528" t="s">
        <v>877</v>
      </c>
      <c r="T190" s="730"/>
    </row>
    <row r="191" spans="1:20">
      <c r="A191" t="str">
        <f>B191&amp;C191</f>
        <v>ThailandWorkshops</v>
      </c>
      <c r="B191" s="528" t="s">
        <v>185</v>
      </c>
      <c r="C191" s="528" t="s">
        <v>877</v>
      </c>
      <c r="T191" s="730"/>
    </row>
    <row r="192" spans="1:20">
      <c r="A192" t="str">
        <f>B192&amp;C192</f>
        <v>TogoWorkshops</v>
      </c>
      <c r="B192" s="528" t="s">
        <v>142</v>
      </c>
      <c r="C192" s="528" t="s">
        <v>877</v>
      </c>
      <c r="T192" s="730"/>
    </row>
    <row r="193" spans="1:20">
      <c r="A193" t="str">
        <f>B193&amp;C193</f>
        <v>Trinidad &amp; TobagoWorkshops</v>
      </c>
      <c r="B193" s="528" t="s">
        <v>366</v>
      </c>
      <c r="C193" s="528" t="s">
        <v>877</v>
      </c>
      <c r="T193" s="730"/>
    </row>
    <row r="194" spans="1:20">
      <c r="A194" t="str">
        <f>B194&amp;C194</f>
        <v>UgandaWorkshops</v>
      </c>
      <c r="B194" s="528" t="s">
        <v>144</v>
      </c>
      <c r="C194" s="528" t="s">
        <v>877</v>
      </c>
      <c r="T194" s="730"/>
    </row>
    <row r="195" spans="1:20">
      <c r="A195" t="str">
        <f>B195&amp;C195</f>
        <v>UkraineWorkshops</v>
      </c>
      <c r="B195" s="528" t="s">
        <v>186</v>
      </c>
      <c r="C195" s="528" t="s">
        <v>877</v>
      </c>
      <c r="T195" s="730"/>
    </row>
    <row r="196" spans="1:20">
      <c r="A196" t="str">
        <f>B196&amp;C196</f>
        <v>UruguayWorkshops</v>
      </c>
      <c r="B196" s="528" t="s">
        <v>187</v>
      </c>
      <c r="C196" s="528" t="s">
        <v>877</v>
      </c>
      <c r="T196" s="730"/>
    </row>
    <row r="197" spans="1:20">
      <c r="A197" t="str">
        <f>B197&amp;C197</f>
        <v>VenezuelaWorkshops</v>
      </c>
      <c r="B197" s="528" t="s">
        <v>188</v>
      </c>
      <c r="C197" s="528" t="s">
        <v>877</v>
      </c>
      <c r="T197" s="730"/>
    </row>
    <row r="198" spans="1:20">
      <c r="A198" t="str">
        <f>B198&amp;C198</f>
        <v>ZambiaWorkshops</v>
      </c>
      <c r="B198" s="528" t="s">
        <v>124</v>
      </c>
      <c r="C198" s="528" t="s">
        <v>877</v>
      </c>
      <c r="T198" s="730"/>
    </row>
    <row r="199" spans="1:20">
      <c r="A199" t="str">
        <f>B199&amp;C199</f>
        <v>ZimbabweWorkshops</v>
      </c>
      <c r="B199" s="528" t="s">
        <v>125</v>
      </c>
      <c r="C199" s="528" t="s">
        <v>877</v>
      </c>
      <c r="T199" s="730"/>
    </row>
    <row r="200" spans="1:20">
      <c r="T200" s="730"/>
    </row>
    <row r="201" spans="1:20">
      <c r="T201" s="730"/>
    </row>
    <row r="202" spans="1:20">
      <c r="T202" s="730"/>
    </row>
    <row r="203" spans="1:20">
      <c r="T203" s="730"/>
    </row>
    <row r="204" spans="1:20">
      <c r="T204" s="730"/>
    </row>
    <row r="205" spans="1:20">
      <c r="T205" s="730"/>
    </row>
    <row r="206" spans="1:20">
      <c r="T206" s="730"/>
    </row>
    <row r="207" spans="1:20">
      <c r="T207" s="730"/>
    </row>
    <row r="208" spans="1:20">
      <c r="T208" s="730"/>
    </row>
    <row r="209" spans="20:20">
      <c r="T209" s="730"/>
    </row>
    <row r="210" spans="20:20">
      <c r="T210" s="730"/>
    </row>
    <row r="211" spans="20:20">
      <c r="T211" s="730"/>
    </row>
    <row r="212" spans="20:20">
      <c r="T212" s="730"/>
    </row>
    <row r="213" spans="20:20">
      <c r="T213" s="730"/>
    </row>
    <row r="214" spans="20:20">
      <c r="T214" s="730"/>
    </row>
    <row r="215" spans="20:20">
      <c r="T215" s="730"/>
    </row>
    <row r="216" spans="20:20">
      <c r="T216" s="730"/>
    </row>
    <row r="217" spans="20:20">
      <c r="T217" s="730"/>
    </row>
    <row r="218" spans="20:20">
      <c r="T218" s="730"/>
    </row>
    <row r="219" spans="20:20">
      <c r="T219" s="730"/>
    </row>
    <row r="220" spans="20:20">
      <c r="T220" s="730"/>
    </row>
  </sheetData>
  <sortState xmlns:xlrd2="http://schemas.microsoft.com/office/spreadsheetml/2017/richdata2" ref="A2:V220">
    <sortCondition ref="C2:C220"/>
    <sortCondition ref="B2:B220"/>
  </sortState>
  <customSheetViews>
    <customSheetView guid="{8967CA62-3554-8A40-ACFF-3515F2B518C8}" scale="75" topLeftCell="A105">
      <selection activeCell="I148" sqref="I148:S148"/>
      <pageMargins left="0.7" right="0.7" top="0.75" bottom="0.75" header="0.3" footer="0.3"/>
    </customSheetView>
    <customSheetView guid="{EB877D66-0749-4C48-89AA-FFA94A34014C}" scale="75" state="hidden" topLeftCell="A105">
      <selection activeCell="N48" sqref="N48"/>
      <pageMargins left="0.7" right="0.7" top="0.75" bottom="0.75" header="0.3" footer="0.3"/>
    </customSheetView>
  </customSheetView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U298"/>
  <sheetViews>
    <sheetView topLeftCell="A108" zoomScale="81" workbookViewId="0">
      <selection activeCell="D153" sqref="D153:S153"/>
    </sheetView>
  </sheetViews>
  <sheetFormatPr baseColWidth="10" defaultRowHeight="16"/>
  <cols>
    <col min="1" max="1" width="8.5" style="48" customWidth="1"/>
    <col min="2" max="2" width="16.83203125" style="547" customWidth="1"/>
    <col min="3" max="3" width="20.83203125" style="547" customWidth="1"/>
  </cols>
  <sheetData>
    <row r="1" spans="1:21" s="545" customFormat="1">
      <c r="A1" s="545" t="s">
        <v>875</v>
      </c>
      <c r="B1" s="545" t="s">
        <v>871</v>
      </c>
      <c r="C1" s="545" t="s">
        <v>872</v>
      </c>
      <c r="D1" s="546">
        <v>2003</v>
      </c>
      <c r="E1" s="546">
        <v>2004</v>
      </c>
      <c r="F1" s="546">
        <v>2005</v>
      </c>
      <c r="G1" s="546">
        <v>2006</v>
      </c>
      <c r="H1" s="546">
        <v>2007</v>
      </c>
      <c r="I1" s="546">
        <v>2008</v>
      </c>
      <c r="J1" s="546">
        <v>2009</v>
      </c>
      <c r="K1" s="546">
        <v>2010</v>
      </c>
      <c r="L1" s="546">
        <v>2011</v>
      </c>
      <c r="M1" s="546">
        <v>2012</v>
      </c>
      <c r="N1" s="546">
        <v>2013</v>
      </c>
      <c r="O1" s="546">
        <v>2014</v>
      </c>
      <c r="P1" s="546">
        <v>2015</v>
      </c>
      <c r="Q1" s="546">
        <v>2016</v>
      </c>
      <c r="R1" s="546">
        <v>2017</v>
      </c>
      <c r="S1" s="546">
        <v>2018</v>
      </c>
      <c r="T1" s="546">
        <v>2019</v>
      </c>
      <c r="U1" s="545">
        <v>2020</v>
      </c>
    </row>
    <row r="2" spans="1:21">
      <c r="A2" s="528" t="str">
        <f>B2&amp;C2</f>
        <v>AfghanistanRegional mean</v>
      </c>
      <c r="B2" s="544" t="s">
        <v>928</v>
      </c>
      <c r="C2" s="528" t="s">
        <v>889</v>
      </c>
      <c r="D2">
        <v>17.3</v>
      </c>
      <c r="E2">
        <v>17.3</v>
      </c>
      <c r="F2">
        <v>17.3</v>
      </c>
      <c r="G2">
        <v>17.3</v>
      </c>
      <c r="H2">
        <v>17.3</v>
      </c>
      <c r="I2">
        <v>17.3</v>
      </c>
      <c r="J2">
        <v>17.3</v>
      </c>
      <c r="K2">
        <v>17.3</v>
      </c>
      <c r="L2">
        <v>17.3</v>
      </c>
      <c r="M2">
        <v>17.3</v>
      </c>
      <c r="N2">
        <v>17.3</v>
      </c>
      <c r="O2">
        <v>17.3</v>
      </c>
      <c r="P2">
        <v>17.3</v>
      </c>
      <c r="Q2">
        <v>17.3</v>
      </c>
      <c r="R2">
        <v>17.3</v>
      </c>
      <c r="S2">
        <v>17.3</v>
      </c>
      <c r="T2">
        <v>17.3</v>
      </c>
    </row>
    <row r="3" spans="1:21">
      <c r="A3" s="528" t="str">
        <f>B3&amp;C3</f>
        <v>AngolaRegional mean</v>
      </c>
      <c r="B3" s="544" t="s">
        <v>929</v>
      </c>
      <c r="C3" s="528" t="s">
        <v>889</v>
      </c>
      <c r="D3">
        <v>20.606999999999999</v>
      </c>
      <c r="E3">
        <v>20.606999999999999</v>
      </c>
      <c r="F3">
        <v>20.606999999999999</v>
      </c>
      <c r="G3">
        <v>20.606999999999999</v>
      </c>
      <c r="H3">
        <v>20.606999999999999</v>
      </c>
      <c r="I3">
        <v>20.606999999999999</v>
      </c>
      <c r="J3">
        <v>20.606999999999999</v>
      </c>
      <c r="K3">
        <v>20.606999999999999</v>
      </c>
      <c r="L3">
        <v>20.606999999999999</v>
      </c>
      <c r="M3">
        <v>20.606999999999999</v>
      </c>
      <c r="N3">
        <v>20.606999999999999</v>
      </c>
      <c r="O3">
        <v>20.606999999999999</v>
      </c>
      <c r="P3">
        <v>20.606999999999999</v>
      </c>
      <c r="Q3">
        <v>20.606999999999999</v>
      </c>
      <c r="R3">
        <v>20.606999999999999</v>
      </c>
      <c r="S3">
        <v>20.606999999999999</v>
      </c>
      <c r="T3">
        <v>20.606999999999999</v>
      </c>
    </row>
    <row r="4" spans="1:21">
      <c r="A4" s="48" t="str">
        <f>B4&amp;C4</f>
        <v>Antigua &amp; BarbudaRegional mean</v>
      </c>
      <c r="B4" s="547" t="s">
        <v>343</v>
      </c>
      <c r="C4" s="547" t="s">
        <v>889</v>
      </c>
      <c r="D4">
        <v>17.038499999999999</v>
      </c>
      <c r="E4">
        <v>17.038499999999999</v>
      </c>
      <c r="F4">
        <v>17.038499999999999</v>
      </c>
      <c r="G4">
        <v>17.038499999999999</v>
      </c>
      <c r="H4">
        <v>17.038499999999999</v>
      </c>
      <c r="I4">
        <v>17.038499999999999</v>
      </c>
      <c r="J4">
        <v>17.038499999999999</v>
      </c>
      <c r="K4">
        <v>17.038499999999999</v>
      </c>
      <c r="L4">
        <v>17.038499999999999</v>
      </c>
      <c r="M4">
        <v>17.038499999999999</v>
      </c>
      <c r="N4">
        <v>17.038499999999999</v>
      </c>
      <c r="O4">
        <v>17.038499999999999</v>
      </c>
      <c r="P4">
        <v>17.038499999999999</v>
      </c>
      <c r="Q4">
        <v>17.038499999999999</v>
      </c>
      <c r="R4">
        <v>17.038499999999999</v>
      </c>
      <c r="S4">
        <v>17.038499999999999</v>
      </c>
      <c r="T4">
        <v>17.038499999999999</v>
      </c>
    </row>
    <row r="5" spans="1:21">
      <c r="A5" s="48" t="str">
        <f>B5&amp;C5</f>
        <v>ArgentinaRegional mean</v>
      </c>
      <c r="B5" s="547" t="s">
        <v>344</v>
      </c>
      <c r="C5" s="547" t="s">
        <v>889</v>
      </c>
      <c r="D5">
        <v>17.038499999999999</v>
      </c>
      <c r="E5">
        <v>17.038499999999999</v>
      </c>
      <c r="F5">
        <v>17.038499999999999</v>
      </c>
      <c r="G5">
        <v>17.038499999999999</v>
      </c>
      <c r="H5">
        <v>17.038499999999999</v>
      </c>
      <c r="I5">
        <v>17.038499999999999</v>
      </c>
      <c r="J5">
        <v>17.038499999999999</v>
      </c>
      <c r="K5">
        <v>17.038499999999999</v>
      </c>
      <c r="L5">
        <v>17.038499999999999</v>
      </c>
      <c r="M5">
        <v>17.038499999999999</v>
      </c>
      <c r="N5">
        <v>17.038499999999999</v>
      </c>
      <c r="O5">
        <v>17.038499999999999</v>
      </c>
      <c r="P5">
        <v>17.038499999999999</v>
      </c>
      <c r="Q5">
        <v>17.038499999999999</v>
      </c>
      <c r="R5">
        <v>17.038499999999999</v>
      </c>
      <c r="S5">
        <v>17.038499999999999</v>
      </c>
      <c r="T5">
        <v>17.038499999999999</v>
      </c>
    </row>
    <row r="6" spans="1:21">
      <c r="A6" s="48" t="str">
        <f>B6&amp;C6</f>
        <v>BahamasRegional mean</v>
      </c>
      <c r="B6" s="547" t="s">
        <v>345</v>
      </c>
      <c r="C6" s="547" t="s">
        <v>889</v>
      </c>
      <c r="D6">
        <v>17.038499999999999</v>
      </c>
      <c r="E6">
        <v>17.038499999999999</v>
      </c>
      <c r="F6">
        <v>17.038499999999999</v>
      </c>
      <c r="G6">
        <v>17.038499999999999</v>
      </c>
      <c r="H6">
        <v>17.038499999999999</v>
      </c>
      <c r="I6">
        <v>17.038499999999999</v>
      </c>
      <c r="J6">
        <v>17.038499999999999</v>
      </c>
      <c r="K6">
        <v>17.038499999999999</v>
      </c>
      <c r="L6">
        <v>17.038499999999999</v>
      </c>
      <c r="M6">
        <v>17.038499999999999</v>
      </c>
      <c r="N6">
        <v>17.038499999999999</v>
      </c>
      <c r="O6">
        <v>17.038499999999999</v>
      </c>
      <c r="P6">
        <v>17.038499999999999</v>
      </c>
      <c r="Q6">
        <v>17.038499999999999</v>
      </c>
      <c r="R6">
        <v>17.038499999999999</v>
      </c>
      <c r="S6">
        <v>17.038499999999999</v>
      </c>
      <c r="T6">
        <v>17.038499999999999</v>
      </c>
    </row>
    <row r="7" spans="1:21">
      <c r="A7" s="48" t="str">
        <f>B7&amp;C7</f>
        <v>BangladeshRegional mean</v>
      </c>
      <c r="B7" s="547" t="s">
        <v>865</v>
      </c>
      <c r="C7" s="547" t="s">
        <v>889</v>
      </c>
      <c r="D7">
        <v>19.477499999999999</v>
      </c>
      <c r="E7">
        <v>19.477499999999999</v>
      </c>
      <c r="F7">
        <v>19.477499999999999</v>
      </c>
      <c r="G7">
        <v>19.477499999999999</v>
      </c>
      <c r="H7">
        <v>19.477499999999999</v>
      </c>
      <c r="I7">
        <v>19.477499999999999</v>
      </c>
      <c r="J7">
        <v>19.477499999999999</v>
      </c>
      <c r="K7">
        <v>19.477499999999999</v>
      </c>
      <c r="L7">
        <v>19.477499999999999</v>
      </c>
      <c r="M7">
        <v>19.477499999999999</v>
      </c>
      <c r="N7">
        <v>19.477499999999999</v>
      </c>
      <c r="O7">
        <v>19.477499999999999</v>
      </c>
      <c r="P7">
        <v>19.477499999999999</v>
      </c>
      <c r="Q7">
        <v>19.477499999999999</v>
      </c>
      <c r="R7">
        <v>19.477499999999999</v>
      </c>
      <c r="S7">
        <v>19.477499999999999</v>
      </c>
      <c r="T7">
        <v>19.477499999999999</v>
      </c>
    </row>
    <row r="8" spans="1:21">
      <c r="A8" s="48" t="str">
        <f>B8&amp;C8</f>
        <v>BarbadosRegional mean</v>
      </c>
      <c r="B8" s="547" t="s">
        <v>346</v>
      </c>
      <c r="C8" s="547" t="s">
        <v>889</v>
      </c>
      <c r="D8">
        <v>17.038499999999999</v>
      </c>
      <c r="E8">
        <v>17.038499999999999</v>
      </c>
      <c r="F8">
        <v>17.038499999999999</v>
      </c>
      <c r="G8">
        <v>17.038499999999999</v>
      </c>
      <c r="H8">
        <v>17.038499999999999</v>
      </c>
      <c r="I8">
        <v>17.038499999999999</v>
      </c>
      <c r="J8">
        <v>17.038499999999999</v>
      </c>
      <c r="K8">
        <v>17.038499999999999</v>
      </c>
      <c r="L8">
        <v>17.038499999999999</v>
      </c>
      <c r="M8">
        <v>17.038499999999999</v>
      </c>
      <c r="N8">
        <v>17.038499999999999</v>
      </c>
      <c r="O8">
        <v>17.038499999999999</v>
      </c>
      <c r="P8">
        <v>17.038499999999999</v>
      </c>
      <c r="Q8">
        <v>17.038499999999999</v>
      </c>
      <c r="R8">
        <v>17.038499999999999</v>
      </c>
      <c r="S8">
        <v>17.038499999999999</v>
      </c>
      <c r="T8">
        <v>17.038499999999999</v>
      </c>
    </row>
    <row r="9" spans="1:21">
      <c r="A9" s="48" t="str">
        <f>B9&amp;C9</f>
        <v>BelarusRegional mean</v>
      </c>
      <c r="B9" s="547" t="s">
        <v>166</v>
      </c>
      <c r="C9" s="547" t="s">
        <v>889</v>
      </c>
      <c r="D9">
        <v>13.879999999999999</v>
      </c>
      <c r="E9">
        <v>13.879999999999999</v>
      </c>
      <c r="F9">
        <v>13.879999999999999</v>
      </c>
      <c r="G9">
        <v>13.879999999999999</v>
      </c>
      <c r="H9">
        <v>13.879999999999999</v>
      </c>
      <c r="I9">
        <v>13.879999999999999</v>
      </c>
      <c r="J9">
        <v>13.879999999999999</v>
      </c>
      <c r="K9">
        <v>13.879999999999999</v>
      </c>
      <c r="L9">
        <v>13.879999999999999</v>
      </c>
      <c r="M9">
        <v>13.879999999999999</v>
      </c>
      <c r="N9">
        <v>13.879999999999999</v>
      </c>
      <c r="O9">
        <v>13.879999999999999</v>
      </c>
      <c r="P9">
        <v>13.879999999999999</v>
      </c>
      <c r="Q9">
        <v>13.879999999999999</v>
      </c>
      <c r="R9">
        <v>13.879999999999999</v>
      </c>
      <c r="S9">
        <v>13.879999999999999</v>
      </c>
      <c r="T9">
        <v>13.879999999999999</v>
      </c>
    </row>
    <row r="10" spans="1:21">
      <c r="A10" s="48" t="str">
        <f>B10&amp;C10</f>
        <v>BelizeRegional mean</v>
      </c>
      <c r="B10" s="547" t="s">
        <v>368</v>
      </c>
      <c r="C10" s="547" t="s">
        <v>889</v>
      </c>
      <c r="D10">
        <v>17.038499999999999</v>
      </c>
      <c r="E10">
        <v>17.038499999999999</v>
      </c>
      <c r="F10">
        <v>17.038499999999999</v>
      </c>
      <c r="G10">
        <v>17.038499999999999</v>
      </c>
      <c r="H10">
        <v>17.038499999999999</v>
      </c>
      <c r="I10">
        <v>17.038499999999999</v>
      </c>
      <c r="J10">
        <v>17.038499999999999</v>
      </c>
      <c r="K10">
        <v>17.038499999999999</v>
      </c>
      <c r="L10">
        <v>17.038499999999999</v>
      </c>
      <c r="M10">
        <v>17.038499999999999</v>
      </c>
      <c r="N10">
        <v>17.038499999999999</v>
      </c>
      <c r="O10">
        <v>17.038499999999999</v>
      </c>
      <c r="P10">
        <v>17.038499999999999</v>
      </c>
      <c r="Q10">
        <v>17.038499999999999</v>
      </c>
      <c r="R10">
        <v>17.038499999999999</v>
      </c>
      <c r="S10">
        <v>17.038499999999999</v>
      </c>
      <c r="T10">
        <v>17.038499999999999</v>
      </c>
    </row>
    <row r="11" spans="1:21">
      <c r="A11" s="48" t="str">
        <f>B11&amp;C11</f>
        <v>BeninRegional mean</v>
      </c>
      <c r="B11" s="547" t="s">
        <v>126</v>
      </c>
      <c r="C11" s="547" t="s">
        <v>889</v>
      </c>
      <c r="D11">
        <v>20.606999999999999</v>
      </c>
      <c r="E11">
        <v>20.606999999999999</v>
      </c>
      <c r="F11">
        <v>20.606999999999999</v>
      </c>
      <c r="G11">
        <v>20.606999999999999</v>
      </c>
      <c r="H11">
        <v>20.606999999999999</v>
      </c>
      <c r="I11">
        <v>20.606999999999999</v>
      </c>
      <c r="J11">
        <v>20.606999999999999</v>
      </c>
      <c r="K11">
        <v>20.606999999999999</v>
      </c>
      <c r="L11">
        <v>20.606999999999999</v>
      </c>
      <c r="M11">
        <v>20.606999999999999</v>
      </c>
      <c r="N11">
        <v>20.606999999999999</v>
      </c>
      <c r="O11">
        <v>20.606999999999999</v>
      </c>
      <c r="P11">
        <v>20.606999999999999</v>
      </c>
      <c r="Q11">
        <v>20.606999999999999</v>
      </c>
      <c r="R11">
        <v>20.606999999999999</v>
      </c>
      <c r="S11">
        <v>20.606999999999999</v>
      </c>
      <c r="T11">
        <v>20.606999999999999</v>
      </c>
    </row>
    <row r="12" spans="1:21">
      <c r="A12" s="547" t="str">
        <f>B12&amp;C12</f>
        <v>BhutanRegional mean</v>
      </c>
      <c r="B12" s="547" t="s">
        <v>951</v>
      </c>
      <c r="C12" s="547" t="s">
        <v>889</v>
      </c>
      <c r="D12">
        <v>19.477499999999999</v>
      </c>
      <c r="E12">
        <v>19.477499999999999</v>
      </c>
      <c r="F12">
        <v>19.477499999999999</v>
      </c>
      <c r="G12">
        <v>19.477499999999999</v>
      </c>
      <c r="H12">
        <v>19.477499999999999</v>
      </c>
      <c r="I12">
        <v>19.477499999999999</v>
      </c>
      <c r="J12">
        <v>19.477499999999999</v>
      </c>
      <c r="K12">
        <v>19.477499999999999</v>
      </c>
      <c r="L12">
        <v>19.477499999999999</v>
      </c>
      <c r="M12">
        <v>19.477499999999999</v>
      </c>
      <c r="N12">
        <v>19.477499999999999</v>
      </c>
      <c r="O12">
        <v>19.477499999999999</v>
      </c>
      <c r="P12">
        <v>19.477499999999999</v>
      </c>
      <c r="Q12">
        <v>19.477499999999999</v>
      </c>
      <c r="R12">
        <v>19.477499999999999</v>
      </c>
      <c r="S12">
        <v>19.477499999999999</v>
      </c>
      <c r="T12">
        <v>19.477499999999999</v>
      </c>
    </row>
    <row r="13" spans="1:21">
      <c r="A13" s="48" t="str">
        <f>B13&amp;C13</f>
        <v>BoliviaRegional mean</v>
      </c>
      <c r="B13" s="547" t="s">
        <v>798</v>
      </c>
      <c r="C13" s="547" t="s">
        <v>889</v>
      </c>
      <c r="D13">
        <v>17.038499999999999</v>
      </c>
      <c r="E13">
        <v>17.038499999999999</v>
      </c>
      <c r="F13">
        <v>17.038499999999999</v>
      </c>
      <c r="G13">
        <v>17.038499999999999</v>
      </c>
      <c r="H13">
        <v>17.038499999999999</v>
      </c>
      <c r="I13">
        <v>17.038499999999999</v>
      </c>
      <c r="J13">
        <v>17.038499999999999</v>
      </c>
      <c r="K13">
        <v>17.038499999999999</v>
      </c>
      <c r="L13">
        <v>17.038499999999999</v>
      </c>
      <c r="M13">
        <v>17.038499999999999</v>
      </c>
      <c r="N13">
        <v>17.038499999999999</v>
      </c>
      <c r="O13">
        <v>17.038499999999999</v>
      </c>
      <c r="P13">
        <v>17.038499999999999</v>
      </c>
      <c r="Q13">
        <v>17.038499999999999</v>
      </c>
      <c r="R13">
        <v>17.038499999999999</v>
      </c>
      <c r="S13">
        <v>17.038499999999999</v>
      </c>
      <c r="T13">
        <v>17.038499999999999</v>
      </c>
    </row>
    <row r="14" spans="1:21">
      <c r="A14" s="48" t="str">
        <f>B14&amp;C14</f>
        <v>BotswanaRegional mean</v>
      </c>
      <c r="B14" s="547" t="s">
        <v>834</v>
      </c>
      <c r="C14" s="547" t="s">
        <v>889</v>
      </c>
      <c r="D14">
        <v>20.606999999999999</v>
      </c>
      <c r="E14">
        <v>20.606999999999999</v>
      </c>
      <c r="F14">
        <v>20.606999999999999</v>
      </c>
      <c r="G14">
        <v>20.606999999999999</v>
      </c>
      <c r="H14">
        <v>20.606999999999999</v>
      </c>
      <c r="I14">
        <v>20.606999999999999</v>
      </c>
      <c r="J14">
        <v>20.606999999999999</v>
      </c>
      <c r="K14">
        <v>20.606999999999999</v>
      </c>
      <c r="L14">
        <v>20.606999999999999</v>
      </c>
      <c r="M14">
        <v>20.606999999999999</v>
      </c>
      <c r="N14">
        <v>20.606999999999999</v>
      </c>
      <c r="O14">
        <v>20.606999999999999</v>
      </c>
      <c r="P14">
        <v>20.606999999999999</v>
      </c>
      <c r="Q14">
        <v>20.606999999999999</v>
      </c>
      <c r="R14">
        <v>20.606999999999999</v>
      </c>
      <c r="S14">
        <v>20.606999999999999</v>
      </c>
      <c r="T14">
        <v>20.606999999999999</v>
      </c>
    </row>
    <row r="15" spans="1:21">
      <c r="A15" s="48" t="str">
        <f>B15&amp;C15</f>
        <v>BrazilRegional mean</v>
      </c>
      <c r="B15" s="547" t="s">
        <v>167</v>
      </c>
      <c r="C15" s="547" t="s">
        <v>889</v>
      </c>
      <c r="D15">
        <v>17.038499999999999</v>
      </c>
      <c r="E15">
        <v>17.038499999999999</v>
      </c>
      <c r="F15">
        <v>17.038499999999999</v>
      </c>
      <c r="G15">
        <v>17.038499999999999</v>
      </c>
      <c r="H15">
        <v>17.038499999999999</v>
      </c>
      <c r="I15">
        <v>17.038499999999999</v>
      </c>
      <c r="J15">
        <v>17.038499999999999</v>
      </c>
      <c r="K15">
        <v>17.038499999999999</v>
      </c>
      <c r="L15">
        <v>17.038499999999999</v>
      </c>
      <c r="M15">
        <v>17.038499999999999</v>
      </c>
      <c r="N15">
        <v>17.038499999999999</v>
      </c>
      <c r="O15">
        <v>17.038499999999999</v>
      </c>
      <c r="P15">
        <v>17.038499999999999</v>
      </c>
      <c r="Q15">
        <v>17.038499999999999</v>
      </c>
      <c r="R15">
        <v>17.038499999999999</v>
      </c>
      <c r="S15">
        <v>17.038499999999999</v>
      </c>
      <c r="T15">
        <v>17.038499999999999</v>
      </c>
    </row>
    <row r="16" spans="1:21">
      <c r="A16" s="547" t="str">
        <f>B16&amp;C16</f>
        <v>BruneiRegional mean</v>
      </c>
      <c r="B16" s="547" t="s">
        <v>952</v>
      </c>
      <c r="C16" s="547" t="s">
        <v>889</v>
      </c>
      <c r="D16">
        <v>16.61</v>
      </c>
      <c r="E16">
        <v>16.61</v>
      </c>
      <c r="F16">
        <v>16.61</v>
      </c>
      <c r="G16">
        <v>16.61</v>
      </c>
      <c r="H16">
        <v>16.61</v>
      </c>
      <c r="I16">
        <v>16.61</v>
      </c>
      <c r="J16">
        <v>16.61</v>
      </c>
      <c r="K16">
        <v>16.61</v>
      </c>
      <c r="L16">
        <v>16.61</v>
      </c>
      <c r="M16">
        <v>16.61</v>
      </c>
      <c r="N16">
        <v>16.61</v>
      </c>
      <c r="O16">
        <v>16.61</v>
      </c>
      <c r="P16">
        <v>16.61</v>
      </c>
      <c r="Q16">
        <v>16.61</v>
      </c>
      <c r="R16">
        <v>16.61</v>
      </c>
      <c r="S16">
        <v>16.61</v>
      </c>
      <c r="T16">
        <v>16.61</v>
      </c>
    </row>
    <row r="17" spans="1:20">
      <c r="A17" s="48" t="str">
        <f>B17&amp;C17</f>
        <v>Burkina FasoRegional mean</v>
      </c>
      <c r="B17" s="547" t="s">
        <v>168</v>
      </c>
      <c r="C17" s="547" t="s">
        <v>889</v>
      </c>
      <c r="D17">
        <v>20.606999999999999</v>
      </c>
      <c r="E17">
        <v>20.606999999999999</v>
      </c>
      <c r="F17">
        <v>20.606999999999999</v>
      </c>
      <c r="G17">
        <v>20.606999999999999</v>
      </c>
      <c r="H17">
        <v>20.606999999999999</v>
      </c>
      <c r="I17">
        <v>20.606999999999999</v>
      </c>
      <c r="J17">
        <v>20.606999999999999</v>
      </c>
      <c r="K17">
        <v>20.606999999999999</v>
      </c>
      <c r="L17">
        <v>20.606999999999999</v>
      </c>
      <c r="M17">
        <v>20.606999999999999</v>
      </c>
      <c r="N17">
        <v>20.606999999999999</v>
      </c>
      <c r="O17">
        <v>20.606999999999999</v>
      </c>
      <c r="P17">
        <v>20.606999999999999</v>
      </c>
      <c r="Q17">
        <v>20.606999999999999</v>
      </c>
      <c r="R17">
        <v>20.606999999999999</v>
      </c>
      <c r="S17">
        <v>20.606999999999999</v>
      </c>
      <c r="T17">
        <v>20.606999999999999</v>
      </c>
    </row>
    <row r="18" spans="1:20">
      <c r="A18" s="48" t="str">
        <f>B18&amp;C18</f>
        <v>BurundiRegional mean</v>
      </c>
      <c r="B18" s="547" t="s">
        <v>165</v>
      </c>
      <c r="C18" s="547" t="s">
        <v>889</v>
      </c>
      <c r="D18">
        <v>20.606999999999999</v>
      </c>
      <c r="E18">
        <v>20.606999999999999</v>
      </c>
      <c r="F18">
        <v>20.606999999999999</v>
      </c>
      <c r="G18">
        <v>20.606999999999999</v>
      </c>
      <c r="H18">
        <v>20.606999999999999</v>
      </c>
      <c r="I18">
        <v>20.606999999999999</v>
      </c>
      <c r="J18">
        <v>20.606999999999999</v>
      </c>
      <c r="K18">
        <v>20.606999999999999</v>
      </c>
      <c r="L18">
        <v>20.606999999999999</v>
      </c>
      <c r="M18">
        <v>20.606999999999999</v>
      </c>
      <c r="N18">
        <v>20.606999999999999</v>
      </c>
      <c r="O18">
        <v>20.606999999999999</v>
      </c>
      <c r="P18">
        <v>20.606999999999999</v>
      </c>
      <c r="Q18">
        <v>20.606999999999999</v>
      </c>
      <c r="R18">
        <v>20.606999999999999</v>
      </c>
      <c r="S18">
        <v>20.606999999999999</v>
      </c>
      <c r="T18">
        <v>20.606999999999999</v>
      </c>
    </row>
    <row r="19" spans="1:20">
      <c r="A19" s="48" t="str">
        <f>B19&amp;C19</f>
        <v>Cabo VerdeRegional mean</v>
      </c>
      <c r="B19" s="547" t="s">
        <v>149</v>
      </c>
      <c r="C19" s="547" t="s">
        <v>889</v>
      </c>
      <c r="D19">
        <v>20.606999999999999</v>
      </c>
      <c r="E19">
        <v>20.606999999999999</v>
      </c>
      <c r="F19">
        <v>20.606999999999999</v>
      </c>
      <c r="G19">
        <v>20.606999999999999</v>
      </c>
      <c r="H19">
        <v>20.606999999999999</v>
      </c>
      <c r="I19">
        <v>20.606999999999999</v>
      </c>
      <c r="J19">
        <v>20.606999999999999</v>
      </c>
      <c r="K19">
        <v>20.606999999999999</v>
      </c>
      <c r="L19">
        <v>20.606999999999999</v>
      </c>
      <c r="M19">
        <v>20.606999999999999</v>
      </c>
      <c r="N19">
        <v>20.606999999999999</v>
      </c>
      <c r="O19">
        <v>20.606999999999999</v>
      </c>
      <c r="P19">
        <v>20.606999999999999</v>
      </c>
      <c r="Q19">
        <v>20.606999999999999</v>
      </c>
      <c r="R19">
        <v>20.606999999999999</v>
      </c>
      <c r="S19">
        <v>20.606999999999999</v>
      </c>
      <c r="T19">
        <v>20.606999999999999</v>
      </c>
    </row>
    <row r="20" spans="1:20">
      <c r="A20" s="48" t="str">
        <f>B20&amp;C20</f>
        <v>CambodiaRegional mean</v>
      </c>
      <c r="B20" s="547" t="s">
        <v>169</v>
      </c>
      <c r="C20" s="547" t="s">
        <v>889</v>
      </c>
      <c r="D20">
        <v>16.61</v>
      </c>
      <c r="E20">
        <v>16.61</v>
      </c>
      <c r="F20">
        <v>16.61</v>
      </c>
      <c r="G20">
        <v>16.61</v>
      </c>
      <c r="H20">
        <v>16.61</v>
      </c>
      <c r="I20">
        <v>16.61</v>
      </c>
      <c r="J20">
        <v>16.61</v>
      </c>
      <c r="K20">
        <v>16.61</v>
      </c>
      <c r="L20">
        <v>16.61</v>
      </c>
      <c r="M20">
        <v>16.61</v>
      </c>
      <c r="N20">
        <v>16.61</v>
      </c>
      <c r="O20">
        <v>16.61</v>
      </c>
      <c r="P20">
        <v>16.61</v>
      </c>
      <c r="Q20">
        <v>16.61</v>
      </c>
      <c r="R20">
        <v>16.61</v>
      </c>
      <c r="S20">
        <v>16.61</v>
      </c>
      <c r="T20">
        <v>16.61</v>
      </c>
    </row>
    <row r="21" spans="1:20">
      <c r="A21" s="48" t="str">
        <f>B21&amp;C21</f>
        <v>Central African RepublicRegional mean</v>
      </c>
      <c r="B21" s="547" t="s">
        <v>153</v>
      </c>
      <c r="C21" s="547" t="s">
        <v>889</v>
      </c>
      <c r="D21" s="813">
        <v>20.606999999999999</v>
      </c>
      <c r="E21" s="813">
        <v>20.606999999999999</v>
      </c>
      <c r="F21" s="813">
        <v>20.606999999999999</v>
      </c>
      <c r="G21" s="813">
        <v>20.606999999999999</v>
      </c>
      <c r="H21" s="813">
        <v>20.606999999999999</v>
      </c>
      <c r="I21" s="813">
        <v>20.606999999999999</v>
      </c>
      <c r="J21" s="813">
        <v>20.606999999999999</v>
      </c>
      <c r="K21" s="813">
        <v>20.606999999999999</v>
      </c>
      <c r="L21">
        <v>20.606999999999999</v>
      </c>
      <c r="M21">
        <v>20.606999999999999</v>
      </c>
      <c r="N21">
        <v>20.606999999999999</v>
      </c>
      <c r="O21">
        <v>20.606999999999999</v>
      </c>
      <c r="P21">
        <v>20.606999999999999</v>
      </c>
      <c r="Q21">
        <v>20.606999999999999</v>
      </c>
      <c r="R21">
        <v>20.606999999999999</v>
      </c>
      <c r="S21">
        <v>20.606999999999999</v>
      </c>
      <c r="T21">
        <v>20.606999999999999</v>
      </c>
    </row>
    <row r="22" spans="1:20">
      <c r="A22" s="48" t="str">
        <f>B22&amp;C22</f>
        <v>ChileRegional mean</v>
      </c>
      <c r="B22" s="547" t="s">
        <v>170</v>
      </c>
      <c r="C22" s="547" t="s">
        <v>889</v>
      </c>
      <c r="D22">
        <v>17.038499999999999</v>
      </c>
      <c r="E22">
        <v>17.038499999999999</v>
      </c>
      <c r="F22">
        <v>17.038499999999999</v>
      </c>
      <c r="G22">
        <v>17.038499999999999</v>
      </c>
      <c r="H22">
        <v>17.038499999999999</v>
      </c>
      <c r="I22">
        <v>17.038499999999999</v>
      </c>
      <c r="J22">
        <v>17.038499999999999</v>
      </c>
      <c r="K22">
        <v>17.038499999999999</v>
      </c>
      <c r="L22">
        <v>17.038499999999999</v>
      </c>
      <c r="M22">
        <v>17.038499999999999</v>
      </c>
      <c r="N22">
        <v>17.038499999999999</v>
      </c>
      <c r="O22">
        <v>17.038499999999999</v>
      </c>
      <c r="P22">
        <v>17.038499999999999</v>
      </c>
      <c r="Q22">
        <v>17.038499999999999</v>
      </c>
      <c r="R22">
        <v>17.038499999999999</v>
      </c>
      <c r="S22">
        <v>17.038499999999999</v>
      </c>
      <c r="T22">
        <v>17.038499999999999</v>
      </c>
    </row>
    <row r="23" spans="1:20">
      <c r="A23" s="48" t="str">
        <f>B23&amp;C23</f>
        <v>ChinaRegional mean</v>
      </c>
      <c r="B23" s="547" t="s">
        <v>349</v>
      </c>
      <c r="C23" s="547" t="s">
        <v>889</v>
      </c>
      <c r="D23">
        <v>16.61</v>
      </c>
      <c r="E23">
        <v>16.61</v>
      </c>
      <c r="F23">
        <v>16.61</v>
      </c>
      <c r="G23">
        <v>16.61</v>
      </c>
      <c r="H23">
        <v>16.61</v>
      </c>
      <c r="I23">
        <v>16.61</v>
      </c>
      <c r="J23">
        <v>16.61</v>
      </c>
      <c r="K23">
        <v>16.61</v>
      </c>
      <c r="L23">
        <v>16.61</v>
      </c>
      <c r="M23">
        <v>16.61</v>
      </c>
      <c r="N23">
        <v>16.61</v>
      </c>
      <c r="O23">
        <v>16.61</v>
      </c>
      <c r="P23">
        <v>16.61</v>
      </c>
      <c r="Q23">
        <v>16.61</v>
      </c>
      <c r="R23">
        <v>16.61</v>
      </c>
      <c r="S23">
        <v>16.61</v>
      </c>
      <c r="T23">
        <v>16.61</v>
      </c>
    </row>
    <row r="24" spans="1:20">
      <c r="A24" s="48" t="str">
        <f>B24&amp;C24</f>
        <v>ColombiaRegional mean</v>
      </c>
      <c r="B24" s="547" t="s">
        <v>171</v>
      </c>
      <c r="C24" s="547" t="s">
        <v>889</v>
      </c>
      <c r="D24">
        <v>17.038499999999999</v>
      </c>
      <c r="E24">
        <v>17.038499999999999</v>
      </c>
      <c r="F24">
        <v>17.038499999999999</v>
      </c>
      <c r="G24">
        <v>17.038499999999999</v>
      </c>
      <c r="H24">
        <v>17.038499999999999</v>
      </c>
      <c r="I24">
        <v>17.038499999999999</v>
      </c>
      <c r="J24">
        <v>17.038499999999999</v>
      </c>
      <c r="K24">
        <v>17.038499999999999</v>
      </c>
      <c r="L24">
        <v>17.038499999999999</v>
      </c>
      <c r="M24">
        <v>17.038499999999999</v>
      </c>
      <c r="N24">
        <v>17.038499999999999</v>
      </c>
      <c r="O24">
        <v>17.038499999999999</v>
      </c>
      <c r="P24">
        <v>17.038499999999999</v>
      </c>
      <c r="Q24">
        <v>17.038499999999999</v>
      </c>
      <c r="R24">
        <v>17.038499999999999</v>
      </c>
      <c r="S24">
        <v>17.038499999999999</v>
      </c>
      <c r="T24">
        <v>17.038499999999999</v>
      </c>
    </row>
    <row r="25" spans="1:20">
      <c r="A25" s="48" t="str">
        <f>B25&amp;C25</f>
        <v>Costa RicaRegional mean</v>
      </c>
      <c r="B25" s="547" t="s">
        <v>350</v>
      </c>
      <c r="C25" s="547" t="s">
        <v>889</v>
      </c>
      <c r="D25">
        <v>17.038499999999999</v>
      </c>
      <c r="E25">
        <v>17.038499999999999</v>
      </c>
      <c r="F25">
        <v>17.038499999999999</v>
      </c>
      <c r="G25">
        <v>17.038499999999999</v>
      </c>
      <c r="H25">
        <v>17.038499999999999</v>
      </c>
      <c r="I25">
        <v>17.038499999999999</v>
      </c>
      <c r="J25">
        <v>17.038499999999999</v>
      </c>
      <c r="K25">
        <v>17.038499999999999</v>
      </c>
      <c r="L25">
        <v>17.038499999999999</v>
      </c>
      <c r="M25">
        <v>17.038499999999999</v>
      </c>
      <c r="N25">
        <v>17.038499999999999</v>
      </c>
      <c r="O25">
        <v>17.038499999999999</v>
      </c>
      <c r="P25">
        <v>17.038499999999999</v>
      </c>
      <c r="Q25">
        <v>17.038499999999999</v>
      </c>
      <c r="R25">
        <v>17.038499999999999</v>
      </c>
      <c r="S25">
        <v>17.038499999999999</v>
      </c>
      <c r="T25">
        <v>17.038499999999999</v>
      </c>
    </row>
    <row r="26" spans="1:20">
      <c r="A26" s="48" t="str">
        <f>B26&amp;C26</f>
        <v>CubaRegional mean</v>
      </c>
      <c r="B26" s="547" t="s">
        <v>164</v>
      </c>
      <c r="C26" s="547" t="s">
        <v>889</v>
      </c>
      <c r="D26" s="813">
        <v>17.038499999999999</v>
      </c>
      <c r="E26" s="813">
        <v>17.038499999999999</v>
      </c>
      <c r="F26">
        <v>17.038499999999999</v>
      </c>
      <c r="G26">
        <v>17.038499999999999</v>
      </c>
      <c r="H26">
        <v>17.038499999999999</v>
      </c>
      <c r="I26">
        <v>17.038499999999999</v>
      </c>
      <c r="J26">
        <v>17.038499999999999</v>
      </c>
      <c r="K26">
        <v>17.038499999999999</v>
      </c>
      <c r="L26">
        <v>17.038499999999999</v>
      </c>
      <c r="M26">
        <v>17.038499999999999</v>
      </c>
      <c r="N26">
        <v>17.038499999999999</v>
      </c>
      <c r="O26">
        <v>17.038499999999999</v>
      </c>
      <c r="P26">
        <v>17.038499999999999</v>
      </c>
      <c r="Q26">
        <v>17.038499999999999</v>
      </c>
      <c r="R26">
        <v>17.038499999999999</v>
      </c>
      <c r="S26">
        <v>17.038499999999999</v>
      </c>
      <c r="T26">
        <v>17.038499999999999</v>
      </c>
    </row>
    <row r="27" spans="1:20">
      <c r="A27" s="48" t="str">
        <f>B27&amp;C27</f>
        <v>Democratic Republic of CongoRegional mean</v>
      </c>
      <c r="B27" s="547" t="s">
        <v>152</v>
      </c>
      <c r="C27" s="547" t="s">
        <v>889</v>
      </c>
      <c r="D27">
        <v>20.606999999999999</v>
      </c>
      <c r="E27">
        <v>20.606999999999999</v>
      </c>
      <c r="F27">
        <v>20.606999999999999</v>
      </c>
      <c r="G27">
        <v>20.606999999999999</v>
      </c>
      <c r="H27">
        <v>20.606999999999999</v>
      </c>
      <c r="I27">
        <v>20.606999999999999</v>
      </c>
      <c r="J27">
        <v>20.606999999999999</v>
      </c>
      <c r="K27">
        <v>20.606999999999999</v>
      </c>
      <c r="L27">
        <v>20.606999999999999</v>
      </c>
      <c r="M27">
        <v>20.606999999999999</v>
      </c>
      <c r="N27">
        <v>20.606999999999999</v>
      </c>
      <c r="O27">
        <v>20.606999999999999</v>
      </c>
      <c r="P27">
        <v>20.606999999999999</v>
      </c>
      <c r="Q27">
        <v>20.606999999999999</v>
      </c>
      <c r="R27">
        <v>20.606999999999999</v>
      </c>
      <c r="S27">
        <v>20.606999999999999</v>
      </c>
      <c r="T27">
        <v>20.606999999999999</v>
      </c>
    </row>
    <row r="28" spans="1:20">
      <c r="A28" s="48" t="str">
        <f>B28&amp;C28</f>
        <v>DominicaRegional mean</v>
      </c>
      <c r="B28" s="547" t="s">
        <v>351</v>
      </c>
      <c r="C28" s="547" t="s">
        <v>889</v>
      </c>
      <c r="D28" s="813">
        <v>17.038499999999999</v>
      </c>
      <c r="E28" s="813">
        <v>17.038499999999999</v>
      </c>
      <c r="F28" s="813">
        <v>17.038499999999999</v>
      </c>
      <c r="G28" s="813">
        <v>17.038499999999999</v>
      </c>
      <c r="H28" s="813">
        <v>17.038499999999999</v>
      </c>
      <c r="I28" s="813">
        <v>17.038499999999999</v>
      </c>
      <c r="J28">
        <v>17.038499999999999</v>
      </c>
      <c r="K28">
        <v>17.038499999999999</v>
      </c>
      <c r="L28">
        <v>17.038499999999999</v>
      </c>
      <c r="M28">
        <v>17.038499999999999</v>
      </c>
      <c r="N28">
        <v>17.038499999999999</v>
      </c>
      <c r="O28">
        <v>17.038499999999999</v>
      </c>
      <c r="P28">
        <v>17.038499999999999</v>
      </c>
      <c r="Q28">
        <v>17.038499999999999</v>
      </c>
      <c r="R28">
        <v>17.038499999999999</v>
      </c>
      <c r="S28">
        <v>17.038499999999999</v>
      </c>
      <c r="T28">
        <v>17.038499999999999</v>
      </c>
    </row>
    <row r="29" spans="1:20">
      <c r="A29" s="48" t="str">
        <f>B29&amp;C29</f>
        <v>Dominican RepublicRegional mean</v>
      </c>
      <c r="B29" s="547" t="s">
        <v>172</v>
      </c>
      <c r="C29" s="547" t="s">
        <v>889</v>
      </c>
      <c r="D29">
        <v>17.038499999999999</v>
      </c>
      <c r="E29">
        <v>17.038499999999999</v>
      </c>
      <c r="F29">
        <v>17.038499999999999</v>
      </c>
      <c r="G29">
        <v>17.038499999999999</v>
      </c>
      <c r="H29">
        <v>17.038499999999999</v>
      </c>
      <c r="I29">
        <v>17.038499999999999</v>
      </c>
      <c r="J29">
        <v>17.038499999999999</v>
      </c>
      <c r="K29">
        <v>17.038499999999999</v>
      </c>
      <c r="L29">
        <v>17.038499999999999</v>
      </c>
      <c r="M29">
        <v>17.038499999999999</v>
      </c>
      <c r="N29">
        <v>17.038499999999999</v>
      </c>
      <c r="O29">
        <v>17.038499999999999</v>
      </c>
      <c r="P29">
        <v>17.038499999999999</v>
      </c>
      <c r="Q29">
        <v>17.038499999999999</v>
      </c>
      <c r="R29">
        <v>17.038499999999999</v>
      </c>
      <c r="S29">
        <v>17.038499999999999</v>
      </c>
      <c r="T29">
        <v>17.038499999999999</v>
      </c>
    </row>
    <row r="30" spans="1:20">
      <c r="A30" s="48" t="str">
        <f>B30&amp;C30</f>
        <v>EcuadorRegional mean</v>
      </c>
      <c r="B30" s="547" t="s">
        <v>352</v>
      </c>
      <c r="C30" s="547" t="s">
        <v>889</v>
      </c>
      <c r="D30">
        <v>17.038499999999999</v>
      </c>
      <c r="E30">
        <v>17.038499999999999</v>
      </c>
      <c r="F30">
        <v>17.038499999999999</v>
      </c>
      <c r="G30">
        <v>17.038499999999999</v>
      </c>
      <c r="H30">
        <v>17.038499999999999</v>
      </c>
      <c r="I30">
        <v>17.038499999999999</v>
      </c>
      <c r="J30">
        <v>17.038499999999999</v>
      </c>
      <c r="K30">
        <v>17.038499999999999</v>
      </c>
      <c r="L30">
        <v>17.038499999999999</v>
      </c>
      <c r="M30">
        <v>17.038499999999999</v>
      </c>
      <c r="N30">
        <v>17.038499999999999</v>
      </c>
      <c r="O30">
        <v>17.038499999999999</v>
      </c>
      <c r="P30">
        <v>17.038499999999999</v>
      </c>
      <c r="Q30">
        <v>17.038499999999999</v>
      </c>
      <c r="R30">
        <v>17.038499999999999</v>
      </c>
      <c r="S30">
        <v>17.038499999999999</v>
      </c>
      <c r="T30">
        <v>17.038499999999999</v>
      </c>
    </row>
    <row r="31" spans="1:20">
      <c r="A31" s="48" t="str">
        <f>B31&amp;C31</f>
        <v>El SalvadorRegional mean</v>
      </c>
      <c r="B31" s="547" t="s">
        <v>353</v>
      </c>
      <c r="C31" s="547" t="s">
        <v>889</v>
      </c>
      <c r="D31">
        <v>17.038499999999999</v>
      </c>
      <c r="E31">
        <v>17.038499999999999</v>
      </c>
      <c r="F31">
        <v>17.038499999999999</v>
      </c>
      <c r="G31">
        <v>17.038499999999999</v>
      </c>
      <c r="H31">
        <v>17.038499999999999</v>
      </c>
      <c r="I31">
        <v>17.038499999999999</v>
      </c>
      <c r="J31">
        <v>17.038499999999999</v>
      </c>
      <c r="K31">
        <v>17.038499999999999</v>
      </c>
      <c r="L31">
        <v>17.038499999999999</v>
      </c>
      <c r="M31">
        <v>17.038499999999999</v>
      </c>
      <c r="N31">
        <v>17.038499999999999</v>
      </c>
      <c r="O31">
        <v>17.038499999999999</v>
      </c>
      <c r="P31">
        <v>17.038499999999999</v>
      </c>
      <c r="Q31">
        <v>17.038499999999999</v>
      </c>
      <c r="R31">
        <v>17.038499999999999</v>
      </c>
      <c r="S31">
        <v>17.038499999999999</v>
      </c>
      <c r="T31">
        <v>17.038499999999999</v>
      </c>
    </row>
    <row r="32" spans="1:20">
      <c r="A32" s="48" t="str">
        <f>B32&amp;C32</f>
        <v>Equatorial GuineaRegional mean</v>
      </c>
      <c r="B32" s="547" t="s">
        <v>129</v>
      </c>
      <c r="C32" s="547" t="s">
        <v>889</v>
      </c>
      <c r="D32">
        <v>20.606999999999999</v>
      </c>
      <c r="E32">
        <v>20.606999999999999</v>
      </c>
      <c r="F32">
        <v>20.606999999999999</v>
      </c>
      <c r="G32">
        <v>20.606999999999999</v>
      </c>
      <c r="H32">
        <v>20.606999999999999</v>
      </c>
      <c r="I32">
        <v>20.606999999999999</v>
      </c>
      <c r="J32">
        <v>20.606999999999999</v>
      </c>
      <c r="K32">
        <v>20.606999999999999</v>
      </c>
      <c r="L32">
        <v>20.606999999999999</v>
      </c>
      <c r="M32">
        <v>20.606999999999999</v>
      </c>
      <c r="N32">
        <v>20.606999999999999</v>
      </c>
      <c r="O32">
        <v>20.606999999999999</v>
      </c>
      <c r="P32">
        <v>20.606999999999999</v>
      </c>
      <c r="Q32">
        <v>20.606999999999999</v>
      </c>
      <c r="R32">
        <v>20.606999999999999</v>
      </c>
      <c r="S32">
        <v>20.606999999999999</v>
      </c>
      <c r="T32">
        <v>20.606999999999999</v>
      </c>
    </row>
    <row r="33" spans="1:20">
      <c r="A33" s="48" t="str">
        <f>B33&amp;C33</f>
        <v>EritreaRegional mean</v>
      </c>
      <c r="B33" s="547" t="s">
        <v>128</v>
      </c>
      <c r="C33" s="547" t="s">
        <v>889</v>
      </c>
      <c r="D33">
        <v>20.606999999999999</v>
      </c>
      <c r="E33">
        <v>20.606999999999999</v>
      </c>
      <c r="F33">
        <v>20.606999999999999</v>
      </c>
      <c r="G33">
        <v>20.606999999999999</v>
      </c>
      <c r="H33">
        <v>20.606999999999999</v>
      </c>
      <c r="I33">
        <v>20.606999999999999</v>
      </c>
      <c r="J33">
        <v>20.606999999999999</v>
      </c>
      <c r="K33">
        <v>20.606999999999999</v>
      </c>
      <c r="L33">
        <v>20.606999999999999</v>
      </c>
      <c r="M33">
        <v>20.606999999999999</v>
      </c>
      <c r="N33">
        <v>20.606999999999999</v>
      </c>
      <c r="O33">
        <v>20.606999999999999</v>
      </c>
      <c r="P33">
        <v>20.606999999999999</v>
      </c>
      <c r="Q33">
        <v>20.606999999999999</v>
      </c>
      <c r="R33">
        <v>20.606999999999999</v>
      </c>
      <c r="S33">
        <v>20.606999999999999</v>
      </c>
      <c r="T33">
        <v>20.606999999999999</v>
      </c>
    </row>
    <row r="34" spans="1:20">
      <c r="A34" s="48" t="str">
        <f>B34&amp;C34</f>
        <v>EswatiniRegional mean</v>
      </c>
      <c r="B34" s="547" t="s">
        <v>835</v>
      </c>
      <c r="C34" s="547" t="s">
        <v>889</v>
      </c>
      <c r="D34">
        <v>20.606999999999999</v>
      </c>
      <c r="E34">
        <v>20.606999999999999</v>
      </c>
      <c r="F34">
        <v>20.606999999999999</v>
      </c>
      <c r="G34">
        <v>20.606999999999999</v>
      </c>
      <c r="H34">
        <v>20.606999999999999</v>
      </c>
      <c r="I34">
        <v>20.606999999999999</v>
      </c>
      <c r="J34">
        <v>20.606999999999999</v>
      </c>
      <c r="K34">
        <v>20.606999999999999</v>
      </c>
      <c r="L34">
        <v>20.606999999999999</v>
      </c>
      <c r="M34">
        <v>20.606999999999999</v>
      </c>
      <c r="N34">
        <v>20.606999999999999</v>
      </c>
      <c r="O34">
        <v>20.606999999999999</v>
      </c>
      <c r="P34">
        <v>20.606999999999999</v>
      </c>
      <c r="Q34">
        <v>20.606999999999999</v>
      </c>
      <c r="R34">
        <v>20.606999999999999</v>
      </c>
      <c r="S34">
        <v>20.606999999999999</v>
      </c>
      <c r="T34">
        <v>20.606999999999999</v>
      </c>
    </row>
    <row r="35" spans="1:20">
      <c r="A35" s="48" t="str">
        <f>B35&amp;C35</f>
        <v>EthiopiaRegional mean</v>
      </c>
      <c r="B35" s="547" t="s">
        <v>127</v>
      </c>
      <c r="C35" s="547" t="s">
        <v>889</v>
      </c>
      <c r="D35">
        <v>20.606999999999999</v>
      </c>
      <c r="E35">
        <v>20.606999999999999</v>
      </c>
      <c r="F35">
        <v>20.606999999999999</v>
      </c>
      <c r="G35">
        <v>20.606999999999999</v>
      </c>
      <c r="H35">
        <v>20.606999999999999</v>
      </c>
      <c r="I35">
        <v>20.606999999999999</v>
      </c>
      <c r="J35">
        <v>20.606999999999999</v>
      </c>
      <c r="K35">
        <v>20.606999999999999</v>
      </c>
      <c r="L35">
        <v>20.606999999999999</v>
      </c>
      <c r="M35">
        <v>20.606999999999999</v>
      </c>
      <c r="N35">
        <v>20.606999999999999</v>
      </c>
      <c r="O35">
        <v>20.606999999999999</v>
      </c>
      <c r="P35">
        <v>20.606999999999999</v>
      </c>
      <c r="Q35">
        <v>20.606999999999999</v>
      </c>
      <c r="R35">
        <v>20.606999999999999</v>
      </c>
      <c r="S35">
        <v>20.606999999999999</v>
      </c>
      <c r="T35">
        <v>20.606999999999999</v>
      </c>
    </row>
    <row r="36" spans="1:20">
      <c r="A36" s="48" t="str">
        <f>B36&amp;C36</f>
        <v>Federated States of MicronesiaRegional mean</v>
      </c>
      <c r="B36" s="547" t="s">
        <v>356</v>
      </c>
      <c r="C36" s="547" t="s">
        <v>889</v>
      </c>
      <c r="D36">
        <v>16.61</v>
      </c>
      <c r="E36">
        <v>16.61</v>
      </c>
      <c r="F36">
        <v>16.61</v>
      </c>
      <c r="G36">
        <v>16.61</v>
      </c>
      <c r="H36">
        <v>16.61</v>
      </c>
      <c r="I36">
        <v>16.61</v>
      </c>
      <c r="J36">
        <v>16.61</v>
      </c>
      <c r="K36">
        <v>16.61</v>
      </c>
      <c r="L36">
        <v>16.61</v>
      </c>
      <c r="M36">
        <v>16.61</v>
      </c>
      <c r="N36">
        <v>16.61</v>
      </c>
      <c r="O36">
        <v>16.61</v>
      </c>
      <c r="P36">
        <v>16.61</v>
      </c>
      <c r="Q36">
        <v>16.61</v>
      </c>
      <c r="R36">
        <v>16.61</v>
      </c>
      <c r="S36">
        <v>16.61</v>
      </c>
      <c r="T36">
        <v>16.61</v>
      </c>
    </row>
    <row r="37" spans="1:20">
      <c r="A37" s="48" t="str">
        <f>B37&amp;C37</f>
        <v>FijiRegional mean</v>
      </c>
      <c r="B37" s="547" t="s">
        <v>338</v>
      </c>
      <c r="C37" s="547" t="s">
        <v>889</v>
      </c>
      <c r="D37">
        <v>16.61</v>
      </c>
      <c r="E37">
        <v>16.61</v>
      </c>
      <c r="F37">
        <v>16.61</v>
      </c>
      <c r="G37">
        <v>16.61</v>
      </c>
      <c r="H37">
        <v>16.61</v>
      </c>
      <c r="I37">
        <v>16.61</v>
      </c>
      <c r="J37">
        <v>16.61</v>
      </c>
      <c r="K37">
        <v>16.61</v>
      </c>
      <c r="L37">
        <v>16.61</v>
      </c>
      <c r="M37">
        <v>16.61</v>
      </c>
      <c r="N37">
        <v>16.61</v>
      </c>
      <c r="O37">
        <v>16.61</v>
      </c>
      <c r="P37">
        <v>16.61</v>
      </c>
      <c r="Q37">
        <v>16.61</v>
      </c>
      <c r="R37">
        <v>16.61</v>
      </c>
      <c r="S37">
        <v>16.61</v>
      </c>
      <c r="T37">
        <v>16.61</v>
      </c>
    </row>
    <row r="38" spans="1:20">
      <c r="A38" s="48" t="str">
        <f>B38&amp;C38</f>
        <v>GabonRegional mean</v>
      </c>
      <c r="B38" s="547" t="s">
        <v>130</v>
      </c>
      <c r="C38" s="547" t="s">
        <v>889</v>
      </c>
      <c r="D38" s="813">
        <v>20.606999999999999</v>
      </c>
      <c r="E38" s="813">
        <v>20.606999999999999</v>
      </c>
      <c r="F38" s="813">
        <v>20.606999999999999</v>
      </c>
      <c r="G38" s="813">
        <v>20.606999999999999</v>
      </c>
      <c r="H38" s="813">
        <v>20.606999999999999</v>
      </c>
      <c r="I38" s="813">
        <v>20.606999999999999</v>
      </c>
      <c r="J38" s="813">
        <v>20.606999999999999</v>
      </c>
      <c r="K38">
        <v>20.606999999999999</v>
      </c>
      <c r="L38">
        <v>20.606999999999999</v>
      </c>
      <c r="M38">
        <v>20.606999999999999</v>
      </c>
      <c r="N38">
        <v>20.606999999999999</v>
      </c>
      <c r="O38">
        <v>20.606999999999999</v>
      </c>
      <c r="P38">
        <v>20.606999999999999</v>
      </c>
      <c r="Q38">
        <v>20.606999999999999</v>
      </c>
      <c r="R38">
        <v>20.606999999999999</v>
      </c>
      <c r="S38">
        <v>20.606999999999999</v>
      </c>
      <c r="T38">
        <v>20.606999999999999</v>
      </c>
    </row>
    <row r="39" spans="1:20">
      <c r="A39" s="48" t="str">
        <f>B39&amp;C39</f>
        <v>GeorgiaRegional mean</v>
      </c>
      <c r="B39" s="547" t="s">
        <v>173</v>
      </c>
      <c r="C39" s="547" t="s">
        <v>889</v>
      </c>
      <c r="D39">
        <v>13.879999999999999</v>
      </c>
      <c r="E39">
        <v>13.879999999999999</v>
      </c>
      <c r="F39">
        <v>13.879999999999999</v>
      </c>
      <c r="G39">
        <v>13.879999999999999</v>
      </c>
      <c r="H39">
        <v>13.879999999999999</v>
      </c>
      <c r="I39">
        <v>13.879999999999999</v>
      </c>
      <c r="J39">
        <v>13.879999999999999</v>
      </c>
      <c r="K39">
        <v>13.879999999999999</v>
      </c>
      <c r="L39">
        <v>13.879999999999999</v>
      </c>
      <c r="M39">
        <v>13.879999999999999</v>
      </c>
      <c r="N39">
        <v>13.879999999999999</v>
      </c>
      <c r="O39">
        <v>13.879999999999999</v>
      </c>
      <c r="P39">
        <v>13.879999999999999</v>
      </c>
      <c r="Q39">
        <v>13.879999999999999</v>
      </c>
      <c r="R39">
        <v>13.879999999999999</v>
      </c>
      <c r="S39">
        <v>13.879999999999999</v>
      </c>
      <c r="T39">
        <v>13.879999999999999</v>
      </c>
    </row>
    <row r="40" spans="1:20">
      <c r="A40" s="48" t="str">
        <f>B40&amp;C40</f>
        <v>GhanaRegional mean</v>
      </c>
      <c r="B40" s="547" t="s">
        <v>131</v>
      </c>
      <c r="C40" s="547" t="s">
        <v>889</v>
      </c>
      <c r="D40">
        <v>20.606999999999999</v>
      </c>
      <c r="E40" s="813">
        <v>20.606999999999999</v>
      </c>
      <c r="F40" s="813">
        <v>20.606999999999999</v>
      </c>
      <c r="G40" s="813">
        <v>20.606999999999999</v>
      </c>
      <c r="H40" s="813">
        <v>20.606999999999999</v>
      </c>
      <c r="I40" s="813">
        <v>20.606999999999999</v>
      </c>
      <c r="J40" s="813">
        <v>20.606999999999999</v>
      </c>
      <c r="K40">
        <v>20.606999999999999</v>
      </c>
      <c r="L40">
        <v>20.606999999999999</v>
      </c>
      <c r="M40">
        <v>20.606999999999999</v>
      </c>
      <c r="N40">
        <v>20.606999999999999</v>
      </c>
      <c r="O40">
        <v>20.606999999999999</v>
      </c>
      <c r="P40">
        <v>20.606999999999999</v>
      </c>
      <c r="Q40">
        <v>20.606999999999999</v>
      </c>
      <c r="R40">
        <v>20.606999999999999</v>
      </c>
      <c r="S40">
        <v>20.606999999999999</v>
      </c>
      <c r="T40">
        <v>20.606999999999999</v>
      </c>
    </row>
    <row r="41" spans="1:20">
      <c r="A41" s="48" t="str">
        <f>B41&amp;C41</f>
        <v>GrenadaRegional mean</v>
      </c>
      <c r="B41" s="547" t="s">
        <v>354</v>
      </c>
      <c r="C41" s="547" t="s">
        <v>889</v>
      </c>
      <c r="D41">
        <v>17.038499999999999</v>
      </c>
      <c r="E41">
        <v>17.038499999999999</v>
      </c>
      <c r="F41">
        <v>17.038499999999999</v>
      </c>
      <c r="G41">
        <v>17.038499999999999</v>
      </c>
      <c r="H41">
        <v>17.038499999999999</v>
      </c>
      <c r="I41">
        <v>17.038499999999999</v>
      </c>
      <c r="J41">
        <v>17.038499999999999</v>
      </c>
      <c r="K41">
        <v>17.038499999999999</v>
      </c>
      <c r="L41">
        <v>17.038499999999999</v>
      </c>
      <c r="M41">
        <v>17.038499999999999</v>
      </c>
      <c r="N41">
        <v>17.038499999999999</v>
      </c>
      <c r="O41">
        <v>17.038499999999999</v>
      </c>
      <c r="P41">
        <v>17.038499999999999</v>
      </c>
      <c r="Q41">
        <v>17.038499999999999</v>
      </c>
      <c r="R41">
        <v>17.038499999999999</v>
      </c>
      <c r="S41">
        <v>17.038499999999999</v>
      </c>
      <c r="T41">
        <v>17.038499999999999</v>
      </c>
    </row>
    <row r="42" spans="1:20">
      <c r="A42" s="48" t="str">
        <f>B42&amp;C42</f>
        <v>GuatemalaRegional mean</v>
      </c>
      <c r="B42" s="547" t="s">
        <v>355</v>
      </c>
      <c r="C42" s="547" t="s">
        <v>889</v>
      </c>
      <c r="D42" s="813">
        <v>17.038499999999999</v>
      </c>
      <c r="E42" s="813">
        <v>17.038499999999999</v>
      </c>
      <c r="F42" s="813">
        <v>17.038499999999999</v>
      </c>
      <c r="G42" s="813">
        <v>17.038499999999999</v>
      </c>
      <c r="H42">
        <v>17.038499999999999</v>
      </c>
      <c r="I42">
        <v>17.038499999999999</v>
      </c>
      <c r="J42">
        <v>17.038499999999999</v>
      </c>
      <c r="K42">
        <v>17.038499999999999</v>
      </c>
      <c r="L42">
        <v>17.038499999999999</v>
      </c>
      <c r="M42">
        <v>17.038499999999999</v>
      </c>
      <c r="N42">
        <v>17.038499999999999</v>
      </c>
      <c r="O42">
        <v>17.038499999999999</v>
      </c>
      <c r="P42">
        <v>17.038499999999999</v>
      </c>
      <c r="Q42">
        <v>17.038499999999999</v>
      </c>
      <c r="R42">
        <v>17.038499999999999</v>
      </c>
      <c r="S42">
        <v>17.038499999999999</v>
      </c>
      <c r="T42">
        <v>17.038499999999999</v>
      </c>
    </row>
    <row r="43" spans="1:20">
      <c r="A43" s="48" t="str">
        <f>B43&amp;C43</f>
        <v>GuineaRegional mean</v>
      </c>
      <c r="B43" s="547" t="s">
        <v>132</v>
      </c>
      <c r="C43" s="547" t="s">
        <v>889</v>
      </c>
      <c r="D43">
        <v>20.606999999999999</v>
      </c>
      <c r="E43">
        <v>20.606999999999999</v>
      </c>
      <c r="F43">
        <v>20.606999999999999</v>
      </c>
      <c r="G43">
        <v>20.606999999999999</v>
      </c>
      <c r="H43">
        <v>20.606999999999999</v>
      </c>
      <c r="I43">
        <v>20.606999999999999</v>
      </c>
      <c r="J43">
        <v>20.606999999999999</v>
      </c>
      <c r="K43">
        <v>20.606999999999999</v>
      </c>
      <c r="L43">
        <v>20.606999999999999</v>
      </c>
      <c r="M43">
        <v>20.606999999999999</v>
      </c>
      <c r="N43">
        <v>20.606999999999999</v>
      </c>
      <c r="O43">
        <v>20.606999999999999</v>
      </c>
      <c r="P43">
        <v>20.606999999999999</v>
      </c>
      <c r="Q43">
        <v>20.606999999999999</v>
      </c>
      <c r="R43">
        <v>20.606999999999999</v>
      </c>
      <c r="S43">
        <v>20.606999999999999</v>
      </c>
      <c r="T43">
        <v>20.606999999999999</v>
      </c>
    </row>
    <row r="44" spans="1:20">
      <c r="A44" s="48" t="str">
        <f>B44&amp;C44</f>
        <v>GuyanaRegional mean</v>
      </c>
      <c r="B44" s="554" t="s">
        <v>357</v>
      </c>
      <c r="C44" s="547" t="s">
        <v>889</v>
      </c>
      <c r="D44">
        <v>17.038499999999999</v>
      </c>
      <c r="E44">
        <v>17.038499999999999</v>
      </c>
      <c r="F44">
        <v>17.038499999999999</v>
      </c>
      <c r="G44">
        <v>17.038499999999999</v>
      </c>
      <c r="H44">
        <v>17.038499999999999</v>
      </c>
      <c r="I44">
        <v>17.038499999999999</v>
      </c>
      <c r="J44">
        <v>17.038499999999999</v>
      </c>
      <c r="K44">
        <v>17.038499999999999</v>
      </c>
      <c r="L44">
        <v>17.038499999999999</v>
      </c>
      <c r="M44">
        <v>17.038499999999999</v>
      </c>
      <c r="N44">
        <v>17.038499999999999</v>
      </c>
      <c r="O44">
        <v>17.038499999999999</v>
      </c>
      <c r="P44">
        <v>17.038499999999999</v>
      </c>
      <c r="Q44">
        <v>17.038499999999999</v>
      </c>
      <c r="R44">
        <v>17.038499999999999</v>
      </c>
      <c r="S44">
        <v>17.038499999999999</v>
      </c>
      <c r="T44">
        <v>17.038499999999999</v>
      </c>
    </row>
    <row r="45" spans="1:20">
      <c r="A45" s="48" t="str">
        <f>B45&amp;C45</f>
        <v>HaitiRegional mean</v>
      </c>
      <c r="B45" s="554" t="s">
        <v>174</v>
      </c>
      <c r="C45" s="547" t="s">
        <v>889</v>
      </c>
      <c r="D45">
        <v>17.038499999999999</v>
      </c>
      <c r="E45">
        <v>17.038499999999999</v>
      </c>
      <c r="F45">
        <v>17.038499999999999</v>
      </c>
      <c r="G45">
        <v>17.038499999999999</v>
      </c>
      <c r="H45">
        <v>17.038499999999999</v>
      </c>
      <c r="I45">
        <v>17.038499999999999</v>
      </c>
      <c r="J45">
        <v>17.038499999999999</v>
      </c>
      <c r="K45">
        <v>17.038499999999999</v>
      </c>
      <c r="L45">
        <v>17.038499999999999</v>
      </c>
      <c r="M45">
        <v>17.038499999999999</v>
      </c>
      <c r="N45">
        <v>17.038499999999999</v>
      </c>
      <c r="O45">
        <v>17.038499999999999</v>
      </c>
      <c r="P45">
        <v>17.038499999999999</v>
      </c>
      <c r="Q45">
        <v>17.038499999999999</v>
      </c>
      <c r="R45">
        <v>17.038499999999999</v>
      </c>
      <c r="S45">
        <v>17.038499999999999</v>
      </c>
      <c r="T45">
        <v>17.038499999999999</v>
      </c>
    </row>
    <row r="46" spans="1:20">
      <c r="A46" s="48" t="str">
        <f>B46&amp;C46</f>
        <v>HondurasRegional mean</v>
      </c>
      <c r="B46" s="554" t="s">
        <v>358</v>
      </c>
      <c r="C46" s="547" t="s">
        <v>889</v>
      </c>
      <c r="D46">
        <v>17.038499999999999</v>
      </c>
      <c r="E46">
        <v>17.038499999999999</v>
      </c>
      <c r="F46">
        <v>17.038499999999999</v>
      </c>
      <c r="G46">
        <v>17.038499999999999</v>
      </c>
      <c r="H46">
        <v>17.038499999999999</v>
      </c>
      <c r="I46">
        <v>17.038499999999999</v>
      </c>
      <c r="J46">
        <v>17.038499999999999</v>
      </c>
      <c r="K46">
        <v>17.038499999999999</v>
      </c>
      <c r="L46">
        <v>17.038499999999999</v>
      </c>
      <c r="M46">
        <v>17.038499999999999</v>
      </c>
      <c r="N46">
        <v>17.038499999999999</v>
      </c>
      <c r="O46">
        <v>17.038499999999999</v>
      </c>
      <c r="P46">
        <v>17.038499999999999</v>
      </c>
      <c r="Q46">
        <v>17.038499999999999</v>
      </c>
      <c r="R46">
        <v>17.038499999999999</v>
      </c>
      <c r="S46">
        <v>17.038499999999999</v>
      </c>
      <c r="T46">
        <v>17.038499999999999</v>
      </c>
    </row>
    <row r="47" spans="1:20">
      <c r="A47" s="48" t="str">
        <f>B47&amp;C47</f>
        <v>IndiaRegional mean</v>
      </c>
      <c r="B47" s="554" t="s">
        <v>175</v>
      </c>
      <c r="C47" s="547" t="s">
        <v>889</v>
      </c>
      <c r="D47">
        <v>19.477499999999999</v>
      </c>
      <c r="E47">
        <v>19.477499999999999</v>
      </c>
      <c r="F47">
        <v>19.477499999999999</v>
      </c>
      <c r="G47">
        <v>19.477499999999999</v>
      </c>
      <c r="H47">
        <v>19.477499999999999</v>
      </c>
      <c r="I47">
        <v>19.477499999999999</v>
      </c>
      <c r="J47">
        <v>19.477499999999999</v>
      </c>
      <c r="K47">
        <v>19.477499999999999</v>
      </c>
      <c r="L47">
        <v>19.477499999999999</v>
      </c>
      <c r="M47">
        <v>19.477499999999999</v>
      </c>
      <c r="N47">
        <v>19.477499999999999</v>
      </c>
      <c r="O47">
        <v>19.477499999999999</v>
      </c>
      <c r="P47">
        <v>19.477499999999999</v>
      </c>
      <c r="Q47">
        <v>19.477499999999999</v>
      </c>
      <c r="R47">
        <v>19.477499999999999</v>
      </c>
      <c r="S47">
        <v>19.477499999999999</v>
      </c>
      <c r="T47">
        <v>19.477499999999999</v>
      </c>
    </row>
    <row r="48" spans="1:20">
      <c r="A48" s="48" t="str">
        <f>B48&amp;C48</f>
        <v>IndonesiaRegional mean</v>
      </c>
      <c r="B48" s="554" t="s">
        <v>866</v>
      </c>
      <c r="C48" s="547" t="s">
        <v>889</v>
      </c>
      <c r="D48">
        <v>19.477499999999999</v>
      </c>
      <c r="E48">
        <v>19.477499999999999</v>
      </c>
      <c r="F48">
        <v>19.477499999999999</v>
      </c>
      <c r="G48">
        <v>19.477499999999999</v>
      </c>
      <c r="H48">
        <v>19.477499999999999</v>
      </c>
      <c r="I48">
        <v>19.477499999999999</v>
      </c>
      <c r="J48">
        <v>19.477499999999999</v>
      </c>
      <c r="K48">
        <v>19.477499999999999</v>
      </c>
      <c r="L48">
        <v>19.477499999999999</v>
      </c>
      <c r="M48">
        <v>19.477499999999999</v>
      </c>
      <c r="N48">
        <v>19.477499999999999</v>
      </c>
      <c r="O48">
        <v>19.477499999999999</v>
      </c>
      <c r="P48">
        <v>19.477499999999999</v>
      </c>
      <c r="Q48">
        <v>19.477499999999999</v>
      </c>
      <c r="R48">
        <v>19.477499999999999</v>
      </c>
      <c r="S48">
        <v>19.477499999999999</v>
      </c>
      <c r="T48">
        <v>19.477499999999999</v>
      </c>
    </row>
    <row r="49" spans="1:20">
      <c r="A49" s="48" t="str">
        <f>B49&amp;C49</f>
        <v>JamaicaRegional mean</v>
      </c>
      <c r="B49" s="554" t="s">
        <v>176</v>
      </c>
      <c r="C49" s="547" t="s">
        <v>889</v>
      </c>
      <c r="D49">
        <v>17.038499999999999</v>
      </c>
      <c r="E49">
        <v>17.038499999999999</v>
      </c>
      <c r="F49">
        <v>17.038499999999999</v>
      </c>
      <c r="G49">
        <v>17.038499999999999</v>
      </c>
      <c r="H49">
        <v>17.038499999999999</v>
      </c>
      <c r="I49">
        <v>17.038499999999999</v>
      </c>
      <c r="J49">
        <v>17.038499999999999</v>
      </c>
      <c r="K49">
        <v>17.038499999999999</v>
      </c>
      <c r="L49">
        <v>17.038499999999999</v>
      </c>
      <c r="M49">
        <v>17.038499999999999</v>
      </c>
      <c r="N49">
        <v>17.038499999999999</v>
      </c>
      <c r="O49">
        <v>17.038499999999999</v>
      </c>
      <c r="P49">
        <v>17.038499999999999</v>
      </c>
      <c r="Q49">
        <v>17.038499999999999</v>
      </c>
      <c r="R49">
        <v>17.038499999999999</v>
      </c>
      <c r="S49">
        <v>17.038499999999999</v>
      </c>
      <c r="T49">
        <v>17.038499999999999</v>
      </c>
    </row>
    <row r="50" spans="1:20">
      <c r="A50" s="48" t="str">
        <f>B50&amp;C50</f>
        <v>KenyaRegional mean</v>
      </c>
      <c r="B50" s="554" t="s">
        <v>133</v>
      </c>
      <c r="C50" s="547" t="s">
        <v>889</v>
      </c>
      <c r="D50">
        <v>20.606999999999999</v>
      </c>
      <c r="E50">
        <v>20.606999999999999</v>
      </c>
      <c r="F50">
        <v>20.606999999999999</v>
      </c>
      <c r="G50">
        <v>20.606999999999999</v>
      </c>
      <c r="H50">
        <v>20.606999999999999</v>
      </c>
      <c r="I50">
        <v>20.606999999999999</v>
      </c>
      <c r="J50">
        <v>20.606999999999999</v>
      </c>
      <c r="K50">
        <v>20.606999999999999</v>
      </c>
      <c r="L50">
        <v>20.606999999999999</v>
      </c>
      <c r="M50">
        <v>20.606999999999999</v>
      </c>
      <c r="N50">
        <v>20.606999999999999</v>
      </c>
      <c r="O50">
        <v>20.606999999999999</v>
      </c>
      <c r="P50">
        <v>20.606999999999999</v>
      </c>
      <c r="Q50">
        <v>20.606999999999999</v>
      </c>
      <c r="R50">
        <v>20.606999999999999</v>
      </c>
      <c r="S50">
        <v>20.606999999999999</v>
      </c>
      <c r="T50">
        <v>20.606999999999999</v>
      </c>
    </row>
    <row r="51" spans="1:20">
      <c r="A51" s="528" t="str">
        <f>B51&amp;C51</f>
        <v>LesothoRegional mean</v>
      </c>
      <c r="B51" s="544" t="s">
        <v>930</v>
      </c>
      <c r="C51" s="528" t="s">
        <v>889</v>
      </c>
      <c r="D51">
        <v>20.606999999999999</v>
      </c>
      <c r="E51">
        <v>20.606999999999999</v>
      </c>
      <c r="F51">
        <v>20.606999999999999</v>
      </c>
      <c r="G51">
        <v>20.606999999999999</v>
      </c>
      <c r="H51">
        <v>20.606999999999999</v>
      </c>
      <c r="I51">
        <v>20.606999999999999</v>
      </c>
      <c r="J51">
        <v>20.606999999999999</v>
      </c>
      <c r="K51">
        <v>20.606999999999999</v>
      </c>
      <c r="L51">
        <v>20.606999999999999</v>
      </c>
      <c r="M51">
        <v>20.606999999999999</v>
      </c>
      <c r="N51">
        <v>20.606999999999999</v>
      </c>
      <c r="O51">
        <v>20.606999999999999</v>
      </c>
      <c r="P51">
        <v>20.606999999999999</v>
      </c>
      <c r="Q51">
        <v>20.606999999999999</v>
      </c>
      <c r="R51">
        <v>20.606999999999999</v>
      </c>
      <c r="S51">
        <v>20.606999999999999</v>
      </c>
      <c r="T51">
        <v>20.606999999999999</v>
      </c>
    </row>
    <row r="52" spans="1:20">
      <c r="A52" s="48" t="str">
        <f>B52&amp;C52</f>
        <v>LiberiaRegional mean</v>
      </c>
      <c r="B52" s="547" t="s">
        <v>134</v>
      </c>
      <c r="C52" s="547" t="s">
        <v>889</v>
      </c>
      <c r="D52">
        <v>20.606999999999999</v>
      </c>
      <c r="E52">
        <v>20.606999999999999</v>
      </c>
      <c r="F52">
        <v>20.606999999999999</v>
      </c>
      <c r="G52">
        <v>20.606999999999999</v>
      </c>
      <c r="H52">
        <v>20.606999999999999</v>
      </c>
      <c r="I52">
        <v>20.606999999999999</v>
      </c>
      <c r="J52">
        <v>20.606999999999999</v>
      </c>
      <c r="K52">
        <v>20.606999999999999</v>
      </c>
      <c r="L52">
        <v>20.606999999999999</v>
      </c>
      <c r="M52">
        <v>20.606999999999999</v>
      </c>
      <c r="N52">
        <v>20.606999999999999</v>
      </c>
      <c r="O52">
        <v>20.606999999999999</v>
      </c>
      <c r="P52">
        <v>20.606999999999999</v>
      </c>
      <c r="Q52">
        <v>20.606999999999999</v>
      </c>
      <c r="R52">
        <v>20.606999999999999</v>
      </c>
      <c r="S52">
        <v>20.606999999999999</v>
      </c>
      <c r="T52">
        <v>20.606999999999999</v>
      </c>
    </row>
    <row r="53" spans="1:20">
      <c r="A53" s="48" t="str">
        <f>B53&amp;C53</f>
        <v>MadagascarRegional mean</v>
      </c>
      <c r="B53" s="547" t="s">
        <v>135</v>
      </c>
      <c r="C53" s="547" t="s">
        <v>889</v>
      </c>
      <c r="D53">
        <v>20.606999999999999</v>
      </c>
      <c r="E53">
        <v>20.606999999999999</v>
      </c>
      <c r="F53">
        <v>20.606999999999999</v>
      </c>
      <c r="G53">
        <v>20.606999999999999</v>
      </c>
      <c r="H53">
        <v>20.606999999999999</v>
      </c>
      <c r="I53">
        <v>20.606999999999999</v>
      </c>
      <c r="J53">
        <v>20.606999999999999</v>
      </c>
      <c r="K53">
        <v>20.606999999999999</v>
      </c>
      <c r="L53">
        <v>20.606999999999999</v>
      </c>
      <c r="M53">
        <v>20.606999999999999</v>
      </c>
      <c r="N53">
        <v>20.606999999999999</v>
      </c>
      <c r="O53">
        <v>20.606999999999999</v>
      </c>
      <c r="P53">
        <v>20.606999999999999</v>
      </c>
      <c r="Q53">
        <v>20.606999999999999</v>
      </c>
      <c r="R53">
        <v>20.606999999999999</v>
      </c>
      <c r="S53">
        <v>20.606999999999999</v>
      </c>
      <c r="T53">
        <v>20.606999999999999</v>
      </c>
    </row>
    <row r="54" spans="1:20">
      <c r="A54" s="48" t="str">
        <f>B54&amp;C54</f>
        <v>MalawiRegional mean</v>
      </c>
      <c r="B54" s="547" t="s">
        <v>136</v>
      </c>
      <c r="C54" s="547" t="s">
        <v>889</v>
      </c>
      <c r="D54">
        <v>20.606999999999999</v>
      </c>
      <c r="E54">
        <v>20.606999999999999</v>
      </c>
      <c r="F54">
        <v>20.606999999999999</v>
      </c>
      <c r="G54">
        <v>20.606999999999999</v>
      </c>
      <c r="H54">
        <v>20.606999999999999</v>
      </c>
      <c r="I54">
        <v>20.606999999999999</v>
      </c>
      <c r="J54">
        <v>20.606999999999999</v>
      </c>
      <c r="K54">
        <v>20.606999999999999</v>
      </c>
      <c r="L54">
        <v>20.606999999999999</v>
      </c>
      <c r="M54">
        <v>20.606999999999999</v>
      </c>
      <c r="N54">
        <v>20.606999999999999</v>
      </c>
      <c r="O54">
        <v>20.606999999999999</v>
      </c>
      <c r="P54">
        <v>20.606999999999999</v>
      </c>
      <c r="Q54">
        <v>20.606999999999999</v>
      </c>
      <c r="R54">
        <v>20.606999999999999</v>
      </c>
      <c r="S54">
        <v>20.606999999999999</v>
      </c>
      <c r="T54">
        <v>20.606999999999999</v>
      </c>
    </row>
    <row r="55" spans="1:20">
      <c r="A55" s="48" t="str">
        <f>B55&amp;C55</f>
        <v>MalaysiaRegional mean</v>
      </c>
      <c r="B55" s="547" t="s">
        <v>177</v>
      </c>
      <c r="C55" s="547" t="s">
        <v>889</v>
      </c>
      <c r="D55">
        <v>16.61</v>
      </c>
      <c r="E55">
        <v>16.61</v>
      </c>
      <c r="F55">
        <v>16.61</v>
      </c>
      <c r="G55">
        <v>16.61</v>
      </c>
      <c r="H55">
        <v>16.61</v>
      </c>
      <c r="I55">
        <v>16.61</v>
      </c>
      <c r="J55">
        <v>16.61</v>
      </c>
      <c r="K55">
        <v>16.61</v>
      </c>
      <c r="L55">
        <v>16.61</v>
      </c>
      <c r="M55">
        <v>16.61</v>
      </c>
      <c r="N55">
        <v>16.61</v>
      </c>
      <c r="O55">
        <v>16.61</v>
      </c>
      <c r="P55">
        <v>16.61</v>
      </c>
      <c r="Q55">
        <v>16.61</v>
      </c>
      <c r="R55">
        <v>16.61</v>
      </c>
      <c r="S55">
        <v>16.61</v>
      </c>
      <c r="T55">
        <v>16.61</v>
      </c>
    </row>
    <row r="56" spans="1:20">
      <c r="A56" s="48" t="str">
        <f>B56&amp;C56</f>
        <v>MaldivesRegional mean</v>
      </c>
      <c r="B56" s="547" t="s">
        <v>375</v>
      </c>
      <c r="C56" s="547" t="s">
        <v>889</v>
      </c>
      <c r="D56">
        <v>19.477499999999999</v>
      </c>
      <c r="E56">
        <v>19.477499999999999</v>
      </c>
      <c r="F56">
        <v>19.477499999999999</v>
      </c>
      <c r="G56">
        <v>19.477499999999999</v>
      </c>
      <c r="H56">
        <v>19.477499999999999</v>
      </c>
      <c r="I56">
        <v>19.477499999999999</v>
      </c>
      <c r="J56">
        <v>19.477499999999999</v>
      </c>
      <c r="K56">
        <v>19.477499999999999</v>
      </c>
      <c r="L56">
        <v>19.477499999999999</v>
      </c>
      <c r="M56">
        <v>19.477499999999999</v>
      </c>
      <c r="N56">
        <v>19.477499999999999</v>
      </c>
      <c r="O56">
        <v>19.477499999999999</v>
      </c>
      <c r="P56">
        <v>19.477499999999999</v>
      </c>
      <c r="Q56">
        <v>19.477499999999999</v>
      </c>
      <c r="R56">
        <v>19.477499999999999</v>
      </c>
      <c r="S56">
        <v>19.477499999999999</v>
      </c>
      <c r="T56">
        <v>19.477499999999999</v>
      </c>
    </row>
    <row r="57" spans="1:20">
      <c r="A57" s="48" t="str">
        <f>B57&amp;C57</f>
        <v>MaliRegional mean</v>
      </c>
      <c r="B57" s="547" t="s">
        <v>137</v>
      </c>
      <c r="C57" s="547" t="s">
        <v>889</v>
      </c>
      <c r="D57">
        <v>20.606999999999999</v>
      </c>
      <c r="E57">
        <v>20.606999999999999</v>
      </c>
      <c r="F57">
        <v>20.606999999999999</v>
      </c>
      <c r="G57">
        <v>20.606999999999999</v>
      </c>
      <c r="H57">
        <v>20.606999999999999</v>
      </c>
      <c r="I57">
        <v>20.606999999999999</v>
      </c>
      <c r="J57">
        <v>20.606999999999999</v>
      </c>
      <c r="K57">
        <v>20.606999999999999</v>
      </c>
      <c r="L57">
        <v>20.606999999999999</v>
      </c>
      <c r="M57">
        <v>20.606999999999999</v>
      </c>
      <c r="N57">
        <v>20.606999999999999</v>
      </c>
      <c r="O57">
        <v>20.606999999999999</v>
      </c>
      <c r="P57">
        <v>20.606999999999999</v>
      </c>
      <c r="Q57">
        <v>20.606999999999999</v>
      </c>
      <c r="R57">
        <v>20.606999999999999</v>
      </c>
      <c r="S57">
        <v>20.606999999999999</v>
      </c>
      <c r="T57">
        <v>20.606999999999999</v>
      </c>
    </row>
    <row r="58" spans="1:20">
      <c r="A58" s="48" t="str">
        <f>B58&amp;C58</f>
        <v>MauritiusRegional mean</v>
      </c>
      <c r="B58" s="547" t="s">
        <v>150</v>
      </c>
      <c r="C58" s="547" t="s">
        <v>889</v>
      </c>
      <c r="D58">
        <v>20.606999999999999</v>
      </c>
      <c r="E58">
        <v>20.606999999999999</v>
      </c>
      <c r="F58">
        <v>20.606999999999999</v>
      </c>
      <c r="G58">
        <v>20.606999999999999</v>
      </c>
      <c r="H58">
        <v>20.606999999999999</v>
      </c>
      <c r="I58">
        <v>20.606999999999999</v>
      </c>
      <c r="J58">
        <v>20.606999999999999</v>
      </c>
      <c r="K58">
        <v>20.606999999999999</v>
      </c>
      <c r="L58">
        <v>20.606999999999999</v>
      </c>
      <c r="M58">
        <v>20.606999999999999</v>
      </c>
      <c r="N58">
        <v>20.606999999999999</v>
      </c>
      <c r="O58">
        <v>20.606999999999999</v>
      </c>
      <c r="P58">
        <v>20.606999999999999</v>
      </c>
      <c r="Q58">
        <v>20.606999999999999</v>
      </c>
      <c r="R58">
        <v>20.606999999999999</v>
      </c>
      <c r="S58">
        <v>20.606999999999999</v>
      </c>
      <c r="T58">
        <v>20.606999999999999</v>
      </c>
    </row>
    <row r="59" spans="1:20">
      <c r="A59" s="48" t="str">
        <f>B59&amp;C59</f>
        <v>MexicoRegional mean</v>
      </c>
      <c r="B59" s="547" t="s">
        <v>761</v>
      </c>
      <c r="C59" s="547" t="s">
        <v>889</v>
      </c>
      <c r="D59" s="813">
        <v>17.038499999999999</v>
      </c>
      <c r="E59" s="813">
        <v>17.038499999999999</v>
      </c>
      <c r="F59" s="813">
        <v>17.038499999999999</v>
      </c>
      <c r="G59" s="813">
        <v>17.038499999999999</v>
      </c>
      <c r="H59" s="813">
        <v>17.038499999999999</v>
      </c>
      <c r="I59" s="813">
        <v>17.038499999999999</v>
      </c>
      <c r="J59" s="813">
        <v>17.038499999999999</v>
      </c>
      <c r="K59" s="813">
        <v>17.038499999999999</v>
      </c>
      <c r="L59" s="813">
        <v>17.038499999999999</v>
      </c>
      <c r="M59" s="813">
        <v>17.038499999999999</v>
      </c>
      <c r="N59">
        <v>17.038499999999999</v>
      </c>
      <c r="O59">
        <v>17.038499999999999</v>
      </c>
      <c r="P59">
        <v>17.038499999999999</v>
      </c>
      <c r="Q59">
        <v>17.038499999999999</v>
      </c>
      <c r="R59">
        <v>17.038499999999999</v>
      </c>
      <c r="S59">
        <v>17.038499999999999</v>
      </c>
      <c r="T59">
        <v>17.038499999999999</v>
      </c>
    </row>
    <row r="60" spans="1:20">
      <c r="A60" s="48" t="str">
        <f>B60&amp;C60</f>
        <v>MoldovaRegional mean</v>
      </c>
      <c r="B60" s="547" t="s">
        <v>230</v>
      </c>
      <c r="C60" s="547" t="s">
        <v>889</v>
      </c>
      <c r="D60">
        <v>13.879999999999999</v>
      </c>
      <c r="E60">
        <v>13.879999999999999</v>
      </c>
      <c r="F60">
        <v>13.879999999999999</v>
      </c>
      <c r="G60">
        <v>13.879999999999999</v>
      </c>
      <c r="H60">
        <v>13.879999999999999</v>
      </c>
      <c r="I60">
        <v>13.879999999999999</v>
      </c>
      <c r="J60">
        <v>13.879999999999999</v>
      </c>
      <c r="K60">
        <v>13.879999999999999</v>
      </c>
      <c r="L60">
        <v>13.879999999999999</v>
      </c>
      <c r="M60">
        <v>13.879999999999999</v>
      </c>
      <c r="N60">
        <v>13.879999999999999</v>
      </c>
      <c r="O60">
        <v>13.879999999999999</v>
      </c>
      <c r="P60">
        <v>13.879999999999999</v>
      </c>
      <c r="Q60">
        <v>13.879999999999999</v>
      </c>
      <c r="R60">
        <v>13.879999999999999</v>
      </c>
      <c r="S60">
        <v>13.879999999999999</v>
      </c>
      <c r="T60">
        <v>13.879999999999999</v>
      </c>
    </row>
    <row r="61" spans="1:20">
      <c r="A61" s="48" t="str">
        <f>B61&amp;C61</f>
        <v>MongoliaRegional mean</v>
      </c>
      <c r="B61" s="547" t="s">
        <v>178</v>
      </c>
      <c r="C61" s="547" t="s">
        <v>889</v>
      </c>
      <c r="D61">
        <v>16.61</v>
      </c>
      <c r="E61">
        <v>16.61</v>
      </c>
      <c r="F61">
        <v>16.61</v>
      </c>
      <c r="G61">
        <v>16.61</v>
      </c>
      <c r="H61">
        <v>16.61</v>
      </c>
      <c r="I61">
        <v>16.61</v>
      </c>
      <c r="J61">
        <v>16.61</v>
      </c>
      <c r="K61">
        <v>16.61</v>
      </c>
      <c r="L61">
        <v>16.61</v>
      </c>
      <c r="M61">
        <v>16.61</v>
      </c>
      <c r="N61">
        <v>16.61</v>
      </c>
      <c r="O61">
        <v>16.61</v>
      </c>
      <c r="P61">
        <v>16.61</v>
      </c>
      <c r="Q61">
        <v>16.61</v>
      </c>
      <c r="R61">
        <v>16.61</v>
      </c>
      <c r="S61">
        <v>16.61</v>
      </c>
      <c r="T61">
        <v>16.61</v>
      </c>
    </row>
    <row r="62" spans="1:20">
      <c r="A62" s="528" t="str">
        <f>B62&amp;C62</f>
        <v>MoroccoRegional mean</v>
      </c>
      <c r="B62" s="544" t="s">
        <v>931</v>
      </c>
      <c r="C62" s="528" t="s">
        <v>889</v>
      </c>
      <c r="D62">
        <v>17.3</v>
      </c>
      <c r="E62">
        <v>17.3</v>
      </c>
      <c r="F62">
        <v>17.3</v>
      </c>
      <c r="G62">
        <v>17.3</v>
      </c>
      <c r="H62">
        <v>17.3</v>
      </c>
      <c r="I62">
        <v>17.3</v>
      </c>
      <c r="J62">
        <v>17.3</v>
      </c>
      <c r="K62">
        <v>17.3</v>
      </c>
      <c r="L62">
        <v>17.3</v>
      </c>
      <c r="M62">
        <v>17.3</v>
      </c>
      <c r="N62">
        <v>17.3</v>
      </c>
      <c r="O62">
        <v>17.3</v>
      </c>
      <c r="P62">
        <v>17.3</v>
      </c>
      <c r="Q62">
        <v>17.3</v>
      </c>
      <c r="R62">
        <v>17.3</v>
      </c>
      <c r="S62">
        <v>17.3</v>
      </c>
      <c r="T62">
        <v>17.3</v>
      </c>
    </row>
    <row r="63" spans="1:20">
      <c r="A63" s="48" t="str">
        <f>B63&amp;C63</f>
        <v>MozambiqueRegional mean</v>
      </c>
      <c r="B63" s="547" t="s">
        <v>138</v>
      </c>
      <c r="C63" s="547" t="s">
        <v>889</v>
      </c>
      <c r="D63">
        <v>20.606999999999999</v>
      </c>
      <c r="E63">
        <v>20.606999999999999</v>
      </c>
      <c r="F63">
        <v>20.606999999999999</v>
      </c>
      <c r="G63">
        <v>20.606999999999999</v>
      </c>
      <c r="H63">
        <v>20.606999999999999</v>
      </c>
      <c r="I63">
        <v>20.606999999999999</v>
      </c>
      <c r="J63">
        <v>20.606999999999999</v>
      </c>
      <c r="K63">
        <v>20.606999999999999</v>
      </c>
      <c r="L63">
        <v>20.606999999999999</v>
      </c>
      <c r="M63">
        <v>20.606999999999999</v>
      </c>
      <c r="N63">
        <v>20.606999999999999</v>
      </c>
      <c r="O63">
        <v>20.606999999999999</v>
      </c>
      <c r="P63">
        <v>20.606999999999999</v>
      </c>
      <c r="Q63">
        <v>20.606999999999999</v>
      </c>
      <c r="R63">
        <v>20.606999999999999</v>
      </c>
      <c r="S63">
        <v>20.606999999999999</v>
      </c>
      <c r="T63">
        <v>20.606999999999999</v>
      </c>
    </row>
    <row r="64" spans="1:20">
      <c r="A64" s="528" t="str">
        <f>B64&amp;C64</f>
        <v>MyanmarRegional mean</v>
      </c>
      <c r="B64" s="544" t="s">
        <v>932</v>
      </c>
      <c r="C64" s="528" t="s">
        <v>889</v>
      </c>
      <c r="D64">
        <v>19.477499999999999</v>
      </c>
      <c r="E64">
        <v>19.477499999999999</v>
      </c>
      <c r="F64">
        <v>19.477499999999999</v>
      </c>
      <c r="G64">
        <v>19.477499999999999</v>
      </c>
      <c r="H64">
        <v>19.477499999999999</v>
      </c>
      <c r="I64">
        <v>19.477499999999999</v>
      </c>
      <c r="J64">
        <v>19.477499999999999</v>
      </c>
      <c r="K64">
        <v>19.477499999999999</v>
      </c>
      <c r="L64">
        <v>19.477499999999999</v>
      </c>
      <c r="M64">
        <v>19.477499999999999</v>
      </c>
      <c r="N64">
        <v>19.477499999999999</v>
      </c>
      <c r="O64">
        <v>19.477499999999999</v>
      </c>
      <c r="P64">
        <v>19.477499999999999</v>
      </c>
      <c r="Q64">
        <v>19.477499999999999</v>
      </c>
      <c r="R64">
        <v>19.477499999999999</v>
      </c>
      <c r="S64">
        <v>19.477499999999999</v>
      </c>
      <c r="T64">
        <v>19.477499999999999</v>
      </c>
    </row>
    <row r="65" spans="1:20">
      <c r="A65" s="48" t="str">
        <f>B65&amp;C65</f>
        <v>NepalRegional mean</v>
      </c>
      <c r="B65" s="547" t="s">
        <v>179</v>
      </c>
      <c r="C65" s="547" t="s">
        <v>889</v>
      </c>
      <c r="D65" s="813">
        <v>19.477499999999999</v>
      </c>
      <c r="E65" s="813">
        <v>19.477499999999999</v>
      </c>
      <c r="F65" s="813">
        <v>19.477499999999999</v>
      </c>
      <c r="G65" s="813">
        <v>19.477499999999999</v>
      </c>
      <c r="H65" s="813">
        <v>19.477499999999999</v>
      </c>
      <c r="I65" s="813">
        <v>19.477499999999999</v>
      </c>
      <c r="J65" s="813">
        <v>19.477499999999999</v>
      </c>
      <c r="K65" s="813">
        <v>19.477499999999999</v>
      </c>
      <c r="L65" s="813">
        <v>19.477499999999999</v>
      </c>
      <c r="M65" s="813">
        <v>19.477499999999999</v>
      </c>
      <c r="N65" s="813">
        <v>19.477499999999999</v>
      </c>
      <c r="O65" s="813">
        <v>19.477499999999999</v>
      </c>
      <c r="P65">
        <v>19.477499999999999</v>
      </c>
      <c r="Q65">
        <v>19.477499999999999</v>
      </c>
      <c r="R65">
        <v>19.477499999999999</v>
      </c>
      <c r="S65">
        <v>19.477499999999999</v>
      </c>
      <c r="T65">
        <v>19.477499999999999</v>
      </c>
    </row>
    <row r="66" spans="1:20">
      <c r="A66" s="48" t="str">
        <f>B66&amp;C66</f>
        <v>NicaraguaRegional mean</v>
      </c>
      <c r="B66" s="547" t="s">
        <v>359</v>
      </c>
      <c r="C66" s="547" t="s">
        <v>889</v>
      </c>
      <c r="D66">
        <v>17.038499999999999</v>
      </c>
      <c r="E66">
        <v>17.038499999999999</v>
      </c>
      <c r="F66">
        <v>17.038499999999999</v>
      </c>
      <c r="G66">
        <v>17.038499999999999</v>
      </c>
      <c r="H66">
        <v>17.038499999999999</v>
      </c>
      <c r="I66">
        <v>17.038499999999999</v>
      </c>
      <c r="J66">
        <v>17.038499999999999</v>
      </c>
      <c r="K66">
        <v>17.038499999999999</v>
      </c>
      <c r="L66">
        <v>17.038499999999999</v>
      </c>
      <c r="M66">
        <v>17.038499999999999</v>
      </c>
      <c r="N66">
        <v>17.038499999999999</v>
      </c>
      <c r="O66">
        <v>17.038499999999999</v>
      </c>
      <c r="P66">
        <v>17.038499999999999</v>
      </c>
      <c r="Q66">
        <v>17.038499999999999</v>
      </c>
      <c r="R66">
        <v>17.038499999999999</v>
      </c>
      <c r="S66">
        <v>17.038499999999999</v>
      </c>
      <c r="T66">
        <v>17.038499999999999</v>
      </c>
    </row>
    <row r="67" spans="1:20">
      <c r="A67" s="48" t="str">
        <f>B67&amp;C67</f>
        <v>NigerRegional mean</v>
      </c>
      <c r="B67" s="547" t="s">
        <v>139</v>
      </c>
      <c r="C67" s="547" t="s">
        <v>889</v>
      </c>
      <c r="D67">
        <v>20.606999999999999</v>
      </c>
      <c r="E67">
        <v>20.606999999999999</v>
      </c>
      <c r="F67">
        <v>20.606999999999999</v>
      </c>
      <c r="G67">
        <v>20.606999999999999</v>
      </c>
      <c r="H67">
        <v>20.606999999999999</v>
      </c>
      <c r="I67">
        <v>20.606999999999999</v>
      </c>
      <c r="J67">
        <v>20.606999999999999</v>
      </c>
      <c r="K67">
        <v>20.606999999999999</v>
      </c>
      <c r="L67">
        <v>20.606999999999999</v>
      </c>
      <c r="M67">
        <v>20.606999999999999</v>
      </c>
      <c r="N67">
        <v>20.606999999999999</v>
      </c>
      <c r="O67">
        <v>20.606999999999999</v>
      </c>
      <c r="P67">
        <v>20.606999999999999</v>
      </c>
      <c r="Q67">
        <v>20.606999999999999</v>
      </c>
      <c r="R67">
        <v>20.606999999999999</v>
      </c>
      <c r="S67">
        <v>20.606999999999999</v>
      </c>
      <c r="T67">
        <v>20.606999999999999</v>
      </c>
    </row>
    <row r="68" spans="1:20">
      <c r="A68" s="48" t="str">
        <f>B68&amp;C68</f>
        <v>NigeriaRegional mean</v>
      </c>
      <c r="B68" s="547" t="s">
        <v>140</v>
      </c>
      <c r="C68" s="547" t="s">
        <v>889</v>
      </c>
      <c r="D68">
        <v>20.606999999999999</v>
      </c>
      <c r="E68">
        <v>20.606999999999999</v>
      </c>
      <c r="F68">
        <v>20.606999999999999</v>
      </c>
      <c r="G68">
        <v>20.606999999999999</v>
      </c>
      <c r="H68">
        <v>20.606999999999999</v>
      </c>
      <c r="I68">
        <v>20.606999999999999</v>
      </c>
      <c r="J68">
        <v>20.606999999999999</v>
      </c>
      <c r="K68">
        <v>20.606999999999999</v>
      </c>
      <c r="L68">
        <v>20.606999999999999</v>
      </c>
      <c r="M68">
        <v>20.606999999999999</v>
      </c>
      <c r="N68">
        <v>20.606999999999999</v>
      </c>
      <c r="O68">
        <v>20.606999999999999</v>
      </c>
      <c r="P68">
        <v>20.606999999999999</v>
      </c>
      <c r="Q68">
        <v>20.606999999999999</v>
      </c>
      <c r="R68">
        <v>20.606999999999999</v>
      </c>
      <c r="S68">
        <v>20.606999999999999</v>
      </c>
      <c r="T68">
        <v>20.606999999999999</v>
      </c>
    </row>
    <row r="69" spans="1:20">
      <c r="A69" s="528" t="str">
        <f>B69&amp;C69</f>
        <v>OmanRegional mean</v>
      </c>
      <c r="B69" s="544" t="s">
        <v>933</v>
      </c>
      <c r="C69" s="528" t="s">
        <v>889</v>
      </c>
      <c r="D69">
        <v>17.3</v>
      </c>
      <c r="E69">
        <v>17.3</v>
      </c>
      <c r="F69">
        <v>17.3</v>
      </c>
      <c r="G69">
        <v>17.3</v>
      </c>
      <c r="H69">
        <v>17.3</v>
      </c>
      <c r="I69">
        <v>17.3</v>
      </c>
      <c r="J69">
        <v>17.3</v>
      </c>
      <c r="K69">
        <v>17.3</v>
      </c>
      <c r="L69">
        <v>17.3</v>
      </c>
      <c r="M69">
        <v>17.3</v>
      </c>
      <c r="N69">
        <v>17.3</v>
      </c>
      <c r="O69">
        <v>17.3</v>
      </c>
      <c r="P69">
        <v>17.3</v>
      </c>
      <c r="Q69">
        <v>17.3</v>
      </c>
      <c r="R69">
        <v>17.3</v>
      </c>
      <c r="S69">
        <v>17.3</v>
      </c>
      <c r="T69">
        <v>17.3</v>
      </c>
    </row>
    <row r="70" spans="1:20">
      <c r="A70" s="48" t="str">
        <f>B70&amp;C70</f>
        <v>PanamaRegional mean</v>
      </c>
      <c r="B70" s="547" t="s">
        <v>180</v>
      </c>
      <c r="C70" s="547" t="s">
        <v>889</v>
      </c>
      <c r="D70">
        <v>17.038499999999999</v>
      </c>
      <c r="E70">
        <v>17.038499999999999</v>
      </c>
      <c r="F70">
        <v>17.038499999999999</v>
      </c>
      <c r="G70">
        <v>17.038499999999999</v>
      </c>
      <c r="H70">
        <v>17.038499999999999</v>
      </c>
      <c r="I70">
        <v>17.038499999999999</v>
      </c>
      <c r="J70">
        <v>17.038499999999999</v>
      </c>
      <c r="K70">
        <v>17.038499999999999</v>
      </c>
      <c r="L70">
        <v>17.038499999999999</v>
      </c>
      <c r="M70">
        <v>17.038499999999999</v>
      </c>
      <c r="N70">
        <v>17.038499999999999</v>
      </c>
      <c r="O70">
        <v>17.038499999999999</v>
      </c>
      <c r="P70">
        <v>17.038499999999999</v>
      </c>
      <c r="Q70">
        <v>17.038499999999999</v>
      </c>
      <c r="R70">
        <v>17.038499999999999</v>
      </c>
      <c r="S70">
        <v>17.038499999999999</v>
      </c>
      <c r="T70">
        <v>17.038499999999999</v>
      </c>
    </row>
    <row r="71" spans="1:20">
      <c r="A71" s="48" t="str">
        <f>B71&amp;C71</f>
        <v>Papua New GuineaRegional mean</v>
      </c>
      <c r="B71" s="547" t="s">
        <v>181</v>
      </c>
      <c r="C71" s="547" t="s">
        <v>889</v>
      </c>
      <c r="D71">
        <v>16.61</v>
      </c>
      <c r="E71">
        <v>16.61</v>
      </c>
      <c r="F71">
        <v>16.61</v>
      </c>
      <c r="G71">
        <v>16.61</v>
      </c>
      <c r="H71">
        <v>16.61</v>
      </c>
      <c r="I71">
        <v>16.61</v>
      </c>
      <c r="J71">
        <v>16.61</v>
      </c>
      <c r="K71">
        <v>16.61</v>
      </c>
      <c r="L71">
        <v>16.61</v>
      </c>
      <c r="M71">
        <v>16.61</v>
      </c>
      <c r="N71">
        <v>16.61</v>
      </c>
      <c r="O71">
        <v>16.61</v>
      </c>
      <c r="P71">
        <v>16.61</v>
      </c>
      <c r="Q71">
        <v>16.61</v>
      </c>
      <c r="R71">
        <v>16.61</v>
      </c>
      <c r="S71">
        <v>16.61</v>
      </c>
      <c r="T71">
        <v>16.61</v>
      </c>
    </row>
    <row r="72" spans="1:20">
      <c r="A72" s="48" t="str">
        <f>B72&amp;C72</f>
        <v>ParaguayRegional mean</v>
      </c>
      <c r="B72" s="547" t="s">
        <v>182</v>
      </c>
      <c r="C72" s="547" t="s">
        <v>889</v>
      </c>
      <c r="D72">
        <v>17.038499999999999</v>
      </c>
      <c r="E72">
        <v>17.038499999999999</v>
      </c>
      <c r="F72">
        <v>17.038499999999999</v>
      </c>
      <c r="G72">
        <v>17.038499999999999</v>
      </c>
      <c r="H72">
        <v>17.038499999999999</v>
      </c>
      <c r="I72">
        <v>17.038499999999999</v>
      </c>
      <c r="J72">
        <v>17.038499999999999</v>
      </c>
      <c r="K72">
        <v>17.038499999999999</v>
      </c>
      <c r="L72">
        <v>17.038499999999999</v>
      </c>
      <c r="M72">
        <v>17.038499999999999</v>
      </c>
      <c r="N72">
        <v>17.038499999999999</v>
      </c>
      <c r="O72">
        <v>17.038499999999999</v>
      </c>
      <c r="P72">
        <v>17.038499999999999</v>
      </c>
      <c r="Q72">
        <v>17.038499999999999</v>
      </c>
      <c r="R72">
        <v>17.038499999999999</v>
      </c>
      <c r="S72">
        <v>17.038499999999999</v>
      </c>
      <c r="T72">
        <v>17.038499999999999</v>
      </c>
    </row>
    <row r="73" spans="1:20">
      <c r="A73" s="48" t="str">
        <f>B73&amp;C73</f>
        <v>PeruRegional mean</v>
      </c>
      <c r="B73" s="547" t="s">
        <v>360</v>
      </c>
      <c r="C73" s="547" t="s">
        <v>889</v>
      </c>
      <c r="D73" s="813">
        <v>17.038499999999999</v>
      </c>
      <c r="E73" s="813">
        <v>17.038499999999999</v>
      </c>
      <c r="F73" s="813">
        <v>17.038499999999999</v>
      </c>
      <c r="G73" s="813">
        <v>17.038499999999999</v>
      </c>
      <c r="H73" s="813">
        <v>17.038499999999999</v>
      </c>
      <c r="I73" s="813">
        <v>17.038499999999999</v>
      </c>
      <c r="J73" s="813">
        <v>17.038499999999999</v>
      </c>
      <c r="K73" s="813">
        <v>17.038499999999999</v>
      </c>
      <c r="L73" s="813">
        <v>17.038499999999999</v>
      </c>
      <c r="M73" s="813">
        <v>17.038499999999999</v>
      </c>
      <c r="N73" s="813">
        <v>17.038499999999999</v>
      </c>
      <c r="O73" s="813">
        <v>17.038499999999999</v>
      </c>
      <c r="P73" s="813">
        <v>17.038499999999999</v>
      </c>
      <c r="Q73" s="813">
        <v>17.038499999999999</v>
      </c>
      <c r="R73" s="813">
        <v>17.038499999999999</v>
      </c>
      <c r="S73">
        <v>17.038499999999999</v>
      </c>
      <c r="T73">
        <v>17.038499999999999</v>
      </c>
    </row>
    <row r="74" spans="1:20">
      <c r="A74" s="528" t="str">
        <f>B74&amp;C74</f>
        <v>Republic of the CongoRegional mean</v>
      </c>
      <c r="B74" s="544" t="s">
        <v>934</v>
      </c>
      <c r="C74" s="528" t="s">
        <v>889</v>
      </c>
      <c r="D74">
        <v>20.606999999999999</v>
      </c>
      <c r="E74">
        <v>20.606999999999999</v>
      </c>
      <c r="F74">
        <v>20.606999999999999</v>
      </c>
      <c r="G74">
        <v>20.606999999999999</v>
      </c>
      <c r="H74">
        <v>20.606999999999999</v>
      </c>
      <c r="I74">
        <v>20.606999999999999</v>
      </c>
      <c r="J74">
        <v>20.606999999999999</v>
      </c>
      <c r="K74">
        <v>20.606999999999999</v>
      </c>
      <c r="L74">
        <v>20.606999999999999</v>
      </c>
      <c r="M74">
        <v>20.606999999999999</v>
      </c>
      <c r="N74">
        <v>20.606999999999999</v>
      </c>
      <c r="O74">
        <v>20.606999999999999</v>
      </c>
      <c r="P74">
        <v>20.606999999999999</v>
      </c>
      <c r="Q74">
        <v>20.606999999999999</v>
      </c>
      <c r="R74">
        <v>20.606999999999999</v>
      </c>
      <c r="S74">
        <v>20.606999999999999</v>
      </c>
      <c r="T74">
        <v>20.606999999999999</v>
      </c>
    </row>
    <row r="75" spans="1:20">
      <c r="A75" s="547" t="str">
        <f>B75&amp;C75</f>
        <v>RwandaRegional mean</v>
      </c>
      <c r="B75" s="547" t="s">
        <v>953</v>
      </c>
      <c r="C75" s="547" t="s">
        <v>889</v>
      </c>
      <c r="D75">
        <v>20.606999999999999</v>
      </c>
      <c r="E75">
        <v>20.606999999999999</v>
      </c>
      <c r="F75">
        <v>20.606999999999999</v>
      </c>
      <c r="G75">
        <v>20.606999999999999</v>
      </c>
      <c r="H75">
        <v>20.606999999999999</v>
      </c>
      <c r="I75">
        <v>20.606999999999999</v>
      </c>
      <c r="J75">
        <v>20.606999999999999</v>
      </c>
      <c r="K75">
        <v>20.606999999999999</v>
      </c>
      <c r="L75">
        <v>20.606999999999999</v>
      </c>
      <c r="M75">
        <v>20.606999999999999</v>
      </c>
      <c r="N75">
        <v>20.606999999999999</v>
      </c>
      <c r="O75">
        <v>20.606999999999999</v>
      </c>
      <c r="P75">
        <v>20.606999999999999</v>
      </c>
      <c r="Q75">
        <v>20.606999999999999</v>
      </c>
      <c r="R75">
        <v>20.606999999999999</v>
      </c>
      <c r="S75">
        <v>20.606999999999999</v>
      </c>
      <c r="T75">
        <v>20.606999999999999</v>
      </c>
    </row>
    <row r="76" spans="1:20">
      <c r="A76" s="48" t="str">
        <f>B76&amp;C76</f>
        <v>Saint Kitts &amp; NevisRegional mean</v>
      </c>
      <c r="B76" s="547" t="s">
        <v>361</v>
      </c>
      <c r="C76" s="547" t="s">
        <v>889</v>
      </c>
      <c r="D76">
        <v>17.038499999999999</v>
      </c>
      <c r="E76">
        <v>17.038499999999999</v>
      </c>
      <c r="F76">
        <v>17.038499999999999</v>
      </c>
      <c r="G76">
        <v>17.038499999999999</v>
      </c>
      <c r="H76">
        <v>17.038499999999999</v>
      </c>
      <c r="I76">
        <v>17.038499999999999</v>
      </c>
      <c r="J76">
        <v>17.038499999999999</v>
      </c>
      <c r="K76">
        <v>17.038499999999999</v>
      </c>
      <c r="L76">
        <v>17.038499999999999</v>
      </c>
      <c r="M76">
        <v>17.038499999999999</v>
      </c>
      <c r="N76">
        <v>17.038499999999999</v>
      </c>
      <c r="O76">
        <v>17.038499999999999</v>
      </c>
      <c r="P76">
        <v>17.038499999999999</v>
      </c>
      <c r="Q76">
        <v>17.038499999999999</v>
      </c>
      <c r="R76">
        <v>17.038499999999999</v>
      </c>
      <c r="S76">
        <v>17.038499999999999</v>
      </c>
      <c r="T76">
        <v>17.038499999999999</v>
      </c>
    </row>
    <row r="77" spans="1:20">
      <c r="A77" s="48" t="str">
        <f>B77&amp;C77</f>
        <v>Saint LuciaRegional mean</v>
      </c>
      <c r="B77" s="547" t="s">
        <v>362</v>
      </c>
      <c r="C77" s="547" t="s">
        <v>889</v>
      </c>
      <c r="D77">
        <v>17.038499999999999</v>
      </c>
      <c r="E77">
        <v>17.038499999999999</v>
      </c>
      <c r="F77">
        <v>17.038499999999999</v>
      </c>
      <c r="G77">
        <v>17.038499999999999</v>
      </c>
      <c r="H77">
        <v>17.038499999999999</v>
      </c>
      <c r="I77">
        <v>17.038499999999999</v>
      </c>
      <c r="J77">
        <v>17.038499999999999</v>
      </c>
      <c r="K77">
        <v>17.038499999999999</v>
      </c>
      <c r="L77">
        <v>17.038499999999999</v>
      </c>
      <c r="M77">
        <v>17.038499999999999</v>
      </c>
      <c r="N77">
        <v>17.038499999999999</v>
      </c>
      <c r="O77">
        <v>17.038499999999999</v>
      </c>
      <c r="P77">
        <v>17.038499999999999</v>
      </c>
      <c r="Q77">
        <v>17.038499999999999</v>
      </c>
      <c r="R77">
        <v>17.038499999999999</v>
      </c>
      <c r="S77">
        <v>17.038499999999999</v>
      </c>
      <c r="T77">
        <v>17.038499999999999</v>
      </c>
    </row>
    <row r="78" spans="1:20">
      <c r="A78" s="48" t="str">
        <f>B78&amp;C78</f>
        <v>Saint Vincent &amp; the GrenadinesRegional mean</v>
      </c>
      <c r="B78" s="547" t="s">
        <v>363</v>
      </c>
      <c r="C78" s="547" t="s">
        <v>889</v>
      </c>
      <c r="D78">
        <v>17.038499999999999</v>
      </c>
      <c r="E78">
        <v>17.038499999999999</v>
      </c>
      <c r="F78">
        <v>17.038499999999999</v>
      </c>
      <c r="G78">
        <v>17.038499999999999</v>
      </c>
      <c r="H78">
        <v>17.038499999999999</v>
      </c>
      <c r="I78">
        <v>17.038499999999999</v>
      </c>
      <c r="J78">
        <v>17.038499999999999</v>
      </c>
      <c r="K78">
        <v>17.038499999999999</v>
      </c>
      <c r="L78">
        <v>17.038499999999999</v>
      </c>
      <c r="M78">
        <v>17.038499999999999</v>
      </c>
      <c r="N78">
        <v>17.038499999999999</v>
      </c>
      <c r="O78">
        <v>17.038499999999999</v>
      </c>
      <c r="P78">
        <v>17.038499999999999</v>
      </c>
      <c r="Q78">
        <v>17.038499999999999</v>
      </c>
      <c r="R78">
        <v>17.038499999999999</v>
      </c>
      <c r="S78">
        <v>17.038499999999999</v>
      </c>
      <c r="T78">
        <v>17.038499999999999</v>
      </c>
    </row>
    <row r="79" spans="1:20">
      <c r="A79" s="48" t="str">
        <f>B79&amp;C79</f>
        <v>SamoaRegional mean</v>
      </c>
      <c r="B79" s="547" t="s">
        <v>183</v>
      </c>
      <c r="C79" s="547" t="s">
        <v>889</v>
      </c>
      <c r="D79">
        <v>16.61</v>
      </c>
      <c r="E79">
        <v>16.61</v>
      </c>
      <c r="F79">
        <v>16.61</v>
      </c>
      <c r="G79">
        <v>16.61</v>
      </c>
      <c r="H79">
        <v>16.61</v>
      </c>
      <c r="I79">
        <v>16.61</v>
      </c>
      <c r="J79">
        <v>16.61</v>
      </c>
      <c r="K79">
        <v>16.61</v>
      </c>
      <c r="L79">
        <v>16.61</v>
      </c>
      <c r="M79">
        <v>16.61</v>
      </c>
      <c r="N79">
        <v>16.61</v>
      </c>
      <c r="O79">
        <v>16.61</v>
      </c>
      <c r="P79">
        <v>16.61</v>
      </c>
      <c r="Q79">
        <v>16.61</v>
      </c>
      <c r="R79">
        <v>16.61</v>
      </c>
      <c r="S79">
        <v>16.61</v>
      </c>
      <c r="T79">
        <v>16.61</v>
      </c>
    </row>
    <row r="80" spans="1:20">
      <c r="A80" s="48" t="str">
        <f>B80&amp;C80</f>
        <v>Sao Tome &amp; PrincipeRegional mean</v>
      </c>
      <c r="B80" s="547" t="s">
        <v>364</v>
      </c>
      <c r="C80" s="547" t="s">
        <v>889</v>
      </c>
      <c r="D80">
        <v>20.606999999999999</v>
      </c>
      <c r="E80">
        <v>20.606999999999999</v>
      </c>
      <c r="F80">
        <v>20.606999999999999</v>
      </c>
      <c r="G80">
        <v>20.606999999999999</v>
      </c>
      <c r="H80">
        <v>20.606999999999999</v>
      </c>
      <c r="I80">
        <v>20.606999999999999</v>
      </c>
      <c r="J80">
        <v>20.606999999999999</v>
      </c>
      <c r="K80">
        <v>20.606999999999999</v>
      </c>
      <c r="L80">
        <v>20.606999999999999</v>
      </c>
      <c r="M80">
        <v>20.606999999999999</v>
      </c>
      <c r="N80">
        <v>20.606999999999999</v>
      </c>
      <c r="O80">
        <v>20.606999999999999</v>
      </c>
      <c r="P80">
        <v>20.606999999999999</v>
      </c>
      <c r="Q80">
        <v>20.606999999999999</v>
      </c>
      <c r="R80">
        <v>20.606999999999999</v>
      </c>
      <c r="S80">
        <v>20.606999999999999</v>
      </c>
      <c r="T80">
        <v>20.606999999999999</v>
      </c>
    </row>
    <row r="81" spans="1:20">
      <c r="A81" s="528" t="str">
        <f>B81&amp;C81</f>
        <v>Saudi ArabiaRegional mean</v>
      </c>
      <c r="B81" s="544" t="s">
        <v>935</v>
      </c>
      <c r="C81" s="528" t="s">
        <v>889</v>
      </c>
      <c r="D81">
        <v>17.3</v>
      </c>
      <c r="E81">
        <v>17.3</v>
      </c>
      <c r="F81">
        <v>17.3</v>
      </c>
      <c r="G81">
        <v>17.3</v>
      </c>
      <c r="H81">
        <v>17.3</v>
      </c>
      <c r="I81">
        <v>17.3</v>
      </c>
      <c r="J81">
        <v>17.3</v>
      </c>
      <c r="K81">
        <v>17.3</v>
      </c>
      <c r="L81">
        <v>17.3</v>
      </c>
      <c r="M81">
        <v>17.3</v>
      </c>
      <c r="N81">
        <v>17.3</v>
      </c>
      <c r="O81">
        <v>17.3</v>
      </c>
      <c r="P81">
        <v>17.3</v>
      </c>
      <c r="Q81">
        <v>17.3</v>
      </c>
      <c r="R81">
        <v>17.3</v>
      </c>
      <c r="S81">
        <v>17.3</v>
      </c>
      <c r="T81">
        <v>17.3</v>
      </c>
    </row>
    <row r="82" spans="1:20">
      <c r="A82" s="48" t="str">
        <f>B82&amp;C82</f>
        <v>SenegalRegional mean</v>
      </c>
      <c r="B82" s="547" t="s">
        <v>141</v>
      </c>
      <c r="C82" s="547" t="s">
        <v>889</v>
      </c>
      <c r="D82">
        <v>20.606999999999999</v>
      </c>
      <c r="E82">
        <v>20.606999999999999</v>
      </c>
      <c r="F82">
        <v>20.606999999999999</v>
      </c>
      <c r="G82">
        <v>20.606999999999999</v>
      </c>
      <c r="H82">
        <v>20.606999999999999</v>
      </c>
      <c r="I82">
        <v>20.606999999999999</v>
      </c>
      <c r="J82">
        <v>20.606999999999999</v>
      </c>
      <c r="K82">
        <v>20.606999999999999</v>
      </c>
      <c r="L82">
        <v>20.606999999999999</v>
      </c>
      <c r="M82">
        <v>20.606999999999999</v>
      </c>
      <c r="N82">
        <v>20.606999999999999</v>
      </c>
      <c r="O82">
        <v>20.606999999999999</v>
      </c>
      <c r="P82">
        <v>20.606999999999999</v>
      </c>
      <c r="Q82">
        <v>20.606999999999999</v>
      </c>
      <c r="R82">
        <v>20.606999999999999</v>
      </c>
      <c r="S82">
        <v>20.606999999999999</v>
      </c>
      <c r="T82">
        <v>20.606999999999999</v>
      </c>
    </row>
    <row r="83" spans="1:20">
      <c r="A83" s="48" t="str">
        <f>B83&amp;C83</f>
        <v>SeychellesRegional mean</v>
      </c>
      <c r="B83" s="547" t="s">
        <v>151</v>
      </c>
      <c r="C83" s="547" t="s">
        <v>889</v>
      </c>
      <c r="D83">
        <v>20.606999999999999</v>
      </c>
      <c r="E83">
        <v>20.606999999999999</v>
      </c>
      <c r="F83">
        <v>20.606999999999999</v>
      </c>
      <c r="G83">
        <v>20.606999999999999</v>
      </c>
      <c r="H83">
        <v>20.606999999999999</v>
      </c>
      <c r="I83">
        <v>20.606999999999999</v>
      </c>
      <c r="J83">
        <v>20.606999999999999</v>
      </c>
      <c r="K83">
        <v>20.606999999999999</v>
      </c>
      <c r="L83">
        <v>20.606999999999999</v>
      </c>
      <c r="M83">
        <v>20.606999999999999</v>
      </c>
      <c r="N83">
        <v>20.606999999999999</v>
      </c>
      <c r="O83">
        <v>20.606999999999999</v>
      </c>
      <c r="P83">
        <v>20.606999999999999</v>
      </c>
      <c r="Q83">
        <v>20.606999999999999</v>
      </c>
      <c r="R83">
        <v>20.606999999999999</v>
      </c>
      <c r="S83">
        <v>20.606999999999999</v>
      </c>
      <c r="T83">
        <v>20.606999999999999</v>
      </c>
    </row>
    <row r="84" spans="1:20">
      <c r="A84" s="528" t="str">
        <f>B84&amp;C84</f>
        <v>Sierra LeoneRegional mean</v>
      </c>
      <c r="B84" s="544" t="s">
        <v>936</v>
      </c>
      <c r="C84" s="528" t="s">
        <v>889</v>
      </c>
      <c r="D84">
        <v>20.606999999999999</v>
      </c>
      <c r="E84">
        <v>20.606999999999999</v>
      </c>
      <c r="F84">
        <v>20.606999999999999</v>
      </c>
      <c r="G84">
        <v>20.606999999999999</v>
      </c>
      <c r="H84">
        <v>20.606999999999999</v>
      </c>
      <c r="I84">
        <v>20.606999999999999</v>
      </c>
      <c r="J84">
        <v>20.606999999999999</v>
      </c>
      <c r="K84">
        <v>20.606999999999999</v>
      </c>
      <c r="L84">
        <v>20.606999999999999</v>
      </c>
      <c r="M84">
        <v>20.606999999999999</v>
      </c>
      <c r="N84">
        <v>20.606999999999999</v>
      </c>
      <c r="O84">
        <v>20.606999999999999</v>
      </c>
      <c r="P84">
        <v>20.606999999999999</v>
      </c>
      <c r="Q84">
        <v>20.606999999999999</v>
      </c>
      <c r="R84">
        <v>20.606999999999999</v>
      </c>
      <c r="S84">
        <v>20.606999999999999</v>
      </c>
      <c r="T84">
        <v>20.606999999999999</v>
      </c>
    </row>
    <row r="85" spans="1:20">
      <c r="A85" s="547" t="str">
        <f>B85&amp;C85</f>
        <v>Solomon IslandsRegional mean</v>
      </c>
      <c r="B85" s="547" t="s">
        <v>950</v>
      </c>
      <c r="C85" s="547" t="s">
        <v>889</v>
      </c>
      <c r="D85">
        <v>16.61</v>
      </c>
      <c r="E85">
        <v>16.61</v>
      </c>
      <c r="F85">
        <v>16.61</v>
      </c>
      <c r="G85">
        <v>16.61</v>
      </c>
      <c r="H85">
        <v>16.61</v>
      </c>
      <c r="I85">
        <v>16.61</v>
      </c>
      <c r="J85">
        <v>16.61</v>
      </c>
      <c r="K85">
        <v>16.61</v>
      </c>
      <c r="L85">
        <v>16.61</v>
      </c>
      <c r="M85">
        <v>16.61</v>
      </c>
      <c r="N85">
        <v>16.61</v>
      </c>
      <c r="O85">
        <v>16.61</v>
      </c>
      <c r="P85">
        <v>16.61</v>
      </c>
      <c r="Q85">
        <v>16.61</v>
      </c>
      <c r="R85">
        <v>16.61</v>
      </c>
      <c r="S85">
        <v>16.61</v>
      </c>
      <c r="T85">
        <v>16.61</v>
      </c>
    </row>
    <row r="86" spans="1:20">
      <c r="A86" s="528" t="str">
        <f>B86&amp;C86</f>
        <v>SomaliaRegional mean</v>
      </c>
      <c r="B86" s="528" t="s">
        <v>937</v>
      </c>
      <c r="C86" s="528" t="s">
        <v>889</v>
      </c>
      <c r="D86">
        <v>17.3</v>
      </c>
      <c r="E86">
        <v>17.3</v>
      </c>
      <c r="F86">
        <v>17.3</v>
      </c>
      <c r="G86">
        <v>17.3</v>
      </c>
      <c r="H86">
        <v>17.3</v>
      </c>
      <c r="I86">
        <v>17.3</v>
      </c>
      <c r="J86">
        <v>17.3</v>
      </c>
      <c r="K86">
        <v>17.3</v>
      </c>
      <c r="L86">
        <v>17.3</v>
      </c>
      <c r="M86">
        <v>17.3</v>
      </c>
      <c r="N86">
        <v>17.3</v>
      </c>
      <c r="O86">
        <v>17.3</v>
      </c>
      <c r="P86">
        <v>17.3</v>
      </c>
      <c r="Q86">
        <v>17.3</v>
      </c>
      <c r="R86">
        <v>17.3</v>
      </c>
      <c r="S86">
        <v>17.3</v>
      </c>
      <c r="T86">
        <v>17.3</v>
      </c>
    </row>
    <row r="87" spans="1:20">
      <c r="A87" s="48" t="str">
        <f>B87&amp;C87</f>
        <v>South AfricaRegional mean</v>
      </c>
      <c r="B87" s="547" t="s">
        <v>0</v>
      </c>
      <c r="C87" s="547" t="s">
        <v>889</v>
      </c>
      <c r="D87">
        <v>20.606999999999999</v>
      </c>
      <c r="E87">
        <v>20.606999999999999</v>
      </c>
      <c r="F87">
        <v>20.606999999999999</v>
      </c>
      <c r="G87">
        <v>20.606999999999999</v>
      </c>
      <c r="H87">
        <v>20.606999999999999</v>
      </c>
      <c r="I87">
        <v>20.606999999999999</v>
      </c>
      <c r="J87">
        <v>20.606999999999999</v>
      </c>
      <c r="K87">
        <v>20.606999999999999</v>
      </c>
      <c r="L87">
        <v>20.606999999999999</v>
      </c>
      <c r="M87">
        <v>20.606999999999999</v>
      </c>
      <c r="N87">
        <v>20.606999999999999</v>
      </c>
      <c r="O87">
        <v>20.606999999999999</v>
      </c>
      <c r="P87">
        <v>20.606999999999999</v>
      </c>
      <c r="Q87">
        <v>20.606999999999999</v>
      </c>
      <c r="R87">
        <v>20.606999999999999</v>
      </c>
      <c r="S87">
        <v>20.606999999999999</v>
      </c>
      <c r="T87">
        <v>20.606999999999999</v>
      </c>
    </row>
    <row r="88" spans="1:20">
      <c r="A88" s="528" t="str">
        <f>B88&amp;C88</f>
        <v>South SudanRegional mean</v>
      </c>
      <c r="B88" s="528" t="s">
        <v>938</v>
      </c>
      <c r="C88" s="528" t="s">
        <v>889</v>
      </c>
      <c r="D88">
        <v>20.606999999999999</v>
      </c>
      <c r="E88">
        <v>20.606999999999999</v>
      </c>
      <c r="F88">
        <v>20.606999999999999</v>
      </c>
      <c r="G88">
        <v>20.606999999999999</v>
      </c>
      <c r="H88">
        <v>20.606999999999999</v>
      </c>
      <c r="I88">
        <v>20.606999999999999</v>
      </c>
      <c r="J88">
        <v>20.606999999999999</v>
      </c>
      <c r="K88">
        <v>20.606999999999999</v>
      </c>
      <c r="L88">
        <v>20.606999999999999</v>
      </c>
      <c r="M88">
        <v>20.606999999999999</v>
      </c>
      <c r="N88">
        <v>20.606999999999999</v>
      </c>
      <c r="O88">
        <v>20.606999999999999</v>
      </c>
      <c r="P88">
        <v>20.606999999999999</v>
      </c>
      <c r="Q88">
        <v>20.606999999999999</v>
      </c>
      <c r="R88">
        <v>20.606999999999999</v>
      </c>
      <c r="S88">
        <v>20.606999999999999</v>
      </c>
      <c r="T88">
        <v>20.606999999999999</v>
      </c>
    </row>
    <row r="89" spans="1:20">
      <c r="A89" s="48" t="str">
        <f>B89&amp;C89</f>
        <v>Sri LankaRegional mean</v>
      </c>
      <c r="B89" s="547" t="s">
        <v>374</v>
      </c>
      <c r="C89" s="547" t="s">
        <v>889</v>
      </c>
      <c r="D89">
        <v>19.477499999999999</v>
      </c>
      <c r="E89">
        <v>19.477499999999999</v>
      </c>
      <c r="F89">
        <v>19.477499999999999</v>
      </c>
      <c r="G89">
        <v>19.477499999999999</v>
      </c>
      <c r="H89">
        <v>19.477499999999999</v>
      </c>
      <c r="I89">
        <v>19.477499999999999</v>
      </c>
      <c r="J89">
        <v>19.477499999999999</v>
      </c>
      <c r="K89">
        <v>19.477499999999999</v>
      </c>
      <c r="L89">
        <v>19.477499999999999</v>
      </c>
      <c r="M89">
        <v>19.477499999999999</v>
      </c>
      <c r="N89">
        <v>19.477499999999999</v>
      </c>
      <c r="O89">
        <v>19.477499999999999</v>
      </c>
      <c r="P89">
        <v>19.477499999999999</v>
      </c>
      <c r="Q89">
        <v>19.477499999999999</v>
      </c>
      <c r="R89">
        <v>19.477499999999999</v>
      </c>
      <c r="S89">
        <v>19.477499999999999</v>
      </c>
      <c r="T89">
        <v>19.477499999999999</v>
      </c>
    </row>
    <row r="90" spans="1:20">
      <c r="A90" s="48" t="str">
        <f>B90&amp;C90</f>
        <v>SurinameRegional mean</v>
      </c>
      <c r="B90" s="547" t="s">
        <v>365</v>
      </c>
      <c r="C90" s="547" t="s">
        <v>889</v>
      </c>
      <c r="D90">
        <v>17.038499999999999</v>
      </c>
      <c r="E90">
        <v>17.038499999999999</v>
      </c>
      <c r="F90">
        <v>17.038499999999999</v>
      </c>
      <c r="G90">
        <v>17.038499999999999</v>
      </c>
      <c r="H90">
        <v>17.038499999999999</v>
      </c>
      <c r="I90">
        <v>17.038499999999999</v>
      </c>
      <c r="J90">
        <v>17.038499999999999</v>
      </c>
      <c r="K90">
        <v>17.038499999999999</v>
      </c>
      <c r="L90">
        <v>17.038499999999999</v>
      </c>
      <c r="M90">
        <v>17.038499999999999</v>
      </c>
      <c r="N90">
        <v>17.038499999999999</v>
      </c>
      <c r="O90">
        <v>17.038499999999999</v>
      </c>
      <c r="P90">
        <v>17.038499999999999</v>
      </c>
      <c r="Q90">
        <v>17.038499999999999</v>
      </c>
      <c r="R90">
        <v>17.038499999999999</v>
      </c>
      <c r="S90">
        <v>17.038499999999999</v>
      </c>
      <c r="T90">
        <v>17.038499999999999</v>
      </c>
    </row>
    <row r="91" spans="1:20">
      <c r="A91" s="48" t="str">
        <f>B91&amp;C91</f>
        <v>TanzaniaRegional mean</v>
      </c>
      <c r="B91" s="547" t="s">
        <v>143</v>
      </c>
      <c r="C91" s="547" t="s">
        <v>889</v>
      </c>
      <c r="D91">
        <v>20.606999999999999</v>
      </c>
      <c r="E91">
        <v>20.606999999999999</v>
      </c>
      <c r="F91">
        <v>20.606999999999999</v>
      </c>
      <c r="G91">
        <v>20.606999999999999</v>
      </c>
      <c r="H91">
        <v>20.606999999999999</v>
      </c>
      <c r="I91">
        <v>20.606999999999999</v>
      </c>
      <c r="J91">
        <v>20.606999999999999</v>
      </c>
      <c r="K91">
        <v>20.606999999999999</v>
      </c>
      <c r="L91">
        <v>20.606999999999999</v>
      </c>
      <c r="M91">
        <v>20.606999999999999</v>
      </c>
      <c r="N91">
        <v>20.606999999999999</v>
      </c>
      <c r="O91">
        <v>20.606999999999999</v>
      </c>
      <c r="P91">
        <v>20.606999999999999</v>
      </c>
      <c r="Q91">
        <v>20.606999999999999</v>
      </c>
      <c r="R91">
        <v>20.606999999999999</v>
      </c>
      <c r="S91">
        <v>20.606999999999999</v>
      </c>
      <c r="T91">
        <v>20.606999999999999</v>
      </c>
    </row>
    <row r="92" spans="1:20">
      <c r="A92" s="48" t="str">
        <f>B92&amp;C92</f>
        <v>ThailandRegional mean</v>
      </c>
      <c r="B92" s="547" t="s">
        <v>185</v>
      </c>
      <c r="C92" s="547" t="s">
        <v>889</v>
      </c>
      <c r="D92">
        <v>19.477499999999999</v>
      </c>
      <c r="E92">
        <v>19.477499999999999</v>
      </c>
      <c r="F92">
        <v>19.477499999999999</v>
      </c>
      <c r="G92">
        <v>19.477499999999999</v>
      </c>
      <c r="H92">
        <v>19.477499999999999</v>
      </c>
      <c r="I92">
        <v>19.477499999999999</v>
      </c>
      <c r="J92">
        <v>19.477499999999999</v>
      </c>
      <c r="K92">
        <v>19.477499999999999</v>
      </c>
      <c r="L92">
        <v>19.477499999999999</v>
      </c>
      <c r="M92">
        <v>19.477499999999999</v>
      </c>
      <c r="N92">
        <v>19.477499999999999</v>
      </c>
      <c r="O92">
        <v>19.477499999999999</v>
      </c>
      <c r="P92">
        <v>19.477499999999999</v>
      </c>
      <c r="Q92">
        <v>19.477499999999999</v>
      </c>
      <c r="R92">
        <v>19.477499999999999</v>
      </c>
      <c r="S92">
        <v>19.477499999999999</v>
      </c>
      <c r="T92">
        <v>19.477499999999999</v>
      </c>
    </row>
    <row r="93" spans="1:20">
      <c r="A93" s="48" t="str">
        <f>B93&amp;C93</f>
        <v>TogoRegional mean</v>
      </c>
      <c r="B93" s="547" t="s">
        <v>142</v>
      </c>
      <c r="C93" s="547" t="s">
        <v>889</v>
      </c>
      <c r="D93">
        <v>20.606999999999999</v>
      </c>
      <c r="E93">
        <v>20.606999999999999</v>
      </c>
      <c r="F93">
        <v>20.606999999999999</v>
      </c>
      <c r="G93">
        <v>20.606999999999999</v>
      </c>
      <c r="H93">
        <v>20.606999999999999</v>
      </c>
      <c r="I93">
        <v>20.606999999999999</v>
      </c>
      <c r="J93">
        <v>20.606999999999999</v>
      </c>
      <c r="K93">
        <v>20.606999999999999</v>
      </c>
      <c r="L93">
        <v>20.606999999999999</v>
      </c>
      <c r="M93">
        <v>20.606999999999999</v>
      </c>
      <c r="N93">
        <v>20.606999999999999</v>
      </c>
      <c r="O93">
        <v>20.606999999999999</v>
      </c>
      <c r="P93">
        <v>20.606999999999999</v>
      </c>
      <c r="Q93">
        <v>20.606999999999999</v>
      </c>
      <c r="R93">
        <v>20.606999999999999</v>
      </c>
      <c r="S93">
        <v>20.606999999999999</v>
      </c>
      <c r="T93">
        <v>20.606999999999999</v>
      </c>
    </row>
    <row r="94" spans="1:20">
      <c r="A94" s="48" t="str">
        <f>B94&amp;C94</f>
        <v>Trinidad &amp; TobagoRegional mean</v>
      </c>
      <c r="B94" s="547" t="s">
        <v>366</v>
      </c>
      <c r="C94" s="547" t="s">
        <v>889</v>
      </c>
      <c r="D94">
        <v>17.038499999999999</v>
      </c>
      <c r="E94">
        <v>17.038499999999999</v>
      </c>
      <c r="F94">
        <v>17.038499999999999</v>
      </c>
      <c r="G94">
        <v>17.038499999999999</v>
      </c>
      <c r="H94">
        <v>17.038499999999999</v>
      </c>
      <c r="I94">
        <v>17.038499999999999</v>
      </c>
      <c r="J94">
        <v>17.038499999999999</v>
      </c>
      <c r="K94">
        <v>17.038499999999999</v>
      </c>
      <c r="L94">
        <v>17.038499999999999</v>
      </c>
      <c r="M94">
        <v>17.038499999999999</v>
      </c>
      <c r="N94">
        <v>17.038499999999999</v>
      </c>
      <c r="O94">
        <v>17.038499999999999</v>
      </c>
      <c r="P94">
        <v>17.038499999999999</v>
      </c>
      <c r="Q94">
        <v>17.038499999999999</v>
      </c>
      <c r="R94">
        <v>17.038499999999999</v>
      </c>
      <c r="S94">
        <v>17.038499999999999</v>
      </c>
      <c r="T94">
        <v>17.038499999999999</v>
      </c>
    </row>
    <row r="95" spans="1:20">
      <c r="A95" s="48" t="str">
        <f>B95&amp;C95</f>
        <v>UgandaRegional mean</v>
      </c>
      <c r="B95" s="547" t="s">
        <v>144</v>
      </c>
      <c r="C95" s="547" t="s">
        <v>889</v>
      </c>
      <c r="D95">
        <v>20.606999999999999</v>
      </c>
      <c r="E95">
        <v>20.606999999999999</v>
      </c>
      <c r="F95">
        <v>20.606999999999999</v>
      </c>
      <c r="G95">
        <v>20.606999999999999</v>
      </c>
      <c r="H95">
        <v>20.606999999999999</v>
      </c>
      <c r="I95">
        <v>20.606999999999999</v>
      </c>
      <c r="J95">
        <v>20.606999999999999</v>
      </c>
      <c r="K95">
        <v>20.606999999999999</v>
      </c>
      <c r="L95">
        <v>20.606999999999999</v>
      </c>
      <c r="M95">
        <v>20.606999999999999</v>
      </c>
      <c r="N95">
        <v>20.606999999999999</v>
      </c>
      <c r="O95">
        <v>20.606999999999999</v>
      </c>
      <c r="P95">
        <v>20.606999999999999</v>
      </c>
      <c r="Q95">
        <v>20.606999999999999</v>
      </c>
      <c r="R95">
        <v>20.606999999999999</v>
      </c>
      <c r="S95">
        <v>20.606999999999999</v>
      </c>
      <c r="T95">
        <v>20.606999999999999</v>
      </c>
    </row>
    <row r="96" spans="1:20">
      <c r="A96" s="48" t="str">
        <f>B96&amp;C96</f>
        <v>UkraineRegional mean</v>
      </c>
      <c r="B96" s="547" t="s">
        <v>186</v>
      </c>
      <c r="C96" s="547" t="s">
        <v>889</v>
      </c>
      <c r="D96">
        <v>13.879999999999999</v>
      </c>
      <c r="E96">
        <v>13.879999999999999</v>
      </c>
      <c r="F96">
        <v>13.879999999999999</v>
      </c>
      <c r="G96">
        <v>13.879999999999999</v>
      </c>
      <c r="H96">
        <v>13.879999999999999</v>
      </c>
      <c r="I96">
        <v>13.879999999999999</v>
      </c>
      <c r="J96">
        <v>13.879999999999999</v>
      </c>
      <c r="K96">
        <v>13.879999999999999</v>
      </c>
      <c r="L96">
        <v>13.879999999999999</v>
      </c>
      <c r="M96">
        <v>13.879999999999999</v>
      </c>
      <c r="N96">
        <v>13.879999999999999</v>
      </c>
      <c r="O96">
        <v>13.879999999999999</v>
      </c>
      <c r="P96">
        <v>13.879999999999999</v>
      </c>
      <c r="Q96">
        <v>13.879999999999999</v>
      </c>
      <c r="R96">
        <v>13.879999999999999</v>
      </c>
      <c r="S96">
        <v>13.879999999999999</v>
      </c>
      <c r="T96">
        <v>13.879999999999999</v>
      </c>
    </row>
    <row r="97" spans="1:20">
      <c r="A97" s="48" t="str">
        <f>B97&amp;C97</f>
        <v>UruguayRegional mean</v>
      </c>
      <c r="B97" s="547" t="s">
        <v>187</v>
      </c>
      <c r="C97" s="547" t="s">
        <v>889</v>
      </c>
      <c r="D97">
        <v>17.038499999999999</v>
      </c>
      <c r="E97">
        <v>17.038499999999999</v>
      </c>
      <c r="F97">
        <v>17.038499999999999</v>
      </c>
      <c r="G97">
        <v>17.038499999999999</v>
      </c>
      <c r="H97">
        <v>17.038499999999999</v>
      </c>
      <c r="I97">
        <v>17.038499999999999</v>
      </c>
      <c r="J97">
        <v>17.038499999999999</v>
      </c>
      <c r="K97">
        <v>17.038499999999999</v>
      </c>
      <c r="L97">
        <v>17.038499999999999</v>
      </c>
      <c r="M97">
        <v>17.038499999999999</v>
      </c>
      <c r="N97">
        <v>17.038499999999999</v>
      </c>
      <c r="O97">
        <v>17.038499999999999</v>
      </c>
      <c r="P97">
        <v>17.038499999999999</v>
      </c>
      <c r="Q97">
        <v>17.038499999999999</v>
      </c>
      <c r="R97">
        <v>17.038499999999999</v>
      </c>
      <c r="S97">
        <v>17.038499999999999</v>
      </c>
      <c r="T97">
        <v>17.038499999999999</v>
      </c>
    </row>
    <row r="98" spans="1:20">
      <c r="A98" s="48" t="str">
        <f>B98&amp;C98</f>
        <v>VenezuelaRegional mean</v>
      </c>
      <c r="B98" s="547" t="s">
        <v>188</v>
      </c>
      <c r="C98" s="547" t="s">
        <v>889</v>
      </c>
      <c r="D98">
        <v>17.038499999999999</v>
      </c>
      <c r="E98">
        <v>17.038499999999999</v>
      </c>
      <c r="F98">
        <v>17.038499999999999</v>
      </c>
      <c r="G98">
        <v>17.038499999999999</v>
      </c>
      <c r="H98">
        <v>17.038499999999999</v>
      </c>
      <c r="I98">
        <v>17.038499999999999</v>
      </c>
      <c r="J98">
        <v>17.038499999999999</v>
      </c>
      <c r="K98">
        <v>17.038499999999999</v>
      </c>
      <c r="L98">
        <v>17.038499999999999</v>
      </c>
      <c r="M98">
        <v>17.038499999999999</v>
      </c>
      <c r="N98">
        <v>17.038499999999999</v>
      </c>
      <c r="O98">
        <v>17.038499999999999</v>
      </c>
      <c r="P98">
        <v>17.038499999999999</v>
      </c>
      <c r="Q98">
        <v>17.038499999999999</v>
      </c>
      <c r="R98">
        <v>17.038499999999999</v>
      </c>
      <c r="S98">
        <v>17.038499999999999</v>
      </c>
      <c r="T98">
        <v>17.038499999999999</v>
      </c>
    </row>
    <row r="99" spans="1:20">
      <c r="A99" s="48" t="str">
        <f>B99&amp;C99</f>
        <v>ZambiaRegional mean</v>
      </c>
      <c r="B99" s="547" t="s">
        <v>124</v>
      </c>
      <c r="C99" s="547" t="s">
        <v>889</v>
      </c>
      <c r="D99">
        <v>20.606999999999999</v>
      </c>
      <c r="E99">
        <v>20.606999999999999</v>
      </c>
      <c r="F99">
        <v>20.606999999999999</v>
      </c>
      <c r="G99">
        <v>20.606999999999999</v>
      </c>
      <c r="H99">
        <v>20.606999999999999</v>
      </c>
      <c r="I99">
        <v>20.606999999999999</v>
      </c>
      <c r="J99">
        <v>20.606999999999999</v>
      </c>
      <c r="K99">
        <v>20.606999999999999</v>
      </c>
      <c r="L99">
        <v>20.606999999999999</v>
      </c>
      <c r="M99">
        <v>20.606999999999999</v>
      </c>
      <c r="N99">
        <v>20.606999999999999</v>
      </c>
      <c r="O99">
        <v>20.606999999999999</v>
      </c>
      <c r="P99">
        <v>20.606999999999999</v>
      </c>
      <c r="Q99">
        <v>20.606999999999999</v>
      </c>
      <c r="R99">
        <v>20.606999999999999</v>
      </c>
      <c r="S99">
        <v>20.606999999999999</v>
      </c>
      <c r="T99">
        <v>20.606999999999999</v>
      </c>
    </row>
    <row r="100" spans="1:20">
      <c r="A100" s="48" t="str">
        <f>B100&amp;C100</f>
        <v>ZimbabweRegional mean</v>
      </c>
      <c r="B100" s="547" t="s">
        <v>125</v>
      </c>
      <c r="C100" s="547" t="s">
        <v>889</v>
      </c>
      <c r="D100">
        <v>20.606999999999999</v>
      </c>
      <c r="E100">
        <v>20.606999999999999</v>
      </c>
      <c r="F100">
        <v>20.606999999999999</v>
      </c>
      <c r="G100">
        <v>20.606999999999999</v>
      </c>
      <c r="H100">
        <v>20.606999999999999</v>
      </c>
      <c r="I100">
        <v>20.606999999999999</v>
      </c>
      <c r="J100">
        <v>20.606999999999999</v>
      </c>
      <c r="K100">
        <v>20.606999999999999</v>
      </c>
      <c r="L100">
        <v>20.606999999999999</v>
      </c>
      <c r="M100">
        <v>20.606999999999999</v>
      </c>
      <c r="N100">
        <v>20.606999999999999</v>
      </c>
      <c r="O100">
        <v>20.606999999999999</v>
      </c>
      <c r="P100">
        <v>20.606999999999999</v>
      </c>
      <c r="Q100">
        <v>20.606999999999999</v>
      </c>
      <c r="R100">
        <v>20.606999999999999</v>
      </c>
      <c r="S100">
        <v>20.606999999999999</v>
      </c>
      <c r="T100">
        <v>20.606999999999999</v>
      </c>
    </row>
    <row r="101" spans="1:20">
      <c r="A101" t="str">
        <f>B101&amp;C101</f>
        <v>AfghanistanWHO</v>
      </c>
      <c r="B101" s="528" t="s">
        <v>928</v>
      </c>
      <c r="C101" s="528" t="s">
        <v>880</v>
      </c>
    </row>
    <row r="102" spans="1:20">
      <c r="A102" t="str">
        <f>B102&amp;C102</f>
        <v>AngolaWHO</v>
      </c>
      <c r="B102" s="528" t="s">
        <v>929</v>
      </c>
      <c r="C102" s="528" t="s">
        <v>880</v>
      </c>
    </row>
    <row r="103" spans="1:20">
      <c r="A103" s="48" t="str">
        <f>B103&amp;C103</f>
        <v>Antigua &amp; BarbudaWHO</v>
      </c>
      <c r="B103" s="547" t="s">
        <v>343</v>
      </c>
      <c r="C103" s="547" t="s">
        <v>880</v>
      </c>
    </row>
    <row r="104" spans="1:20">
      <c r="A104" s="48" t="str">
        <f>B104&amp;C104</f>
        <v>ArgentinaWHO</v>
      </c>
      <c r="B104" s="547" t="s">
        <v>344</v>
      </c>
      <c r="C104" s="547" t="s">
        <v>880</v>
      </c>
    </row>
    <row r="105" spans="1:20">
      <c r="A105" s="48" t="str">
        <f>B105&amp;C105</f>
        <v>BahamasWHO</v>
      </c>
      <c r="B105" s="547" t="s">
        <v>345</v>
      </c>
      <c r="C105" s="547" t="s">
        <v>880</v>
      </c>
    </row>
    <row r="106" spans="1:20">
      <c r="A106" s="48" t="str">
        <f>B106&amp;C106</f>
        <v>BangladeshWHO</v>
      </c>
      <c r="B106" s="547" t="s">
        <v>865</v>
      </c>
      <c r="C106" s="547" t="s">
        <v>880</v>
      </c>
      <c r="D106">
        <v>22</v>
      </c>
      <c r="E106">
        <v>22</v>
      </c>
      <c r="F106">
        <v>22</v>
      </c>
      <c r="G106">
        <v>22</v>
      </c>
      <c r="H106">
        <v>22</v>
      </c>
      <c r="I106">
        <v>22</v>
      </c>
      <c r="J106">
        <v>22</v>
      </c>
      <c r="K106">
        <v>22</v>
      </c>
    </row>
    <row r="107" spans="1:20">
      <c r="A107" s="48" t="str">
        <f>B107&amp;C107</f>
        <v>BarbadosWHO</v>
      </c>
      <c r="B107" s="547" t="s">
        <v>346</v>
      </c>
      <c r="C107" s="547" t="s">
        <v>880</v>
      </c>
    </row>
    <row r="108" spans="1:20">
      <c r="A108" s="48" t="str">
        <f>B108&amp;C108</f>
        <v>BelarusWHO</v>
      </c>
      <c r="B108" s="547" t="s">
        <v>166</v>
      </c>
      <c r="C108" s="547" t="s">
        <v>880</v>
      </c>
      <c r="D108" s="1"/>
      <c r="E108" s="1"/>
      <c r="F108" s="1"/>
      <c r="G108" s="1"/>
      <c r="H108" s="1"/>
      <c r="I108" s="1"/>
      <c r="J108" s="1"/>
      <c r="K108" s="1"/>
      <c r="L108" s="1"/>
      <c r="M108" s="1"/>
      <c r="N108" s="1"/>
      <c r="O108" s="1"/>
      <c r="P108" s="1"/>
      <c r="Q108" s="1"/>
      <c r="R108" s="353"/>
    </row>
    <row r="109" spans="1:20">
      <c r="A109" s="48" t="str">
        <f>B109&amp;C109</f>
        <v>BelizeWHO</v>
      </c>
      <c r="B109" s="547" t="s">
        <v>368</v>
      </c>
      <c r="C109" s="547" t="s">
        <v>880</v>
      </c>
    </row>
    <row r="110" spans="1:20">
      <c r="A110" s="48" t="str">
        <f>B110&amp;C110</f>
        <v>BeninWHO</v>
      </c>
      <c r="B110" s="547" t="s">
        <v>126</v>
      </c>
      <c r="C110" s="547" t="s">
        <v>880</v>
      </c>
      <c r="D110" s="1">
        <v>20</v>
      </c>
      <c r="E110" s="1">
        <v>20</v>
      </c>
      <c r="F110" s="1">
        <v>20</v>
      </c>
      <c r="G110" s="1">
        <v>20</v>
      </c>
      <c r="H110" s="1">
        <v>20</v>
      </c>
      <c r="I110" s="1">
        <v>20</v>
      </c>
      <c r="J110" s="1">
        <v>20</v>
      </c>
      <c r="K110" s="1">
        <v>20</v>
      </c>
      <c r="L110" s="1">
        <v>20</v>
      </c>
      <c r="M110" s="1">
        <v>20</v>
      </c>
      <c r="N110" s="1"/>
      <c r="O110" s="1"/>
      <c r="P110" s="1"/>
      <c r="Q110" s="1"/>
      <c r="R110" s="1"/>
    </row>
    <row r="111" spans="1:20">
      <c r="A111" s="547" t="str">
        <f>B111&amp;C111</f>
        <v>BhutanWHO</v>
      </c>
      <c r="B111" s="547" t="s">
        <v>951</v>
      </c>
      <c r="C111" s="547" t="s">
        <v>880</v>
      </c>
    </row>
    <row r="112" spans="1:20">
      <c r="A112" s="48" t="str">
        <f>B112&amp;C112</f>
        <v>BoliviaWHO</v>
      </c>
      <c r="B112" s="547" t="s">
        <v>798</v>
      </c>
      <c r="C112" s="547" t="s">
        <v>880</v>
      </c>
      <c r="D112" s="1">
        <v>18</v>
      </c>
      <c r="E112" s="1">
        <v>18</v>
      </c>
      <c r="F112" s="1">
        <v>18</v>
      </c>
      <c r="G112" s="1">
        <v>18</v>
      </c>
      <c r="H112" s="1">
        <v>16</v>
      </c>
      <c r="I112" s="1">
        <v>16</v>
      </c>
      <c r="J112" s="1">
        <v>14</v>
      </c>
      <c r="K112" s="1">
        <v>14</v>
      </c>
      <c r="L112" s="1">
        <v>14</v>
      </c>
      <c r="M112" s="1">
        <v>14</v>
      </c>
      <c r="N112" s="1"/>
      <c r="O112" s="1"/>
      <c r="P112" s="1"/>
      <c r="Q112" s="1"/>
      <c r="R112" s="1"/>
    </row>
    <row r="113" spans="1:19">
      <c r="A113" s="48" t="str">
        <f>B113&amp;C113</f>
        <v>BotswanaWHO</v>
      </c>
      <c r="B113" s="547" t="s">
        <v>834</v>
      </c>
      <c r="C113" s="547" t="s">
        <v>880</v>
      </c>
      <c r="D113" s="1"/>
      <c r="E113" s="1"/>
      <c r="F113" s="1">
        <v>19</v>
      </c>
      <c r="G113" s="1">
        <v>19</v>
      </c>
      <c r="H113" s="1">
        <v>19</v>
      </c>
      <c r="I113" s="1"/>
      <c r="J113" s="1"/>
      <c r="K113" s="1"/>
      <c r="L113" s="1"/>
      <c r="M113" s="1"/>
      <c r="N113" s="1"/>
      <c r="O113" s="1"/>
      <c r="P113" s="1"/>
      <c r="Q113" s="1"/>
      <c r="R113" s="1"/>
      <c r="S113" s="1"/>
    </row>
    <row r="114" spans="1:19">
      <c r="A114" s="48" t="str">
        <f>B114&amp;C114</f>
        <v>BrazilWHO</v>
      </c>
      <c r="B114" s="547" t="s">
        <v>167</v>
      </c>
      <c r="C114" s="547" t="s">
        <v>880</v>
      </c>
      <c r="D114" s="1">
        <v>14</v>
      </c>
      <c r="E114" s="1">
        <v>14</v>
      </c>
      <c r="F114" s="1">
        <v>14</v>
      </c>
      <c r="G114" s="1">
        <v>14</v>
      </c>
      <c r="H114" s="1"/>
      <c r="I114" s="1"/>
      <c r="J114" s="1"/>
      <c r="K114" s="1"/>
      <c r="L114" s="1">
        <v>16</v>
      </c>
      <c r="M114" s="1">
        <v>16</v>
      </c>
      <c r="N114" s="1"/>
      <c r="O114" s="1"/>
      <c r="P114" s="1"/>
      <c r="Q114" s="1"/>
    </row>
    <row r="115" spans="1:19">
      <c r="A115" s="547" t="str">
        <f>B115&amp;C115</f>
        <v>BruneiWHO</v>
      </c>
      <c r="B115" s="547" t="s">
        <v>952</v>
      </c>
      <c r="C115" s="547" t="s">
        <v>880</v>
      </c>
    </row>
    <row r="116" spans="1:19" ht="17" thickBot="1">
      <c r="A116" s="48" t="str">
        <f>B116&amp;C116</f>
        <v>Burkina FasoWHO</v>
      </c>
      <c r="B116" s="547" t="s">
        <v>168</v>
      </c>
      <c r="C116" s="547" t="s">
        <v>880</v>
      </c>
      <c r="D116" s="1">
        <v>22</v>
      </c>
      <c r="E116" s="1"/>
      <c r="F116" s="1">
        <v>20</v>
      </c>
      <c r="G116" s="1">
        <v>20</v>
      </c>
      <c r="H116" s="1">
        <v>20</v>
      </c>
      <c r="I116" s="1">
        <v>20</v>
      </c>
      <c r="J116" s="1">
        <v>20</v>
      </c>
      <c r="K116" s="1">
        <v>20</v>
      </c>
      <c r="L116" s="1"/>
      <c r="M116" s="1"/>
      <c r="N116" s="1"/>
      <c r="O116" s="1"/>
      <c r="P116" s="1"/>
      <c r="Q116" s="1"/>
    </row>
    <row r="117" spans="1:19" ht="17" thickBot="1">
      <c r="A117" s="48" t="str">
        <f>B117&amp;C117</f>
        <v>BurundiWHO</v>
      </c>
      <c r="B117" s="547" t="s">
        <v>165</v>
      </c>
      <c r="C117" s="547" t="s">
        <v>880</v>
      </c>
      <c r="D117" s="815"/>
      <c r="E117" s="815"/>
      <c r="F117" s="815">
        <v>22</v>
      </c>
      <c r="G117" s="815">
        <v>22</v>
      </c>
      <c r="H117" s="815">
        <v>22</v>
      </c>
      <c r="I117" s="815">
        <v>22</v>
      </c>
      <c r="J117" s="815">
        <v>22</v>
      </c>
      <c r="K117" s="815">
        <v>22</v>
      </c>
      <c r="L117" s="815"/>
      <c r="M117" s="815"/>
      <c r="N117" s="815"/>
      <c r="O117" s="815"/>
      <c r="P117" s="815"/>
      <c r="Q117" s="757"/>
      <c r="R117" s="757"/>
      <c r="S117" s="757"/>
    </row>
    <row r="118" spans="1:19">
      <c r="A118" s="48" t="str">
        <f>B118&amp;C118</f>
        <v>Cabo VerdeWHO</v>
      </c>
      <c r="B118" s="547" t="s">
        <v>149</v>
      </c>
      <c r="C118" s="547" t="s">
        <v>880</v>
      </c>
      <c r="D118" s="1">
        <v>19</v>
      </c>
      <c r="E118" s="1">
        <v>19</v>
      </c>
      <c r="F118" s="1">
        <v>19</v>
      </c>
      <c r="G118" s="1"/>
      <c r="H118" s="1"/>
      <c r="I118" s="1"/>
      <c r="J118" s="1"/>
      <c r="K118" s="1"/>
      <c r="L118" s="1"/>
      <c r="M118" s="1"/>
      <c r="N118" s="1"/>
      <c r="O118" s="1"/>
      <c r="P118" s="1"/>
    </row>
    <row r="119" spans="1:19">
      <c r="A119" s="48" t="str">
        <f>B119&amp;C119</f>
        <v>CambodiaWHO</v>
      </c>
      <c r="B119" s="547" t="s">
        <v>169</v>
      </c>
      <c r="C119" s="547" t="s">
        <v>880</v>
      </c>
      <c r="D119" s="1">
        <v>22</v>
      </c>
      <c r="E119" s="1">
        <v>22</v>
      </c>
      <c r="F119" s="1">
        <v>20.287500000000001</v>
      </c>
      <c r="G119" s="1">
        <v>19</v>
      </c>
      <c r="H119" s="1">
        <v>19</v>
      </c>
      <c r="I119" s="1">
        <v>19</v>
      </c>
      <c r="J119" s="1">
        <v>17.771999999999998</v>
      </c>
      <c r="K119" s="1">
        <v>17.771999999999998</v>
      </c>
      <c r="L119" s="1">
        <v>17</v>
      </c>
      <c r="M119" s="1">
        <v>17</v>
      </c>
      <c r="N119" s="1">
        <v>17</v>
      </c>
      <c r="O119" s="1">
        <v>17</v>
      </c>
      <c r="P119" s="1"/>
      <c r="Q119" s="1"/>
    </row>
    <row r="120" spans="1:19">
      <c r="A120" s="48" t="str">
        <f>B120&amp;C120</f>
        <v>Central African RepublicWHO</v>
      </c>
      <c r="B120" s="547" t="s">
        <v>153</v>
      </c>
      <c r="C120" s="547" t="s">
        <v>880</v>
      </c>
      <c r="D120" s="1"/>
      <c r="E120" s="1"/>
      <c r="F120" s="1"/>
      <c r="G120" s="1"/>
      <c r="H120" s="1"/>
      <c r="I120" s="1"/>
      <c r="J120" s="1"/>
      <c r="K120" s="1"/>
      <c r="L120" s="1"/>
      <c r="M120" s="1"/>
      <c r="N120" s="1"/>
      <c r="O120" s="1"/>
      <c r="P120" s="1"/>
      <c r="Q120" s="1"/>
    </row>
    <row r="121" spans="1:19">
      <c r="A121" s="48" t="str">
        <f>B121&amp;C121</f>
        <v>ChileWHO</v>
      </c>
      <c r="B121" s="547" t="s">
        <v>170</v>
      </c>
      <c r="C121" s="547" t="s">
        <v>880</v>
      </c>
      <c r="D121" s="1"/>
      <c r="E121" s="1"/>
      <c r="F121" s="1"/>
      <c r="G121" s="1"/>
      <c r="H121" s="1"/>
      <c r="I121" s="1"/>
      <c r="J121" s="1"/>
      <c r="K121" s="1"/>
      <c r="L121" s="1"/>
      <c r="M121" s="1"/>
      <c r="N121" s="1"/>
      <c r="O121" s="1"/>
      <c r="P121" s="1"/>
      <c r="Q121" s="1"/>
    </row>
    <row r="122" spans="1:19">
      <c r="A122" s="48" t="str">
        <f>B122&amp;C122</f>
        <v>ChinaWHO</v>
      </c>
      <c r="B122" s="547" t="s">
        <v>349</v>
      </c>
      <c r="C122" s="547" t="s">
        <v>880</v>
      </c>
    </row>
    <row r="123" spans="1:19">
      <c r="A123" s="48" t="str">
        <f>B123&amp;C123</f>
        <v>ColombiaWHO</v>
      </c>
      <c r="B123" s="547" t="s">
        <v>171</v>
      </c>
      <c r="C123" s="547" t="s">
        <v>880</v>
      </c>
      <c r="D123" s="1">
        <v>18</v>
      </c>
      <c r="E123" s="1">
        <v>18</v>
      </c>
      <c r="F123" s="1">
        <v>17.5</v>
      </c>
      <c r="G123" s="1">
        <v>17</v>
      </c>
      <c r="H123" s="1">
        <v>17</v>
      </c>
      <c r="I123" s="1">
        <v>17</v>
      </c>
      <c r="J123" s="1">
        <v>17</v>
      </c>
      <c r="K123" s="1">
        <v>17</v>
      </c>
      <c r="L123" s="1"/>
      <c r="M123" s="1"/>
      <c r="N123" s="1"/>
      <c r="O123" s="1"/>
      <c r="P123" s="1"/>
      <c r="Q123" s="1"/>
    </row>
    <row r="124" spans="1:19">
      <c r="A124" s="48" t="str">
        <f>B124&amp;C124</f>
        <v>Costa RicaWHO</v>
      </c>
      <c r="B124" s="547" t="s">
        <v>350</v>
      </c>
      <c r="C124" s="547" t="s">
        <v>880</v>
      </c>
      <c r="D124" s="816"/>
      <c r="E124" s="816"/>
      <c r="F124" s="112">
        <v>16</v>
      </c>
      <c r="G124" s="112">
        <v>16</v>
      </c>
      <c r="H124" s="112">
        <v>16</v>
      </c>
      <c r="I124" s="112">
        <v>16</v>
      </c>
      <c r="J124" s="112">
        <v>16</v>
      </c>
      <c r="K124" s="112">
        <v>16</v>
      </c>
    </row>
    <row r="125" spans="1:19">
      <c r="A125" s="48" t="str">
        <f>B125&amp;C125</f>
        <v>CubaWHO</v>
      </c>
      <c r="B125" s="547" t="s">
        <v>164</v>
      </c>
      <c r="C125" s="547" t="s">
        <v>880</v>
      </c>
      <c r="D125" s="1">
        <v>16</v>
      </c>
      <c r="E125" s="1">
        <v>16</v>
      </c>
      <c r="F125" s="1">
        <v>16</v>
      </c>
      <c r="G125" s="1">
        <v>16</v>
      </c>
      <c r="H125" s="1">
        <v>16</v>
      </c>
      <c r="I125" s="1">
        <v>16</v>
      </c>
      <c r="J125" s="1">
        <v>16</v>
      </c>
      <c r="K125" s="1">
        <v>16</v>
      </c>
      <c r="L125" s="1"/>
      <c r="M125" s="1"/>
      <c r="N125" s="1"/>
      <c r="O125" s="1"/>
      <c r="P125" s="1"/>
      <c r="Q125" s="1"/>
    </row>
    <row r="126" spans="1:19">
      <c r="A126" s="48" t="str">
        <f>B126&amp;C126</f>
        <v>Democratic Republic of CongoWHO</v>
      </c>
      <c r="B126" s="547" t="s">
        <v>152</v>
      </c>
      <c r="C126" s="547" t="s">
        <v>880</v>
      </c>
      <c r="D126" s="1">
        <v>22</v>
      </c>
      <c r="E126" s="1">
        <v>22</v>
      </c>
      <c r="F126" s="1">
        <v>22</v>
      </c>
      <c r="G126" s="1">
        <v>22</v>
      </c>
      <c r="H126" s="1">
        <v>22</v>
      </c>
      <c r="I126" s="1">
        <v>22</v>
      </c>
      <c r="J126" s="1">
        <v>22</v>
      </c>
      <c r="K126" s="1">
        <v>22</v>
      </c>
      <c r="L126" s="1">
        <v>22</v>
      </c>
      <c r="M126" s="1">
        <v>22</v>
      </c>
      <c r="N126" s="1">
        <v>22</v>
      </c>
      <c r="O126" s="1">
        <v>22</v>
      </c>
      <c r="P126" s="1"/>
      <c r="Q126" s="1"/>
    </row>
    <row r="127" spans="1:19">
      <c r="A127" s="48" t="str">
        <f>B127&amp;C127</f>
        <v>DominicaWHO</v>
      </c>
      <c r="B127" s="547" t="s">
        <v>351</v>
      </c>
      <c r="C127" s="547" t="s">
        <v>880</v>
      </c>
    </row>
    <row r="128" spans="1:19">
      <c r="A128" s="48" t="str">
        <f>B128&amp;C128</f>
        <v>Dominican RepublicWHO</v>
      </c>
      <c r="B128" s="547" t="s">
        <v>172</v>
      </c>
      <c r="C128" s="547" t="s">
        <v>880</v>
      </c>
      <c r="D128" s="1">
        <v>17</v>
      </c>
      <c r="E128" s="1">
        <v>17</v>
      </c>
      <c r="F128" s="1">
        <v>17</v>
      </c>
      <c r="G128" s="1">
        <v>17</v>
      </c>
      <c r="H128" s="1">
        <v>17</v>
      </c>
      <c r="I128" s="1">
        <v>16</v>
      </c>
      <c r="J128" s="1">
        <v>16</v>
      </c>
      <c r="K128" s="1">
        <v>16</v>
      </c>
      <c r="L128" s="1">
        <v>16</v>
      </c>
      <c r="M128" s="1">
        <v>16</v>
      </c>
      <c r="N128" s="1">
        <v>16</v>
      </c>
      <c r="O128" s="1"/>
      <c r="P128" s="1"/>
      <c r="Q128" s="1"/>
    </row>
    <row r="129" spans="1:18">
      <c r="A129" s="48" t="str">
        <f>B129&amp;C129</f>
        <v>EcuadorWHO</v>
      </c>
      <c r="B129" s="547" t="s">
        <v>352</v>
      </c>
      <c r="C129" s="547" t="s">
        <v>880</v>
      </c>
      <c r="D129" s="112">
        <v>16</v>
      </c>
      <c r="E129" s="112">
        <v>16</v>
      </c>
    </row>
    <row r="130" spans="1:18">
      <c r="A130" s="48" t="str">
        <f>B130&amp;C130</f>
        <v>El SalvadorWHO</v>
      </c>
      <c r="B130" s="547" t="s">
        <v>353</v>
      </c>
      <c r="C130" s="547" t="s">
        <v>880</v>
      </c>
      <c r="D130" s="112">
        <v>17</v>
      </c>
      <c r="E130" s="112">
        <v>17</v>
      </c>
      <c r="F130" s="112">
        <v>17</v>
      </c>
      <c r="G130" s="112">
        <v>17</v>
      </c>
      <c r="H130" s="112">
        <v>17</v>
      </c>
      <c r="I130" s="112">
        <v>17</v>
      </c>
    </row>
    <row r="131" spans="1:18">
      <c r="A131" s="48" t="str">
        <f>B131&amp;C131</f>
        <v>Equatorial GuineaWHO</v>
      </c>
      <c r="B131" s="547" t="s">
        <v>129</v>
      </c>
      <c r="C131" s="547" t="s">
        <v>880</v>
      </c>
      <c r="D131" s="1"/>
      <c r="E131" s="1"/>
      <c r="F131" s="1"/>
      <c r="G131" s="1">
        <v>18</v>
      </c>
      <c r="H131" s="1">
        <v>18</v>
      </c>
      <c r="I131" s="1">
        <v>18</v>
      </c>
      <c r="J131" s="1">
        <v>18</v>
      </c>
      <c r="K131" s="1">
        <v>18</v>
      </c>
      <c r="L131" s="1">
        <v>18</v>
      </c>
      <c r="M131" s="1"/>
      <c r="N131" s="1"/>
      <c r="O131" s="1"/>
      <c r="P131" s="1"/>
      <c r="Q131" s="1"/>
    </row>
    <row r="132" spans="1:18">
      <c r="A132" s="48" t="str">
        <f>B132&amp;C132</f>
        <v>EritreaWHO</v>
      </c>
      <c r="B132" s="547" t="s">
        <v>128</v>
      </c>
      <c r="C132" s="547" t="s">
        <v>880</v>
      </c>
      <c r="D132" s="1"/>
      <c r="E132" s="1"/>
      <c r="F132" s="1">
        <v>22</v>
      </c>
      <c r="G132" s="1">
        <v>22</v>
      </c>
      <c r="H132" s="1">
        <v>22</v>
      </c>
      <c r="I132" s="1">
        <v>22</v>
      </c>
      <c r="J132" s="1">
        <v>22</v>
      </c>
      <c r="K132" s="1">
        <v>22</v>
      </c>
      <c r="L132" s="1"/>
      <c r="M132" s="1"/>
      <c r="N132" s="1"/>
      <c r="O132" s="1"/>
      <c r="P132" s="1"/>
      <c r="Q132" s="1"/>
    </row>
    <row r="133" spans="1:18">
      <c r="A133" s="48" t="str">
        <f>B133&amp;C133</f>
        <v>EswatiniWHO</v>
      </c>
      <c r="B133" s="547" t="s">
        <v>835</v>
      </c>
      <c r="C133" s="547" t="s">
        <v>880</v>
      </c>
      <c r="D133" s="1">
        <v>22</v>
      </c>
      <c r="E133" s="1">
        <v>22</v>
      </c>
      <c r="F133" s="1">
        <v>22</v>
      </c>
      <c r="G133" s="1">
        <v>22</v>
      </c>
      <c r="H133" s="1">
        <v>22</v>
      </c>
      <c r="I133" s="1"/>
      <c r="J133" s="1"/>
      <c r="K133" s="1"/>
      <c r="L133" s="1"/>
      <c r="M133" s="1"/>
      <c r="N133" s="1"/>
      <c r="O133" s="1"/>
      <c r="P133" s="1"/>
      <c r="Q133" s="1"/>
    </row>
    <row r="134" spans="1:18">
      <c r="A134" s="48" t="str">
        <f>B134&amp;C134</f>
        <v>EthiopiaWHO</v>
      </c>
      <c r="B134" s="547" t="s">
        <v>127</v>
      </c>
      <c r="C134" s="547" t="s">
        <v>880</v>
      </c>
      <c r="D134" s="1">
        <v>23</v>
      </c>
      <c r="E134" s="1">
        <v>23</v>
      </c>
      <c r="F134" s="1">
        <v>23</v>
      </c>
      <c r="G134" s="1">
        <v>23</v>
      </c>
      <c r="H134" s="1">
        <v>23</v>
      </c>
      <c r="I134" s="1">
        <v>23</v>
      </c>
      <c r="J134" s="1">
        <v>22.5</v>
      </c>
      <c r="K134" s="1">
        <v>22.5</v>
      </c>
      <c r="L134" s="1">
        <v>22.5</v>
      </c>
      <c r="M134" s="1">
        <v>22</v>
      </c>
      <c r="N134" s="1">
        <v>22</v>
      </c>
      <c r="O134" s="1"/>
      <c r="P134" s="1"/>
      <c r="Q134" s="1"/>
    </row>
    <row r="135" spans="1:18">
      <c r="A135" s="48" t="str">
        <f>B135&amp;C135</f>
        <v>Federated States of MicronesiaWHO</v>
      </c>
      <c r="B135" s="547" t="s">
        <v>356</v>
      </c>
      <c r="C135" s="547" t="s">
        <v>880</v>
      </c>
    </row>
    <row r="136" spans="1:18">
      <c r="A136" s="48" t="str">
        <f>B136&amp;C136</f>
        <v>FijiWHO</v>
      </c>
      <c r="B136" s="547" t="s">
        <v>338</v>
      </c>
      <c r="C136" s="547" t="s">
        <v>880</v>
      </c>
    </row>
    <row r="137" spans="1:18">
      <c r="A137" s="48" t="str">
        <f>B137&amp;C137</f>
        <v>GabonWHO</v>
      </c>
      <c r="B137" s="547" t="s">
        <v>130</v>
      </c>
      <c r="C137" s="547" t="s">
        <v>880</v>
      </c>
      <c r="D137" s="1"/>
      <c r="E137" s="1"/>
      <c r="F137" s="1"/>
      <c r="G137" s="1"/>
      <c r="H137" s="1">
        <v>18</v>
      </c>
      <c r="I137" s="1">
        <v>18</v>
      </c>
      <c r="J137" s="1">
        <v>18</v>
      </c>
      <c r="K137" s="1">
        <v>18</v>
      </c>
      <c r="L137" s="1">
        <v>18</v>
      </c>
      <c r="M137" s="1">
        <v>18</v>
      </c>
      <c r="N137" s="1"/>
      <c r="O137" s="1"/>
      <c r="P137" s="1"/>
      <c r="Q137" s="1"/>
    </row>
    <row r="138" spans="1:18">
      <c r="A138" s="48" t="str">
        <f>B138&amp;C138</f>
        <v>GeorgiaWHO</v>
      </c>
      <c r="B138" s="547" t="s">
        <v>173</v>
      </c>
      <c r="C138" s="547" t="s">
        <v>880</v>
      </c>
      <c r="D138" s="1">
        <v>15</v>
      </c>
      <c r="E138" s="1">
        <v>15</v>
      </c>
      <c r="F138" s="1">
        <v>14</v>
      </c>
      <c r="G138" s="1">
        <v>13</v>
      </c>
      <c r="H138" s="1">
        <v>13</v>
      </c>
      <c r="I138" s="1">
        <v>13</v>
      </c>
      <c r="J138" s="1">
        <v>13</v>
      </c>
      <c r="K138" s="1">
        <v>13</v>
      </c>
      <c r="L138" s="1"/>
      <c r="M138" s="1"/>
      <c r="N138" s="1"/>
      <c r="O138" s="1"/>
      <c r="P138" s="1"/>
      <c r="Q138" s="1"/>
    </row>
    <row r="139" spans="1:18">
      <c r="A139" s="48" t="str">
        <f>B139&amp;C139</f>
        <v>GhanaWHO</v>
      </c>
      <c r="B139" s="547" t="s">
        <v>131</v>
      </c>
      <c r="C139" s="547" t="s">
        <v>880</v>
      </c>
      <c r="D139" s="1">
        <v>19</v>
      </c>
      <c r="E139" s="1">
        <v>19</v>
      </c>
      <c r="F139" s="1">
        <v>19</v>
      </c>
      <c r="G139" s="1">
        <v>19</v>
      </c>
      <c r="H139" s="1">
        <v>19</v>
      </c>
      <c r="I139" s="1">
        <v>19</v>
      </c>
      <c r="J139" s="1">
        <v>18</v>
      </c>
      <c r="K139" s="1">
        <v>18</v>
      </c>
      <c r="L139" s="1">
        <v>18</v>
      </c>
      <c r="M139" s="1">
        <v>18</v>
      </c>
      <c r="N139" s="1">
        <v>18</v>
      </c>
      <c r="O139" s="1">
        <v>18</v>
      </c>
      <c r="P139" s="1"/>
      <c r="Q139" s="1"/>
    </row>
    <row r="140" spans="1:18">
      <c r="A140" s="48" t="str">
        <f>B140&amp;C140</f>
        <v>GrenadaWHO</v>
      </c>
      <c r="B140" s="547" t="s">
        <v>354</v>
      </c>
      <c r="C140" s="547" t="s">
        <v>880</v>
      </c>
    </row>
    <row r="141" spans="1:18">
      <c r="A141" s="48" t="str">
        <f>B141&amp;C141</f>
        <v>GuatemalaWHO</v>
      </c>
      <c r="B141" s="547" t="s">
        <v>355</v>
      </c>
      <c r="C141" s="547" t="s">
        <v>880</v>
      </c>
      <c r="D141" s="112">
        <v>16</v>
      </c>
      <c r="E141" s="112">
        <v>16</v>
      </c>
      <c r="F141" s="112">
        <v>16</v>
      </c>
      <c r="G141" s="112">
        <v>16</v>
      </c>
      <c r="H141" s="112">
        <v>16</v>
      </c>
      <c r="I141" s="112">
        <v>16</v>
      </c>
      <c r="J141" s="112">
        <v>16</v>
      </c>
    </row>
    <row r="142" spans="1:18">
      <c r="A142" s="48" t="str">
        <f>B142&amp;C142</f>
        <v>GuineaWHO</v>
      </c>
      <c r="B142" s="547" t="s">
        <v>132</v>
      </c>
      <c r="C142" s="547" t="s">
        <v>880</v>
      </c>
      <c r="D142" s="1">
        <v>21</v>
      </c>
      <c r="E142" s="1">
        <v>21</v>
      </c>
      <c r="F142" s="1">
        <v>21</v>
      </c>
      <c r="G142" s="1">
        <v>21</v>
      </c>
      <c r="H142" s="1">
        <v>20.5</v>
      </c>
      <c r="I142" s="1">
        <v>20</v>
      </c>
      <c r="J142" s="1">
        <v>20</v>
      </c>
      <c r="K142" s="1">
        <v>20</v>
      </c>
      <c r="L142" s="1">
        <v>20</v>
      </c>
      <c r="M142" s="1">
        <v>20</v>
      </c>
      <c r="N142" s="1"/>
      <c r="O142" s="1"/>
      <c r="P142" s="1"/>
      <c r="Q142" s="1"/>
    </row>
    <row r="143" spans="1:18">
      <c r="A143" s="48" t="str">
        <f>B143&amp;C143</f>
        <v>GuyanaWHO</v>
      </c>
      <c r="B143" s="554" t="s">
        <v>357</v>
      </c>
      <c r="C143" s="547" t="s">
        <v>880</v>
      </c>
      <c r="E143" s="112">
        <v>20</v>
      </c>
      <c r="F143" s="112">
        <v>20</v>
      </c>
      <c r="G143" s="112">
        <v>20</v>
      </c>
      <c r="H143" s="112">
        <v>20</v>
      </c>
      <c r="I143" s="112">
        <v>20</v>
      </c>
      <c r="J143" s="112">
        <v>20</v>
      </c>
    </row>
    <row r="144" spans="1:18">
      <c r="A144" s="48" t="str">
        <f>B144&amp;C144</f>
        <v>HaitiWHO</v>
      </c>
      <c r="B144" s="554" t="s">
        <v>174</v>
      </c>
      <c r="C144" s="547" t="s">
        <v>880</v>
      </c>
      <c r="D144" s="1">
        <v>18</v>
      </c>
      <c r="E144" s="1">
        <v>18</v>
      </c>
      <c r="F144" s="1">
        <v>18</v>
      </c>
      <c r="G144" s="1">
        <v>18</v>
      </c>
      <c r="H144" s="1">
        <v>19</v>
      </c>
      <c r="I144" s="1">
        <v>19</v>
      </c>
      <c r="J144" s="1">
        <v>19</v>
      </c>
      <c r="K144" s="1">
        <v>19</v>
      </c>
      <c r="L144" s="1">
        <v>19</v>
      </c>
      <c r="M144" s="1">
        <v>19</v>
      </c>
      <c r="N144" s="1"/>
      <c r="O144" s="1"/>
      <c r="P144" s="1"/>
      <c r="Q144" s="1"/>
      <c r="R144" s="405"/>
    </row>
    <row r="145" spans="1:19">
      <c r="A145" s="48" t="str">
        <f>B145&amp;C145</f>
        <v>HondurasWHO</v>
      </c>
      <c r="B145" s="554" t="s">
        <v>358</v>
      </c>
      <c r="C145" s="547" t="s">
        <v>880</v>
      </c>
      <c r="D145" s="112">
        <v>18</v>
      </c>
      <c r="E145" s="112">
        <v>18</v>
      </c>
      <c r="F145" s="112">
        <v>18</v>
      </c>
      <c r="G145" s="112">
        <v>17.5</v>
      </c>
      <c r="H145" s="112">
        <v>17</v>
      </c>
      <c r="I145" s="112">
        <v>17</v>
      </c>
      <c r="J145" s="112">
        <v>17</v>
      </c>
      <c r="K145" s="112">
        <v>17</v>
      </c>
      <c r="L145" s="112">
        <v>17</v>
      </c>
      <c r="M145" s="112">
        <v>17</v>
      </c>
    </row>
    <row r="146" spans="1:19">
      <c r="A146" s="48" t="str">
        <f>B146&amp;C146</f>
        <v>IndiaWHO</v>
      </c>
      <c r="B146" s="554" t="s">
        <v>175</v>
      </c>
      <c r="C146" s="547" t="s">
        <v>880</v>
      </c>
      <c r="D146" s="1">
        <v>20</v>
      </c>
      <c r="E146" s="1">
        <v>20</v>
      </c>
      <c r="F146" s="1">
        <v>20</v>
      </c>
      <c r="G146" s="1">
        <v>20</v>
      </c>
      <c r="H146" s="1">
        <v>20</v>
      </c>
      <c r="I146" s="1">
        <v>20</v>
      </c>
      <c r="J146" s="1"/>
      <c r="K146" s="1"/>
      <c r="L146" s="1"/>
      <c r="M146" s="1"/>
      <c r="N146" s="1"/>
      <c r="O146" s="1"/>
      <c r="P146" s="1"/>
      <c r="Q146" s="1"/>
    </row>
    <row r="147" spans="1:19">
      <c r="A147" s="48" t="str">
        <f>B147&amp;C147</f>
        <v>IndonesiaWHO</v>
      </c>
      <c r="B147" s="554" t="s">
        <v>866</v>
      </c>
      <c r="C147" s="547" t="s">
        <v>880</v>
      </c>
      <c r="D147" s="1">
        <v>17</v>
      </c>
      <c r="E147" s="1">
        <v>17</v>
      </c>
      <c r="F147" s="1">
        <v>17</v>
      </c>
      <c r="G147" s="1">
        <v>17</v>
      </c>
      <c r="H147" s="1">
        <v>17</v>
      </c>
      <c r="I147" s="1">
        <v>17</v>
      </c>
      <c r="J147" s="1">
        <v>17</v>
      </c>
      <c r="K147" s="1">
        <v>17</v>
      </c>
      <c r="L147" s="1">
        <v>17</v>
      </c>
      <c r="M147" s="1">
        <v>17</v>
      </c>
    </row>
    <row r="148" spans="1:19">
      <c r="A148" s="48" t="str">
        <f>B148&amp;C148</f>
        <v>JamaicaWHO</v>
      </c>
      <c r="B148" s="554" t="s">
        <v>176</v>
      </c>
      <c r="C148" s="547" t="s">
        <v>880</v>
      </c>
      <c r="D148" s="1">
        <v>16</v>
      </c>
      <c r="E148" s="1">
        <v>16</v>
      </c>
      <c r="F148" s="1">
        <v>16</v>
      </c>
      <c r="G148" s="1">
        <v>16</v>
      </c>
      <c r="H148" s="1">
        <v>16</v>
      </c>
      <c r="I148" s="1">
        <v>16</v>
      </c>
      <c r="J148" s="1">
        <v>16</v>
      </c>
      <c r="K148" s="1"/>
      <c r="L148" s="1"/>
      <c r="M148" s="1"/>
      <c r="N148" s="1"/>
      <c r="O148" s="1"/>
      <c r="P148" s="1"/>
      <c r="Q148" s="1"/>
      <c r="R148" s="1"/>
      <c r="S148" s="1"/>
    </row>
    <row r="149" spans="1:19">
      <c r="A149" s="48" t="str">
        <f>B149&amp;C149</f>
        <v>KenyaWHO</v>
      </c>
      <c r="B149" s="554" t="s">
        <v>133</v>
      </c>
      <c r="C149" s="547" t="s">
        <v>880</v>
      </c>
      <c r="D149" s="1">
        <v>23</v>
      </c>
      <c r="E149" s="1">
        <v>23</v>
      </c>
      <c r="F149" s="1">
        <v>23</v>
      </c>
      <c r="G149" s="1">
        <v>23</v>
      </c>
      <c r="H149" s="1">
        <v>23</v>
      </c>
      <c r="I149" s="1">
        <v>23</v>
      </c>
      <c r="J149" s="1">
        <v>22.5</v>
      </c>
      <c r="K149" s="1">
        <v>22</v>
      </c>
      <c r="L149" s="1">
        <v>22</v>
      </c>
      <c r="M149" s="1">
        <v>22</v>
      </c>
      <c r="N149" s="1">
        <v>22</v>
      </c>
      <c r="O149" s="1">
        <v>22</v>
      </c>
      <c r="P149" s="1"/>
      <c r="Q149" s="1"/>
    </row>
    <row r="150" spans="1:19">
      <c r="A150" t="str">
        <f>B150&amp;C150</f>
        <v>LesothoWHO</v>
      </c>
      <c r="B150" s="528" t="s">
        <v>930</v>
      </c>
      <c r="C150" s="528" t="s">
        <v>880</v>
      </c>
    </row>
    <row r="151" spans="1:19">
      <c r="A151" s="48" t="str">
        <f>B151&amp;C151</f>
        <v>LiberiaWHO</v>
      </c>
      <c r="B151" s="547" t="s">
        <v>134</v>
      </c>
      <c r="C151" s="547" t="s">
        <v>880</v>
      </c>
      <c r="D151" s="1">
        <v>19</v>
      </c>
      <c r="E151" s="1">
        <v>19</v>
      </c>
      <c r="F151" s="1">
        <v>19</v>
      </c>
      <c r="G151" s="1">
        <v>19</v>
      </c>
      <c r="H151" s="1">
        <v>19</v>
      </c>
      <c r="I151" s="1">
        <v>18</v>
      </c>
      <c r="J151" s="1">
        <v>18</v>
      </c>
      <c r="K151" s="1">
        <v>18</v>
      </c>
      <c r="L151" s="1">
        <v>18</v>
      </c>
      <c r="M151" s="1">
        <v>18</v>
      </c>
      <c r="N151" s="1">
        <v>18</v>
      </c>
      <c r="O151" s="1"/>
      <c r="P151" s="1"/>
      <c r="Q151" s="1"/>
    </row>
    <row r="152" spans="1:19" ht="17" thickBot="1">
      <c r="A152" s="48" t="str">
        <f>B152&amp;C152</f>
        <v>MadagascarWHO</v>
      </c>
      <c r="B152" s="547" t="s">
        <v>135</v>
      </c>
      <c r="C152" s="547" t="s">
        <v>880</v>
      </c>
      <c r="D152" s="1">
        <v>22</v>
      </c>
      <c r="E152" s="1">
        <v>22</v>
      </c>
      <c r="F152" s="1">
        <v>22</v>
      </c>
      <c r="G152" s="1">
        <v>22</v>
      </c>
      <c r="H152" s="1">
        <v>21.5</v>
      </c>
      <c r="I152" s="1">
        <v>21.5</v>
      </c>
      <c r="J152" s="1">
        <v>21.5</v>
      </c>
      <c r="K152" s="1">
        <v>21</v>
      </c>
      <c r="L152" s="1">
        <v>21</v>
      </c>
      <c r="M152" s="1">
        <v>21</v>
      </c>
      <c r="N152" s="1">
        <v>21</v>
      </c>
      <c r="O152" s="1"/>
      <c r="P152" s="1"/>
      <c r="Q152" s="1"/>
    </row>
    <row r="153" spans="1:19" ht="17" thickBot="1">
      <c r="A153" s="48" t="str">
        <f>B153&amp;C153</f>
        <v>MalawiWHO</v>
      </c>
      <c r="B153" s="547" t="s">
        <v>136</v>
      </c>
      <c r="C153" s="547" t="s">
        <v>880</v>
      </c>
      <c r="D153" s="815">
        <v>23</v>
      </c>
      <c r="E153" s="815">
        <v>23</v>
      </c>
      <c r="F153" s="815">
        <v>23</v>
      </c>
      <c r="G153" s="815">
        <v>23</v>
      </c>
      <c r="H153" s="815">
        <v>23</v>
      </c>
      <c r="I153" s="815">
        <v>23</v>
      </c>
      <c r="J153" s="815">
        <v>23</v>
      </c>
      <c r="K153" s="815">
        <v>23</v>
      </c>
      <c r="L153" s="815"/>
      <c r="M153" s="815">
        <v>22</v>
      </c>
      <c r="N153" s="815">
        <v>22</v>
      </c>
      <c r="O153" s="815">
        <v>22</v>
      </c>
      <c r="P153" s="815"/>
      <c r="Q153" s="815"/>
      <c r="R153" s="757"/>
      <c r="S153" s="757"/>
    </row>
    <row r="154" spans="1:19">
      <c r="A154" s="48" t="str">
        <f>B154&amp;C154</f>
        <v>MalaysiaWHO</v>
      </c>
      <c r="B154" s="547" t="s">
        <v>177</v>
      </c>
      <c r="C154" s="547" t="s">
        <v>880</v>
      </c>
      <c r="D154" s="1"/>
      <c r="K154" s="1"/>
      <c r="L154" s="1"/>
      <c r="M154" s="1"/>
      <c r="N154" s="1"/>
      <c r="O154" s="1"/>
      <c r="P154" s="1"/>
      <c r="Q154" s="1"/>
    </row>
    <row r="155" spans="1:19">
      <c r="A155" s="48" t="str">
        <f>B155&amp;C155</f>
        <v>MaldivesWHO</v>
      </c>
      <c r="B155" s="547" t="s">
        <v>375</v>
      </c>
      <c r="C155" s="547" t="s">
        <v>880</v>
      </c>
      <c r="E155" s="1">
        <v>16</v>
      </c>
      <c r="F155" s="1">
        <v>16</v>
      </c>
      <c r="G155" s="1">
        <v>16</v>
      </c>
      <c r="H155" s="1">
        <v>16</v>
      </c>
      <c r="I155" s="1">
        <v>16</v>
      </c>
      <c r="J155" s="1">
        <v>16</v>
      </c>
    </row>
    <row r="156" spans="1:19">
      <c r="A156" s="48" t="str">
        <f>B156&amp;C156</f>
        <v>MaliWHO</v>
      </c>
      <c r="B156" s="547" t="s">
        <v>137</v>
      </c>
      <c r="C156" s="547" t="s">
        <v>880</v>
      </c>
      <c r="D156" s="1">
        <v>21</v>
      </c>
      <c r="E156" s="1">
        <v>21</v>
      </c>
      <c r="F156" s="1">
        <v>21</v>
      </c>
      <c r="G156" s="1">
        <v>21</v>
      </c>
      <c r="H156" s="1">
        <v>21</v>
      </c>
      <c r="I156" s="1">
        <v>21</v>
      </c>
      <c r="J156" s="1">
        <v>21</v>
      </c>
      <c r="K156" s="1">
        <v>21</v>
      </c>
      <c r="L156" s="1">
        <v>21</v>
      </c>
      <c r="M156" s="1">
        <v>21</v>
      </c>
      <c r="N156" s="1">
        <v>21</v>
      </c>
      <c r="O156" s="1"/>
      <c r="P156" s="1"/>
      <c r="Q156" s="1"/>
    </row>
    <row r="157" spans="1:19">
      <c r="A157" s="48" t="str">
        <f>B157&amp;C157</f>
        <v>MauritiusWHO</v>
      </c>
      <c r="B157" s="547" t="s">
        <v>150</v>
      </c>
      <c r="C157" s="547" t="s">
        <v>880</v>
      </c>
      <c r="D157" s="1"/>
      <c r="E157" s="1">
        <v>20</v>
      </c>
      <c r="F157" s="1">
        <v>20</v>
      </c>
      <c r="G157" s="1">
        <v>20</v>
      </c>
      <c r="H157" s="1">
        <v>20</v>
      </c>
      <c r="I157" s="1">
        <v>19</v>
      </c>
      <c r="J157" s="1">
        <v>19</v>
      </c>
      <c r="K157" s="1">
        <v>19</v>
      </c>
      <c r="L157" s="1">
        <v>19</v>
      </c>
      <c r="M157" s="1">
        <v>19</v>
      </c>
      <c r="N157" s="1">
        <v>19</v>
      </c>
      <c r="O157" s="1">
        <v>19</v>
      </c>
      <c r="P157" s="1"/>
      <c r="Q157" s="1"/>
    </row>
    <row r="158" spans="1:19">
      <c r="A158" s="48" t="str">
        <f>B158&amp;C158</f>
        <v>MexicoWHO</v>
      </c>
      <c r="B158" s="547" t="s">
        <v>761</v>
      </c>
      <c r="C158" s="547" t="s">
        <v>880</v>
      </c>
    </row>
    <row r="159" spans="1:19">
      <c r="A159" s="48" t="str">
        <f>B159&amp;C159</f>
        <v>MoldovaWHO</v>
      </c>
      <c r="B159" s="547" t="s">
        <v>230</v>
      </c>
      <c r="C159" s="547" t="s">
        <v>880</v>
      </c>
      <c r="D159" s="1">
        <v>18</v>
      </c>
      <c r="E159" s="1">
        <v>18</v>
      </c>
      <c r="F159" s="1">
        <v>18</v>
      </c>
      <c r="G159" s="1"/>
      <c r="H159" s="1"/>
      <c r="I159" s="1"/>
      <c r="J159" s="1"/>
      <c r="K159" s="1"/>
      <c r="L159" s="1"/>
      <c r="M159" s="1"/>
      <c r="N159" s="1"/>
      <c r="O159" s="1"/>
      <c r="P159" s="1"/>
      <c r="Q159" s="1"/>
      <c r="R159" s="1"/>
      <c r="S159" s="1"/>
    </row>
    <row r="160" spans="1:19">
      <c r="A160" s="48" t="str">
        <f>B160&amp;C160</f>
        <v>MongoliaWHO</v>
      </c>
      <c r="B160" s="547" t="s">
        <v>178</v>
      </c>
      <c r="C160" s="547" t="s">
        <v>880</v>
      </c>
      <c r="D160" s="1">
        <v>17</v>
      </c>
      <c r="E160" s="1">
        <v>16.5</v>
      </c>
      <c r="F160" s="1">
        <v>16.5</v>
      </c>
      <c r="G160" s="1">
        <v>16.5</v>
      </c>
      <c r="H160" s="1">
        <v>16.5</v>
      </c>
      <c r="I160" s="1">
        <v>16.666666666666668</v>
      </c>
      <c r="J160" s="1">
        <v>15.5</v>
      </c>
      <c r="K160" s="1">
        <v>15.5</v>
      </c>
      <c r="L160" s="1">
        <v>13</v>
      </c>
      <c r="M160" s="1">
        <v>13</v>
      </c>
      <c r="N160" s="1">
        <v>13</v>
      </c>
      <c r="O160" s="1"/>
      <c r="P160" s="1"/>
      <c r="Q160" s="1"/>
      <c r="R160" s="1"/>
      <c r="S160" s="1"/>
    </row>
    <row r="161" spans="1:19">
      <c r="A161" t="str">
        <f>B161&amp;C161</f>
        <v>MoroccoWHO</v>
      </c>
      <c r="B161" s="528" t="s">
        <v>931</v>
      </c>
      <c r="C161" s="528" t="s">
        <v>880</v>
      </c>
    </row>
    <row r="162" spans="1:19">
      <c r="A162" s="48" t="str">
        <f>B162&amp;C162</f>
        <v>MozambiqueWHO</v>
      </c>
      <c r="B162" s="547" t="s">
        <v>138</v>
      </c>
      <c r="C162" s="547" t="s">
        <v>880</v>
      </c>
      <c r="D162" s="1">
        <v>22</v>
      </c>
      <c r="E162" s="1"/>
      <c r="F162" s="1"/>
      <c r="G162" s="1">
        <v>23</v>
      </c>
      <c r="H162" s="1">
        <v>23</v>
      </c>
      <c r="I162" s="1">
        <v>23</v>
      </c>
      <c r="J162" s="1">
        <v>23</v>
      </c>
      <c r="K162" s="1">
        <v>23</v>
      </c>
      <c r="L162" s="1">
        <v>23</v>
      </c>
      <c r="M162" s="1"/>
      <c r="N162" s="1"/>
      <c r="O162" s="1"/>
      <c r="P162" s="1"/>
      <c r="Q162" s="1"/>
      <c r="R162" s="1"/>
      <c r="S162" s="1"/>
    </row>
    <row r="163" spans="1:19">
      <c r="A163" t="str">
        <f>B163&amp;C163</f>
        <v>MyanmarWHO</v>
      </c>
      <c r="B163" s="528" t="s">
        <v>932</v>
      </c>
      <c r="C163" s="528" t="s">
        <v>880</v>
      </c>
    </row>
    <row r="164" spans="1:19">
      <c r="A164" s="48" t="str">
        <f>B164&amp;C164</f>
        <v>NepalWHO</v>
      </c>
      <c r="B164" s="547" t="s">
        <v>179</v>
      </c>
      <c r="C164" s="547" t="s">
        <v>880</v>
      </c>
      <c r="D164" s="1">
        <v>22</v>
      </c>
      <c r="E164" s="1">
        <v>22</v>
      </c>
      <c r="F164" s="1">
        <v>22</v>
      </c>
      <c r="G164" s="1">
        <v>22</v>
      </c>
      <c r="H164" s="1">
        <v>21</v>
      </c>
      <c r="I164" s="1">
        <v>20</v>
      </c>
      <c r="J164" s="1">
        <v>20</v>
      </c>
      <c r="K164" s="1">
        <v>20</v>
      </c>
      <c r="L164" s="1">
        <v>20</v>
      </c>
      <c r="M164" s="1">
        <v>19</v>
      </c>
      <c r="N164" s="1">
        <v>19</v>
      </c>
      <c r="O164" s="1">
        <v>19</v>
      </c>
      <c r="P164" s="1"/>
      <c r="Q164" s="1"/>
      <c r="R164" s="1"/>
      <c r="S164" s="1"/>
    </row>
    <row r="165" spans="1:19">
      <c r="A165" s="48" t="str">
        <f>B165&amp;C165</f>
        <v>NicaraguaWHO</v>
      </c>
      <c r="B165" s="547" t="s">
        <v>359</v>
      </c>
      <c r="C165" s="547" t="s">
        <v>880</v>
      </c>
      <c r="D165" s="112">
        <v>18</v>
      </c>
      <c r="E165" s="112">
        <v>18</v>
      </c>
      <c r="F165" s="112">
        <v>18</v>
      </c>
      <c r="G165" s="112">
        <v>17.5</v>
      </c>
      <c r="H165" s="112">
        <v>17.5</v>
      </c>
      <c r="I165" s="112">
        <v>17</v>
      </c>
      <c r="J165" s="112">
        <v>17</v>
      </c>
      <c r="K165" s="112">
        <v>17</v>
      </c>
      <c r="L165" s="112">
        <v>17</v>
      </c>
      <c r="M165" s="112">
        <v>17</v>
      </c>
    </row>
    <row r="166" spans="1:19">
      <c r="A166" s="48" t="str">
        <f>B166&amp;C166</f>
        <v>NigerWHO</v>
      </c>
      <c r="B166" s="547" t="s">
        <v>139</v>
      </c>
      <c r="C166" s="547" t="s">
        <v>880</v>
      </c>
      <c r="D166" s="1">
        <v>23</v>
      </c>
      <c r="E166" s="1">
        <v>23</v>
      </c>
      <c r="F166" s="1">
        <v>23</v>
      </c>
      <c r="G166" s="1">
        <v>23</v>
      </c>
      <c r="H166" s="1">
        <v>22</v>
      </c>
      <c r="I166" s="1">
        <v>22</v>
      </c>
      <c r="J166" s="1">
        <v>22</v>
      </c>
      <c r="K166" s="1">
        <v>22</v>
      </c>
      <c r="L166" s="1">
        <v>22</v>
      </c>
      <c r="M166" s="1">
        <v>22</v>
      </c>
      <c r="N166" s="1"/>
      <c r="O166" s="1"/>
      <c r="P166" s="1"/>
      <c r="Q166" s="1"/>
      <c r="R166" s="1"/>
      <c r="S166" s="1"/>
    </row>
    <row r="167" spans="1:19">
      <c r="A167" s="48" t="str">
        <f>B167&amp;C167</f>
        <v>NigeriaWHO</v>
      </c>
      <c r="B167" s="547" t="s">
        <v>140</v>
      </c>
      <c r="C167" s="547" t="s">
        <v>880</v>
      </c>
      <c r="D167" s="1">
        <v>22.5</v>
      </c>
      <c r="E167" s="1">
        <v>23</v>
      </c>
      <c r="F167" s="1">
        <v>23</v>
      </c>
      <c r="G167" s="1">
        <v>23</v>
      </c>
      <c r="H167" s="1">
        <v>23</v>
      </c>
      <c r="I167" s="1">
        <v>22.5</v>
      </c>
      <c r="J167" s="1">
        <v>22</v>
      </c>
      <c r="K167" s="1">
        <v>22</v>
      </c>
      <c r="L167" s="1">
        <v>22</v>
      </c>
      <c r="M167" s="1">
        <v>22</v>
      </c>
      <c r="N167" s="1">
        <v>22</v>
      </c>
      <c r="O167" s="1"/>
      <c r="P167" s="1"/>
      <c r="Q167" s="1"/>
      <c r="R167" s="1"/>
      <c r="S167" s="1"/>
    </row>
    <row r="168" spans="1:19">
      <c r="A168" t="str">
        <f>B168&amp;C168</f>
        <v>OmanWHO</v>
      </c>
      <c r="B168" s="528" t="s">
        <v>933</v>
      </c>
      <c r="C168" s="528" t="s">
        <v>880</v>
      </c>
    </row>
    <row r="169" spans="1:19">
      <c r="A169" s="48" t="str">
        <f>B169&amp;C169</f>
        <v>PanamaWHO</v>
      </c>
      <c r="B169" s="547" t="s">
        <v>180</v>
      </c>
      <c r="C169" s="547" t="s">
        <v>880</v>
      </c>
      <c r="D169" s="1"/>
      <c r="E169" s="1">
        <v>17</v>
      </c>
      <c r="F169" s="1">
        <v>17</v>
      </c>
      <c r="G169" s="1">
        <v>17</v>
      </c>
      <c r="H169" s="1">
        <v>17</v>
      </c>
      <c r="I169" s="1">
        <v>17</v>
      </c>
      <c r="J169" s="1">
        <v>17</v>
      </c>
      <c r="K169" s="1"/>
      <c r="L169" s="1"/>
      <c r="M169" s="1"/>
      <c r="N169" s="1"/>
      <c r="O169" s="1"/>
      <c r="P169" s="1"/>
      <c r="Q169" s="1"/>
      <c r="R169" s="1"/>
    </row>
    <row r="170" spans="1:19">
      <c r="A170" s="48" t="str">
        <f>B170&amp;C170</f>
        <v>Papua New GuineaWHO</v>
      </c>
      <c r="B170" s="547" t="s">
        <v>181</v>
      </c>
      <c r="C170" s="547" t="s">
        <v>880</v>
      </c>
      <c r="D170" s="1"/>
      <c r="E170" s="1"/>
      <c r="F170" s="1"/>
      <c r="G170" s="1"/>
      <c r="H170" s="1"/>
      <c r="I170" s="1"/>
      <c r="J170" s="1"/>
      <c r="K170" s="1"/>
      <c r="L170" s="1"/>
      <c r="M170" s="1"/>
      <c r="N170" s="1"/>
      <c r="O170" s="1"/>
      <c r="P170" s="1"/>
      <c r="Q170" s="1"/>
      <c r="R170" s="1"/>
      <c r="S170" s="1"/>
    </row>
    <row r="171" spans="1:19">
      <c r="A171" s="48" t="str">
        <f>B171&amp;C171</f>
        <v>ParaguayWHO</v>
      </c>
      <c r="B171" s="547" t="s">
        <v>182</v>
      </c>
      <c r="C171" s="547" t="s">
        <v>880</v>
      </c>
      <c r="D171" s="1">
        <v>14.5</v>
      </c>
      <c r="E171" s="1">
        <v>14.5</v>
      </c>
      <c r="F171" s="1">
        <v>14</v>
      </c>
      <c r="G171" s="1">
        <v>14</v>
      </c>
      <c r="H171" s="1">
        <v>14</v>
      </c>
      <c r="I171" s="1">
        <v>14</v>
      </c>
      <c r="J171" s="1"/>
      <c r="K171" s="1"/>
      <c r="L171" s="1"/>
      <c r="M171" s="1"/>
      <c r="N171" s="1"/>
      <c r="O171" s="1"/>
      <c r="P171" s="1"/>
      <c r="Q171" s="1"/>
      <c r="R171" s="1"/>
      <c r="S171" s="1"/>
    </row>
    <row r="172" spans="1:19">
      <c r="A172" s="48" t="str">
        <f>B172&amp;C172</f>
        <v>PeruWHO</v>
      </c>
      <c r="B172" s="547" t="s">
        <v>360</v>
      </c>
      <c r="C172" s="547" t="s">
        <v>880</v>
      </c>
      <c r="D172" s="112">
        <v>18</v>
      </c>
      <c r="E172" s="112">
        <v>17.666666666666668</v>
      </c>
      <c r="F172" s="112">
        <v>17.5</v>
      </c>
      <c r="G172" s="112">
        <v>17.399999999999999</v>
      </c>
      <c r="H172" s="112">
        <v>17.2</v>
      </c>
      <c r="I172" s="112">
        <v>17.166666666666668</v>
      </c>
      <c r="J172" s="112">
        <v>17</v>
      </c>
      <c r="K172" s="112">
        <v>17</v>
      </c>
      <c r="L172" s="112">
        <v>17</v>
      </c>
      <c r="M172" s="112">
        <v>17</v>
      </c>
      <c r="N172" s="112">
        <v>17</v>
      </c>
      <c r="O172" s="112">
        <v>17</v>
      </c>
    </row>
    <row r="173" spans="1:19">
      <c r="A173" t="str">
        <f>B173&amp;C173</f>
        <v>Republic of the CongoWHO</v>
      </c>
      <c r="B173" s="528" t="s">
        <v>934</v>
      </c>
      <c r="C173" s="528" t="s">
        <v>880</v>
      </c>
    </row>
    <row r="174" spans="1:19">
      <c r="A174" s="547" t="str">
        <f>B174&amp;C174</f>
        <v>RwandaWHO</v>
      </c>
      <c r="B174" s="547" t="s">
        <v>953</v>
      </c>
      <c r="C174" s="547" t="s">
        <v>880</v>
      </c>
    </row>
    <row r="175" spans="1:19">
      <c r="A175" s="48" t="str">
        <f>B175&amp;C175</f>
        <v>Saint Kitts &amp; NevisWHO</v>
      </c>
      <c r="B175" s="547" t="s">
        <v>361</v>
      </c>
      <c r="C175" s="547" t="s">
        <v>880</v>
      </c>
    </row>
    <row r="176" spans="1:19">
      <c r="A176" s="48" t="str">
        <f>B176&amp;C176</f>
        <v>Saint LuciaWHO</v>
      </c>
      <c r="B176" s="547" t="s">
        <v>362</v>
      </c>
      <c r="C176" s="547" t="s">
        <v>880</v>
      </c>
    </row>
    <row r="177" spans="1:19">
      <c r="A177" s="48" t="str">
        <f>B177&amp;C177</f>
        <v>Saint Vincent &amp; the GrenadinesWHO</v>
      </c>
      <c r="B177" s="547" t="s">
        <v>363</v>
      </c>
      <c r="C177" s="547" t="s">
        <v>880</v>
      </c>
    </row>
    <row r="178" spans="1:19">
      <c r="A178" s="48" t="str">
        <f>B178&amp;C178</f>
        <v>SamoaWHO</v>
      </c>
      <c r="B178" s="547" t="s">
        <v>183</v>
      </c>
      <c r="C178" s="547" t="s">
        <v>880</v>
      </c>
      <c r="D178" s="1">
        <v>23</v>
      </c>
      <c r="E178" s="1">
        <v>23</v>
      </c>
      <c r="F178" s="1">
        <v>23</v>
      </c>
      <c r="G178" s="1">
        <v>23</v>
      </c>
      <c r="H178" s="1">
        <v>23</v>
      </c>
      <c r="I178" s="1">
        <v>23</v>
      </c>
      <c r="J178" s="1">
        <v>23</v>
      </c>
      <c r="K178" s="1">
        <v>23</v>
      </c>
      <c r="L178" s="1">
        <v>23</v>
      </c>
      <c r="M178" s="1">
        <v>23</v>
      </c>
      <c r="N178" s="1">
        <v>23</v>
      </c>
      <c r="O178" s="1">
        <v>23</v>
      </c>
      <c r="P178" s="1"/>
      <c r="Q178" s="1"/>
      <c r="R178" s="1"/>
      <c r="S178" s="1"/>
    </row>
    <row r="179" spans="1:19">
      <c r="A179" s="48" t="str">
        <f>B179&amp;C179</f>
        <v>Sao Tome &amp; PrincipeWHO</v>
      </c>
      <c r="B179" s="547" t="s">
        <v>364</v>
      </c>
      <c r="C179" s="547" t="s">
        <v>880</v>
      </c>
      <c r="D179" s="1">
        <v>19</v>
      </c>
      <c r="E179" s="1">
        <v>19</v>
      </c>
      <c r="F179" s="1">
        <v>19</v>
      </c>
      <c r="G179" s="1">
        <v>19</v>
      </c>
      <c r="H179" s="1">
        <v>19</v>
      </c>
      <c r="I179" s="1">
        <v>19</v>
      </c>
      <c r="J179" s="1">
        <v>19</v>
      </c>
      <c r="K179" s="1"/>
      <c r="L179" s="1"/>
      <c r="M179" s="1">
        <v>15</v>
      </c>
      <c r="N179" s="1">
        <v>15</v>
      </c>
      <c r="O179" s="1">
        <v>15</v>
      </c>
      <c r="P179" s="1"/>
      <c r="Q179" s="1"/>
      <c r="R179" s="1"/>
    </row>
    <row r="180" spans="1:19">
      <c r="A180" t="str">
        <f>B180&amp;C180</f>
        <v>Saudi ArabiaWHO</v>
      </c>
      <c r="B180" s="528" t="s">
        <v>935</v>
      </c>
      <c r="C180" s="528" t="s">
        <v>880</v>
      </c>
    </row>
    <row r="181" spans="1:19">
      <c r="A181" s="48" t="str">
        <f>B181&amp;C181</f>
        <v>SenegalWHO</v>
      </c>
      <c r="B181" s="547" t="s">
        <v>141</v>
      </c>
      <c r="C181" s="547" t="s">
        <v>880</v>
      </c>
      <c r="D181" s="1">
        <v>19</v>
      </c>
      <c r="E181" s="1">
        <v>19</v>
      </c>
      <c r="F181" s="1">
        <v>19</v>
      </c>
      <c r="G181" s="1">
        <v>19</v>
      </c>
      <c r="H181" s="1">
        <v>19</v>
      </c>
      <c r="I181" s="1">
        <v>19</v>
      </c>
      <c r="J181" s="1">
        <v>19</v>
      </c>
      <c r="K181" s="1">
        <v>19</v>
      </c>
      <c r="L181" s="1">
        <v>19</v>
      </c>
      <c r="M181" s="1">
        <v>19</v>
      </c>
      <c r="N181" s="1">
        <v>19</v>
      </c>
      <c r="O181" s="1">
        <v>19</v>
      </c>
      <c r="P181" s="1"/>
      <c r="Q181" s="1"/>
      <c r="R181" s="1"/>
      <c r="S181" s="1"/>
    </row>
    <row r="182" spans="1:19">
      <c r="A182" s="48" t="str">
        <f>B182&amp;C182</f>
        <v>SeychellesWHO</v>
      </c>
      <c r="B182" s="547" t="s">
        <v>151</v>
      </c>
      <c r="C182" s="547" t="s">
        <v>880</v>
      </c>
      <c r="D182" s="1"/>
      <c r="E182" s="1"/>
      <c r="F182" s="1"/>
      <c r="G182" s="1"/>
      <c r="H182" s="1"/>
      <c r="I182" s="1"/>
      <c r="J182" s="1"/>
      <c r="K182" s="1"/>
      <c r="L182" s="1"/>
      <c r="M182" s="1"/>
      <c r="N182" s="1"/>
      <c r="O182" s="1"/>
      <c r="P182" s="1"/>
      <c r="Q182" s="1"/>
      <c r="R182" s="1"/>
      <c r="S182" s="1"/>
    </row>
    <row r="183" spans="1:19">
      <c r="A183" t="str">
        <f>B183&amp;C183</f>
        <v>Sierra LeoneWHO</v>
      </c>
      <c r="B183" s="528" t="s">
        <v>936</v>
      </c>
      <c r="C183" s="528" t="s">
        <v>880</v>
      </c>
    </row>
    <row r="184" spans="1:19">
      <c r="A184" s="547" t="str">
        <f>B184&amp;C184</f>
        <v>Solomon IslandsWHO</v>
      </c>
      <c r="B184" s="547" t="s">
        <v>950</v>
      </c>
      <c r="C184" s="547" t="s">
        <v>880</v>
      </c>
    </row>
    <row r="185" spans="1:19">
      <c r="A185" t="str">
        <f>B185&amp;C185</f>
        <v>SomaliaWHO</v>
      </c>
      <c r="B185" s="528" t="s">
        <v>937</v>
      </c>
      <c r="C185" s="528" t="s">
        <v>880</v>
      </c>
    </row>
    <row r="186" spans="1:19">
      <c r="A186" s="48" t="str">
        <f>B186&amp;C186</f>
        <v>South AfricaWHO</v>
      </c>
      <c r="B186" s="547" t="s">
        <v>0</v>
      </c>
      <c r="C186" s="547" t="s">
        <v>880</v>
      </c>
      <c r="D186" s="112">
        <v>21</v>
      </c>
      <c r="E186" s="112"/>
      <c r="F186" s="112"/>
      <c r="G186" s="112">
        <v>22</v>
      </c>
      <c r="H186" s="112">
        <v>22</v>
      </c>
      <c r="I186" s="112">
        <v>22</v>
      </c>
      <c r="J186" s="112"/>
      <c r="K186" s="112"/>
      <c r="L186" s="112"/>
      <c r="M186" s="112"/>
      <c r="N186" s="112"/>
      <c r="O186" s="112"/>
      <c r="P186" s="112"/>
      <c r="Q186" s="112"/>
      <c r="R186" s="112"/>
    </row>
    <row r="187" spans="1:19">
      <c r="A187" t="str">
        <f>B187&amp;C187</f>
        <v>South SudanWHO</v>
      </c>
      <c r="B187" s="528" t="s">
        <v>938</v>
      </c>
      <c r="C187" s="528" t="s">
        <v>880</v>
      </c>
    </row>
    <row r="188" spans="1:19">
      <c r="A188" s="48" t="str">
        <f>B188&amp;C188</f>
        <v>Sri LankaWHO</v>
      </c>
      <c r="B188" s="547" t="s">
        <v>374</v>
      </c>
      <c r="C188" s="547" t="s">
        <v>880</v>
      </c>
      <c r="D188" s="1">
        <v>16</v>
      </c>
      <c r="E188" s="1">
        <v>16</v>
      </c>
      <c r="F188" s="1">
        <v>16</v>
      </c>
      <c r="G188" s="1">
        <v>16</v>
      </c>
      <c r="H188" s="1">
        <v>16</v>
      </c>
    </row>
    <row r="189" spans="1:19">
      <c r="A189" s="48" t="str">
        <f>B189&amp;C189</f>
        <v>SurinameWHO</v>
      </c>
      <c r="B189" s="547" t="s">
        <v>365</v>
      </c>
      <c r="C189" s="547" t="s">
        <v>880</v>
      </c>
    </row>
    <row r="190" spans="1:19">
      <c r="A190" s="48" t="str">
        <f>B190&amp;C190</f>
        <v>TanzaniaWHO</v>
      </c>
      <c r="B190" s="547" t="s">
        <v>143</v>
      </c>
      <c r="C190" s="547" t="s">
        <v>880</v>
      </c>
      <c r="D190" s="1">
        <v>23</v>
      </c>
      <c r="E190" s="1">
        <v>23</v>
      </c>
      <c r="F190" s="1">
        <v>23</v>
      </c>
      <c r="G190" s="1">
        <v>23</v>
      </c>
      <c r="H190" s="1">
        <v>23</v>
      </c>
      <c r="I190" s="1">
        <v>23</v>
      </c>
      <c r="J190" s="1">
        <v>23</v>
      </c>
      <c r="K190" s="1">
        <v>23</v>
      </c>
      <c r="L190" s="1"/>
      <c r="M190" s="1"/>
      <c r="N190" s="1"/>
      <c r="O190" s="1"/>
      <c r="P190" s="1"/>
      <c r="Q190" s="1"/>
      <c r="R190" s="1"/>
      <c r="S190" s="1"/>
    </row>
    <row r="191" spans="1:19">
      <c r="A191" s="48" t="str">
        <f>B191&amp;C191</f>
        <v>ThailandWHO</v>
      </c>
      <c r="B191" s="547" t="s">
        <v>185</v>
      </c>
      <c r="C191" s="547" t="s">
        <v>880</v>
      </c>
      <c r="D191" s="1"/>
      <c r="E191" s="1"/>
      <c r="F191" s="1"/>
      <c r="G191" s="1"/>
      <c r="H191" s="1"/>
      <c r="I191" s="1">
        <v>13</v>
      </c>
      <c r="J191" s="1">
        <v>13</v>
      </c>
      <c r="K191" s="1"/>
      <c r="L191" s="1"/>
      <c r="M191" s="1"/>
      <c r="N191" s="1"/>
      <c r="O191" s="1"/>
      <c r="P191" s="1"/>
      <c r="Q191" s="1"/>
      <c r="R191" s="1"/>
      <c r="S191" s="1"/>
    </row>
    <row r="192" spans="1:19">
      <c r="A192" s="48" t="str">
        <f>B192&amp;C192</f>
        <v>TogoWHO</v>
      </c>
      <c r="B192" s="547" t="s">
        <v>142</v>
      </c>
      <c r="C192" s="547" t="s">
        <v>880</v>
      </c>
      <c r="D192" s="1"/>
      <c r="E192" s="1"/>
      <c r="F192" s="1"/>
      <c r="G192" s="1"/>
      <c r="H192" s="1"/>
      <c r="I192" s="1">
        <v>22</v>
      </c>
      <c r="J192" s="1">
        <v>22</v>
      </c>
      <c r="K192" s="1">
        <v>22</v>
      </c>
      <c r="L192" s="1">
        <v>22</v>
      </c>
      <c r="M192" s="1">
        <v>22</v>
      </c>
      <c r="N192" s="1">
        <v>22</v>
      </c>
      <c r="O192" s="1">
        <v>22</v>
      </c>
      <c r="P192" s="1"/>
      <c r="Q192" s="1"/>
      <c r="R192" s="1"/>
      <c r="S192" s="1"/>
    </row>
    <row r="193" spans="1:20">
      <c r="A193" s="48" t="str">
        <f>B193&amp;C193</f>
        <v>Trinidad &amp; TobagoWHO</v>
      </c>
      <c r="B193" s="547" t="s">
        <v>366</v>
      </c>
      <c r="C193" s="547" t="s">
        <v>880</v>
      </c>
    </row>
    <row r="194" spans="1:20">
      <c r="A194" s="48" t="str">
        <f>B194&amp;C194</f>
        <v>UgandaWHO</v>
      </c>
      <c r="B194" s="547" t="s">
        <v>144</v>
      </c>
      <c r="C194" s="547" t="s">
        <v>880</v>
      </c>
      <c r="D194" s="1">
        <v>23</v>
      </c>
      <c r="E194" s="1">
        <v>23</v>
      </c>
      <c r="F194" s="1">
        <v>23</v>
      </c>
      <c r="G194" s="1">
        <v>22.5</v>
      </c>
      <c r="H194" s="1">
        <v>22</v>
      </c>
      <c r="I194" s="1">
        <v>22</v>
      </c>
      <c r="J194" s="1">
        <v>22</v>
      </c>
      <c r="K194" s="1">
        <v>22</v>
      </c>
      <c r="L194" s="1">
        <v>22</v>
      </c>
      <c r="M194" s="1"/>
      <c r="N194" s="1"/>
      <c r="O194" s="1"/>
      <c r="P194" s="1"/>
      <c r="Q194" s="1"/>
      <c r="R194" s="1"/>
      <c r="S194" s="1"/>
    </row>
    <row r="195" spans="1:20">
      <c r="A195" s="48" t="str">
        <f>B195&amp;C195</f>
        <v>UkraineWHO</v>
      </c>
      <c r="B195" s="547" t="s">
        <v>186</v>
      </c>
      <c r="C195" s="547" t="s">
        <v>880</v>
      </c>
      <c r="D195" s="1">
        <v>16</v>
      </c>
      <c r="E195" s="1">
        <v>16</v>
      </c>
      <c r="F195" s="1">
        <v>16</v>
      </c>
      <c r="G195" s="1">
        <v>16</v>
      </c>
      <c r="H195" s="1">
        <v>16</v>
      </c>
      <c r="I195" s="1"/>
      <c r="J195" s="1"/>
      <c r="K195" s="1"/>
      <c r="L195" s="1"/>
      <c r="M195" s="1"/>
      <c r="N195" s="1"/>
      <c r="O195" s="1"/>
      <c r="P195" s="1"/>
      <c r="Q195" s="1"/>
      <c r="R195" s="1"/>
      <c r="S195" s="1"/>
    </row>
    <row r="196" spans="1:20">
      <c r="A196" s="48" t="str">
        <f>B196&amp;C196</f>
        <v>UruguayWHO</v>
      </c>
      <c r="B196" s="547" t="s">
        <v>187</v>
      </c>
      <c r="C196" s="547" t="s">
        <v>880</v>
      </c>
    </row>
    <row r="197" spans="1:20">
      <c r="A197" s="48" t="str">
        <f>B197&amp;C197</f>
        <v>VenezuelaWHO</v>
      </c>
      <c r="B197" s="547" t="s">
        <v>188</v>
      </c>
      <c r="C197" s="547" t="s">
        <v>880</v>
      </c>
      <c r="D197" s="1"/>
      <c r="E197" s="1"/>
      <c r="F197" s="1"/>
      <c r="G197" s="1"/>
      <c r="H197" s="1"/>
      <c r="I197" s="1"/>
      <c r="J197" s="1"/>
      <c r="K197" s="1"/>
      <c r="L197" s="1"/>
      <c r="M197" s="1"/>
      <c r="N197" s="1"/>
      <c r="O197" s="1"/>
      <c r="P197" s="1"/>
      <c r="Q197" s="1"/>
      <c r="R197" s="1"/>
    </row>
    <row r="198" spans="1:20">
      <c r="A198" s="48" t="str">
        <f>B198&amp;C198</f>
        <v>ZambiaWHO</v>
      </c>
      <c r="B198" s="547" t="s">
        <v>124</v>
      </c>
      <c r="C198" s="547" t="s">
        <v>880</v>
      </c>
      <c r="D198" s="1">
        <v>22</v>
      </c>
      <c r="E198" s="1">
        <v>22</v>
      </c>
      <c r="F198" s="1">
        <v>22</v>
      </c>
      <c r="G198" s="1">
        <v>22</v>
      </c>
      <c r="H198" s="1">
        <v>22</v>
      </c>
      <c r="I198" s="1">
        <v>22</v>
      </c>
      <c r="J198" s="1">
        <v>22</v>
      </c>
      <c r="K198" s="1">
        <v>22</v>
      </c>
      <c r="L198" s="1">
        <v>22</v>
      </c>
      <c r="M198" s="1">
        <v>22</v>
      </c>
      <c r="N198" s="1">
        <v>22</v>
      </c>
      <c r="O198" s="1">
        <v>22</v>
      </c>
      <c r="P198" s="1"/>
      <c r="Q198" s="1"/>
      <c r="R198" s="1"/>
      <c r="S198" s="1"/>
      <c r="T198" s="1"/>
    </row>
    <row r="199" spans="1:20">
      <c r="A199" s="48" t="str">
        <f>B199&amp;C199</f>
        <v>ZimbabweWHO</v>
      </c>
      <c r="B199" s="547" t="s">
        <v>125</v>
      </c>
      <c r="C199" s="547" t="s">
        <v>880</v>
      </c>
      <c r="D199" s="1">
        <v>22</v>
      </c>
      <c r="E199" s="1">
        <v>22</v>
      </c>
      <c r="F199" s="1">
        <v>22</v>
      </c>
      <c r="G199" s="1">
        <v>22</v>
      </c>
      <c r="H199" s="1">
        <v>21.5</v>
      </c>
      <c r="I199" s="1">
        <v>21.5</v>
      </c>
      <c r="J199" s="1">
        <v>21.5</v>
      </c>
      <c r="K199" s="1">
        <v>22</v>
      </c>
      <c r="L199" s="1">
        <v>22</v>
      </c>
      <c r="M199" s="1"/>
      <c r="N199" s="1"/>
      <c r="O199" s="1"/>
      <c r="P199" s="1"/>
      <c r="Q199" s="1"/>
      <c r="R199" s="1"/>
      <c r="S199" s="1"/>
      <c r="T199" s="1"/>
    </row>
    <row r="200" spans="1:20">
      <c r="A200" t="str">
        <f>B200&amp;C200</f>
        <v>AfghanistanWorkshops</v>
      </c>
      <c r="B200" s="528" t="s">
        <v>928</v>
      </c>
      <c r="C200" s="528" t="s">
        <v>877</v>
      </c>
    </row>
    <row r="201" spans="1:20">
      <c r="A201" t="str">
        <f>B201&amp;C201</f>
        <v>AngolaWorkshops</v>
      </c>
      <c r="B201" s="528" t="s">
        <v>929</v>
      </c>
      <c r="C201" s="528" t="s">
        <v>877</v>
      </c>
    </row>
    <row r="202" spans="1:20">
      <c r="A202" t="str">
        <f>B202&amp;C202</f>
        <v>Antigua &amp; BarbudaWorkshops</v>
      </c>
      <c r="B202" s="528" t="s">
        <v>343</v>
      </c>
      <c r="C202" s="528" t="s">
        <v>877</v>
      </c>
    </row>
    <row r="203" spans="1:20">
      <c r="A203" t="str">
        <f>B203&amp;C203</f>
        <v>ArgentinaWorkshops</v>
      </c>
      <c r="B203" s="528" t="s">
        <v>344</v>
      </c>
      <c r="C203" s="528" t="s">
        <v>877</v>
      </c>
    </row>
    <row r="204" spans="1:20">
      <c r="A204" t="str">
        <f>B204&amp;C204</f>
        <v>BahamasWorkshops</v>
      </c>
      <c r="B204" s="528" t="s">
        <v>345</v>
      </c>
      <c r="C204" s="528" t="s">
        <v>877</v>
      </c>
    </row>
    <row r="205" spans="1:20">
      <c r="A205" t="str">
        <f>B205&amp;C205</f>
        <v>BangladeshWorkshops</v>
      </c>
      <c r="B205" s="528" t="s">
        <v>865</v>
      </c>
      <c r="C205" s="528" t="s">
        <v>877</v>
      </c>
    </row>
    <row r="206" spans="1:20">
      <c r="A206" t="str">
        <f>B206&amp;C206</f>
        <v>BarbadosWorkshops</v>
      </c>
      <c r="B206" s="528" t="s">
        <v>346</v>
      </c>
      <c r="C206" s="528" t="s">
        <v>877</v>
      </c>
    </row>
    <row r="207" spans="1:20">
      <c r="A207" t="str">
        <f>B207&amp;C207</f>
        <v>BelarusWorkshops</v>
      </c>
      <c r="B207" s="528" t="s">
        <v>166</v>
      </c>
      <c r="C207" s="528" t="s">
        <v>877</v>
      </c>
    </row>
    <row r="208" spans="1:20">
      <c r="A208" t="str">
        <f>B208&amp;C208</f>
        <v>BelizeWorkshops</v>
      </c>
      <c r="B208" s="528" t="s">
        <v>368</v>
      </c>
      <c r="C208" s="528" t="s">
        <v>877</v>
      </c>
    </row>
    <row r="209" spans="1:3">
      <c r="A209" t="str">
        <f>B209&amp;C209</f>
        <v>BeninWorkshops</v>
      </c>
      <c r="B209" s="528" t="s">
        <v>126</v>
      </c>
      <c r="C209" s="528" t="s">
        <v>877</v>
      </c>
    </row>
    <row r="210" spans="1:3">
      <c r="A210" s="547" t="str">
        <f>B210&amp;C210</f>
        <v>BhutanWorkshops</v>
      </c>
      <c r="B210" s="547" t="s">
        <v>951</v>
      </c>
      <c r="C210" s="547" t="s">
        <v>877</v>
      </c>
    </row>
    <row r="211" spans="1:3">
      <c r="A211" t="str">
        <f>B211&amp;C211</f>
        <v>BoliviaWorkshops</v>
      </c>
      <c r="B211" s="528" t="s">
        <v>798</v>
      </c>
      <c r="C211" s="528" t="s">
        <v>877</v>
      </c>
    </row>
    <row r="212" spans="1:3">
      <c r="A212" t="str">
        <f>B212&amp;C212</f>
        <v>BotswanaWorkshops</v>
      </c>
      <c r="B212" s="528" t="s">
        <v>834</v>
      </c>
      <c r="C212" s="528" t="s">
        <v>877</v>
      </c>
    </row>
    <row r="213" spans="1:3">
      <c r="A213" t="str">
        <f>B213&amp;C213</f>
        <v>BrazilWorkshops</v>
      </c>
      <c r="B213" s="528" t="s">
        <v>167</v>
      </c>
      <c r="C213" s="528" t="s">
        <v>877</v>
      </c>
    </row>
    <row r="214" spans="1:3">
      <c r="A214" s="547" t="str">
        <f>B214&amp;C214</f>
        <v>BruneiWorkshops</v>
      </c>
      <c r="B214" s="547" t="s">
        <v>952</v>
      </c>
      <c r="C214" s="547" t="s">
        <v>877</v>
      </c>
    </row>
    <row r="215" spans="1:3">
      <c r="A215" t="str">
        <f>B215&amp;C215</f>
        <v>Burkina FasoWorkshops</v>
      </c>
      <c r="B215" s="528" t="s">
        <v>168</v>
      </c>
      <c r="C215" s="528" t="s">
        <v>877</v>
      </c>
    </row>
    <row r="216" spans="1:3">
      <c r="A216" t="str">
        <f>B216&amp;C216</f>
        <v>BurundiWorkshops</v>
      </c>
      <c r="B216" s="528" t="s">
        <v>165</v>
      </c>
      <c r="C216" s="528" t="s">
        <v>877</v>
      </c>
    </row>
    <row r="217" spans="1:3">
      <c r="A217" t="str">
        <f>B217&amp;C217</f>
        <v>Cabo VerdeWorkshops</v>
      </c>
      <c r="B217" s="528" t="s">
        <v>149</v>
      </c>
      <c r="C217" s="528" t="s">
        <v>877</v>
      </c>
    </row>
    <row r="218" spans="1:3">
      <c r="A218" t="str">
        <f>B218&amp;C218</f>
        <v>CambodiaWorkshops</v>
      </c>
      <c r="B218" s="528" t="s">
        <v>169</v>
      </c>
      <c r="C218" s="528" t="s">
        <v>877</v>
      </c>
    </row>
    <row r="219" spans="1:3">
      <c r="A219" t="str">
        <f>B219&amp;C219</f>
        <v>Central African RepublicWorkshops</v>
      </c>
      <c r="B219" s="528" t="s">
        <v>153</v>
      </c>
      <c r="C219" s="528" t="s">
        <v>877</v>
      </c>
    </row>
    <row r="220" spans="1:3">
      <c r="A220" t="str">
        <f>B220&amp;C220</f>
        <v>ChileWorkshops</v>
      </c>
      <c r="B220" s="528" t="s">
        <v>170</v>
      </c>
      <c r="C220" s="528" t="s">
        <v>877</v>
      </c>
    </row>
    <row r="221" spans="1:3">
      <c r="A221" t="str">
        <f>B221&amp;C221</f>
        <v>ChinaWorkshops</v>
      </c>
      <c r="B221" s="528" t="s">
        <v>349</v>
      </c>
      <c r="C221" s="528" t="s">
        <v>877</v>
      </c>
    </row>
    <row r="222" spans="1:3">
      <c r="A222" t="str">
        <f>B222&amp;C222</f>
        <v>ColombiaWorkshops</v>
      </c>
      <c r="B222" s="528" t="s">
        <v>171</v>
      </c>
      <c r="C222" s="528" t="s">
        <v>877</v>
      </c>
    </row>
    <row r="223" spans="1:3">
      <c r="A223" t="str">
        <f>B223&amp;C223</f>
        <v>Costa RicaWorkshops</v>
      </c>
      <c r="B223" s="528" t="s">
        <v>350</v>
      </c>
      <c r="C223" s="528" t="s">
        <v>877</v>
      </c>
    </row>
    <row r="224" spans="1:3">
      <c r="A224" t="str">
        <f>B224&amp;C224</f>
        <v>CubaWorkshops</v>
      </c>
      <c r="B224" s="528" t="s">
        <v>164</v>
      </c>
      <c r="C224" s="528" t="s">
        <v>877</v>
      </c>
    </row>
    <row r="225" spans="1:19">
      <c r="A225" t="str">
        <f>B225&amp;C225</f>
        <v>Democratic Republic of CongoWorkshops</v>
      </c>
      <c r="B225" s="528" t="s">
        <v>152</v>
      </c>
      <c r="C225" s="528" t="s">
        <v>877</v>
      </c>
    </row>
    <row r="226" spans="1:19">
      <c r="A226" t="str">
        <f>B226&amp;C226</f>
        <v>DominicaWorkshops</v>
      </c>
      <c r="B226" s="528" t="s">
        <v>351</v>
      </c>
      <c r="C226" s="528" t="s">
        <v>877</v>
      </c>
    </row>
    <row r="227" spans="1:19">
      <c r="A227" t="str">
        <f>B227&amp;C227</f>
        <v>Dominican RepublicWorkshops</v>
      </c>
      <c r="B227" s="528" t="s">
        <v>172</v>
      </c>
      <c r="C227" s="528" t="s">
        <v>877</v>
      </c>
    </row>
    <row r="228" spans="1:19">
      <c r="A228" t="str">
        <f>B228&amp;C228</f>
        <v>EcuadorWorkshops</v>
      </c>
      <c r="B228" s="528" t="s">
        <v>352</v>
      </c>
      <c r="C228" s="528" t="s">
        <v>877</v>
      </c>
    </row>
    <row r="229" spans="1:19">
      <c r="A229" t="str">
        <f>B229&amp;C229</f>
        <v>El SalvadorWorkshops</v>
      </c>
      <c r="B229" s="528" t="s">
        <v>353</v>
      </c>
      <c r="C229" s="528" t="s">
        <v>877</v>
      </c>
    </row>
    <row r="230" spans="1:19">
      <c r="A230" t="str">
        <f>B230&amp;C230</f>
        <v>Equatorial GuineaWorkshops</v>
      </c>
      <c r="B230" s="528" t="s">
        <v>129</v>
      </c>
      <c r="C230" s="528" t="s">
        <v>877</v>
      </c>
    </row>
    <row r="231" spans="1:19">
      <c r="A231" t="str">
        <f>B231&amp;C231</f>
        <v>EritreaWorkshops</v>
      </c>
      <c r="B231" s="528" t="s">
        <v>128</v>
      </c>
      <c r="C231" s="528" t="s">
        <v>877</v>
      </c>
    </row>
    <row r="232" spans="1:19">
      <c r="A232" t="str">
        <f>B232&amp;C232</f>
        <v>EswatiniWorkshops</v>
      </c>
      <c r="B232" s="528" t="s">
        <v>835</v>
      </c>
      <c r="C232" s="528" t="s">
        <v>877</v>
      </c>
    </row>
    <row r="233" spans="1:19">
      <c r="A233" t="str">
        <f>B233&amp;C233</f>
        <v>EthiopiaWorkshops</v>
      </c>
      <c r="B233" s="528" t="s">
        <v>127</v>
      </c>
      <c r="C233" s="528" t="s">
        <v>877</v>
      </c>
    </row>
    <row r="234" spans="1:19">
      <c r="A234" t="str">
        <f>B234&amp;C234</f>
        <v>Federated States of MicronesiaWorkshops</v>
      </c>
      <c r="B234" s="528" t="s">
        <v>356</v>
      </c>
      <c r="C234" s="528" t="s">
        <v>877</v>
      </c>
    </row>
    <row r="235" spans="1:19">
      <c r="A235" t="str">
        <f>B235&amp;C235</f>
        <v>FijiWorkshops</v>
      </c>
      <c r="B235" s="528" t="s">
        <v>338</v>
      </c>
      <c r="C235" s="528" t="s">
        <v>877</v>
      </c>
      <c r="D235" s="814">
        <v>22</v>
      </c>
      <c r="E235" s="814">
        <v>22</v>
      </c>
      <c r="F235" s="814">
        <v>22</v>
      </c>
      <c r="G235" s="814">
        <v>22</v>
      </c>
      <c r="H235" s="814">
        <v>22</v>
      </c>
      <c r="I235" s="814">
        <v>22</v>
      </c>
      <c r="J235" s="814">
        <v>22</v>
      </c>
      <c r="K235" s="814">
        <v>22</v>
      </c>
      <c r="L235" s="814">
        <v>22</v>
      </c>
      <c r="M235" s="814">
        <v>22</v>
      </c>
      <c r="N235" s="814">
        <v>22</v>
      </c>
      <c r="O235" s="814">
        <v>22</v>
      </c>
      <c r="P235" s="814">
        <v>22</v>
      </c>
      <c r="Q235" s="814">
        <v>22</v>
      </c>
      <c r="R235" s="814">
        <v>22</v>
      </c>
      <c r="S235" s="814">
        <v>22</v>
      </c>
    </row>
    <row r="236" spans="1:19">
      <c r="A236" t="str">
        <f>B236&amp;C236</f>
        <v>GabonWorkshops</v>
      </c>
      <c r="B236" s="528" t="s">
        <v>130</v>
      </c>
      <c r="C236" s="528" t="s">
        <v>877</v>
      </c>
    </row>
    <row r="237" spans="1:19">
      <c r="A237" t="str">
        <f>B237&amp;C237</f>
        <v>GeorgiaWorkshops</v>
      </c>
      <c r="B237" s="528" t="s">
        <v>173</v>
      </c>
      <c r="C237" s="528" t="s">
        <v>877</v>
      </c>
    </row>
    <row r="238" spans="1:19">
      <c r="A238" t="str">
        <f>B238&amp;C238</f>
        <v>GhanaWorkshops</v>
      </c>
      <c r="B238" s="528" t="s">
        <v>131</v>
      </c>
      <c r="C238" s="528" t="s">
        <v>877</v>
      </c>
    </row>
    <row r="239" spans="1:19">
      <c r="A239" t="str">
        <f>B239&amp;C239</f>
        <v>GrenadaWorkshops</v>
      </c>
      <c r="B239" s="528" t="s">
        <v>354</v>
      </c>
      <c r="C239" s="528" t="s">
        <v>877</v>
      </c>
    </row>
    <row r="240" spans="1:19">
      <c r="A240" t="str">
        <f>B240&amp;C240</f>
        <v>GuatemalaWorkshops</v>
      </c>
      <c r="B240" s="528" t="s">
        <v>355</v>
      </c>
      <c r="C240" s="528" t="s">
        <v>877</v>
      </c>
    </row>
    <row r="241" spans="1:3">
      <c r="A241" t="str">
        <f>B241&amp;C241</f>
        <v>GuineaWorkshops</v>
      </c>
      <c r="B241" s="528" t="s">
        <v>132</v>
      </c>
      <c r="C241" s="528" t="s">
        <v>877</v>
      </c>
    </row>
    <row r="242" spans="1:3">
      <c r="A242" t="str">
        <f>B242&amp;C242</f>
        <v>GuyanaWorkshops</v>
      </c>
      <c r="B242" s="528" t="s">
        <v>357</v>
      </c>
      <c r="C242" s="528" t="s">
        <v>877</v>
      </c>
    </row>
    <row r="243" spans="1:3">
      <c r="A243" t="str">
        <f>B243&amp;C243</f>
        <v>HaitiWorkshops</v>
      </c>
      <c r="B243" s="528" t="s">
        <v>174</v>
      </c>
      <c r="C243" s="528" t="s">
        <v>877</v>
      </c>
    </row>
    <row r="244" spans="1:3">
      <c r="A244" t="str">
        <f>B244&amp;C244</f>
        <v>HondurasWorkshops</v>
      </c>
      <c r="B244" s="528" t="s">
        <v>358</v>
      </c>
      <c r="C244" s="528" t="s">
        <v>877</v>
      </c>
    </row>
    <row r="245" spans="1:3">
      <c r="A245" t="str">
        <f>B245&amp;C245</f>
        <v>IndiaWorkshops</v>
      </c>
      <c r="B245" s="528" t="s">
        <v>175</v>
      </c>
      <c r="C245" s="528" t="s">
        <v>877</v>
      </c>
    </row>
    <row r="246" spans="1:3">
      <c r="A246" t="str">
        <f>B246&amp;C246</f>
        <v>IndonesiaWorkshops</v>
      </c>
      <c r="B246" s="528" t="s">
        <v>866</v>
      </c>
      <c r="C246" s="528" t="s">
        <v>877</v>
      </c>
    </row>
    <row r="247" spans="1:3">
      <c r="A247" t="str">
        <f>B247&amp;C247</f>
        <v>JamaicaWorkshops</v>
      </c>
      <c r="B247" s="528" t="s">
        <v>176</v>
      </c>
      <c r="C247" s="528" t="s">
        <v>877</v>
      </c>
    </row>
    <row r="248" spans="1:3">
      <c r="A248" t="str">
        <f>B248&amp;C248</f>
        <v>KenyaWorkshops</v>
      </c>
      <c r="B248" s="528" t="s">
        <v>133</v>
      </c>
      <c r="C248" s="528" t="s">
        <v>877</v>
      </c>
    </row>
    <row r="249" spans="1:3">
      <c r="A249" t="str">
        <f>B249&amp;C249</f>
        <v>LesothoWorkshops</v>
      </c>
      <c r="B249" s="528" t="s">
        <v>930</v>
      </c>
      <c r="C249" s="528" t="s">
        <v>877</v>
      </c>
    </row>
    <row r="250" spans="1:3">
      <c r="A250" t="str">
        <f>B250&amp;C250</f>
        <v>LiberiaWorkshops</v>
      </c>
      <c r="B250" s="528" t="s">
        <v>134</v>
      </c>
      <c r="C250" s="528" t="s">
        <v>877</v>
      </c>
    </row>
    <row r="251" spans="1:3">
      <c r="A251" t="str">
        <f>B251&amp;C251</f>
        <v>MadagascarWorkshops</v>
      </c>
      <c r="B251" s="528" t="s">
        <v>135</v>
      </c>
      <c r="C251" s="528" t="s">
        <v>877</v>
      </c>
    </row>
    <row r="252" spans="1:3">
      <c r="A252" t="str">
        <f>B252&amp;C252</f>
        <v>MalawiWorkshops</v>
      </c>
      <c r="B252" s="528" t="s">
        <v>136</v>
      </c>
      <c r="C252" s="528" t="s">
        <v>877</v>
      </c>
    </row>
    <row r="253" spans="1:3">
      <c r="A253" t="str">
        <f>B253&amp;C253</f>
        <v>MalaysiaWorkshops</v>
      </c>
      <c r="B253" s="528" t="s">
        <v>177</v>
      </c>
      <c r="C253" s="528" t="s">
        <v>877</v>
      </c>
    </row>
    <row r="254" spans="1:3">
      <c r="A254" t="str">
        <f>B254&amp;C254</f>
        <v>MaldivesWorkshops</v>
      </c>
      <c r="B254" s="528" t="s">
        <v>375</v>
      </c>
      <c r="C254" s="528" t="s">
        <v>877</v>
      </c>
    </row>
    <row r="255" spans="1:3">
      <c r="A255" t="str">
        <f>B255&amp;C255</f>
        <v>MaliWorkshops</v>
      </c>
      <c r="B255" s="528" t="s">
        <v>137</v>
      </c>
      <c r="C255" s="528" t="s">
        <v>877</v>
      </c>
    </row>
    <row r="256" spans="1:3">
      <c r="A256" t="str">
        <f>B256&amp;C256</f>
        <v>MauritiusWorkshops</v>
      </c>
      <c r="B256" s="528" t="s">
        <v>150</v>
      </c>
      <c r="C256" s="528" t="s">
        <v>877</v>
      </c>
    </row>
    <row r="257" spans="1:3">
      <c r="A257" t="str">
        <f>B257&amp;C257</f>
        <v>MexicoWorkshops</v>
      </c>
      <c r="B257" s="528" t="s">
        <v>761</v>
      </c>
      <c r="C257" s="528" t="s">
        <v>877</v>
      </c>
    </row>
    <row r="258" spans="1:3">
      <c r="A258" t="str">
        <f>B258&amp;C258</f>
        <v>MoldovaWorkshops</v>
      </c>
      <c r="B258" s="528" t="s">
        <v>230</v>
      </c>
      <c r="C258" s="528" t="s">
        <v>877</v>
      </c>
    </row>
    <row r="259" spans="1:3">
      <c r="A259" t="str">
        <f>B259&amp;C259</f>
        <v>MongoliaWorkshops</v>
      </c>
      <c r="B259" s="528" t="s">
        <v>178</v>
      </c>
      <c r="C259" s="528" t="s">
        <v>877</v>
      </c>
    </row>
    <row r="260" spans="1:3">
      <c r="A260" t="str">
        <f>B260&amp;C260</f>
        <v>MoroccoWorkshops</v>
      </c>
      <c r="B260" s="528" t="s">
        <v>931</v>
      </c>
      <c r="C260" s="528" t="s">
        <v>877</v>
      </c>
    </row>
    <row r="261" spans="1:3">
      <c r="A261" t="str">
        <f>B261&amp;C261</f>
        <v>MozambiqueWorkshops</v>
      </c>
      <c r="B261" s="528" t="s">
        <v>138</v>
      </c>
      <c r="C261" s="528" t="s">
        <v>877</v>
      </c>
    </row>
    <row r="262" spans="1:3">
      <c r="A262" t="str">
        <f>B262&amp;C262</f>
        <v>MyanmarWorkshops</v>
      </c>
      <c r="B262" s="528" t="s">
        <v>932</v>
      </c>
      <c r="C262" s="528" t="s">
        <v>877</v>
      </c>
    </row>
    <row r="263" spans="1:3">
      <c r="A263" t="str">
        <f>B263&amp;C263</f>
        <v>NepalWorkshops</v>
      </c>
      <c r="B263" s="528" t="s">
        <v>179</v>
      </c>
      <c r="C263" s="528" t="s">
        <v>877</v>
      </c>
    </row>
    <row r="264" spans="1:3">
      <c r="A264" t="str">
        <f>B264&amp;C264</f>
        <v>NicaraguaWorkshops</v>
      </c>
      <c r="B264" s="528" t="s">
        <v>359</v>
      </c>
      <c r="C264" s="528" t="s">
        <v>877</v>
      </c>
    </row>
    <row r="265" spans="1:3">
      <c r="A265" t="str">
        <f>B265&amp;C265</f>
        <v>NigerWorkshops</v>
      </c>
      <c r="B265" s="528" t="s">
        <v>139</v>
      </c>
      <c r="C265" s="528" t="s">
        <v>877</v>
      </c>
    </row>
    <row r="266" spans="1:3">
      <c r="A266" t="str">
        <f>B266&amp;C266</f>
        <v>NigeriaWorkshops</v>
      </c>
      <c r="B266" s="528" t="s">
        <v>140</v>
      </c>
      <c r="C266" s="528" t="s">
        <v>877</v>
      </c>
    </row>
    <row r="267" spans="1:3">
      <c r="A267" t="str">
        <f>B267&amp;C267</f>
        <v>OmanWorkshops</v>
      </c>
      <c r="B267" s="528" t="s">
        <v>933</v>
      </c>
      <c r="C267" s="528" t="s">
        <v>877</v>
      </c>
    </row>
    <row r="268" spans="1:3">
      <c r="A268" t="str">
        <f>B268&amp;C268</f>
        <v>PanamaWorkshops</v>
      </c>
      <c r="B268" s="528" t="s">
        <v>180</v>
      </c>
      <c r="C268" s="528" t="s">
        <v>877</v>
      </c>
    </row>
    <row r="269" spans="1:3">
      <c r="A269" t="str">
        <f>B269&amp;C269</f>
        <v>Papua New GuineaWorkshops</v>
      </c>
      <c r="B269" s="528" t="s">
        <v>181</v>
      </c>
      <c r="C269" s="528" t="s">
        <v>877</v>
      </c>
    </row>
    <row r="270" spans="1:3">
      <c r="A270" t="str">
        <f>B270&amp;C270</f>
        <v>ParaguayWorkshops</v>
      </c>
      <c r="B270" s="528" t="s">
        <v>182</v>
      </c>
      <c r="C270" s="528" t="s">
        <v>877</v>
      </c>
    </row>
    <row r="271" spans="1:3">
      <c r="A271" t="str">
        <f>B271&amp;C271</f>
        <v>PeruWorkshops</v>
      </c>
      <c r="B271" s="528" t="s">
        <v>360</v>
      </c>
      <c r="C271" s="528" t="s">
        <v>877</v>
      </c>
    </row>
    <row r="272" spans="1:3">
      <c r="A272" t="str">
        <f>B272&amp;C272</f>
        <v>Republic of the CongoWorkshops</v>
      </c>
      <c r="B272" s="528" t="s">
        <v>934</v>
      </c>
      <c r="C272" s="528" t="s">
        <v>877</v>
      </c>
    </row>
    <row r="273" spans="1:19">
      <c r="A273" s="547" t="str">
        <f>B273&amp;C273</f>
        <v>RwandaWorkshops</v>
      </c>
      <c r="B273" s="547" t="s">
        <v>953</v>
      </c>
      <c r="C273" s="547" t="s">
        <v>877</v>
      </c>
    </row>
    <row r="274" spans="1:19">
      <c r="A274" t="str">
        <f>B274&amp;C274</f>
        <v>Saint Kitts &amp; NevisWorkshops</v>
      </c>
      <c r="B274" s="528" t="s">
        <v>361</v>
      </c>
      <c r="C274" s="528" t="s">
        <v>877</v>
      </c>
    </row>
    <row r="275" spans="1:19">
      <c r="A275" t="str">
        <f>B275&amp;C275</f>
        <v>Saint LuciaWorkshops</v>
      </c>
      <c r="B275" s="528" t="s">
        <v>362</v>
      </c>
      <c r="C275" s="528" t="s">
        <v>877</v>
      </c>
    </row>
    <row r="276" spans="1:19">
      <c r="A276" t="str">
        <f>B276&amp;C276</f>
        <v>Saint Vincent &amp; the GrenadinesWorkshops</v>
      </c>
      <c r="B276" s="528" t="s">
        <v>363</v>
      </c>
      <c r="C276" s="528" t="s">
        <v>877</v>
      </c>
    </row>
    <row r="277" spans="1:19">
      <c r="A277" t="str">
        <f>B277&amp;C277</f>
        <v>SamoaWorkshops</v>
      </c>
      <c r="B277" s="528" t="s">
        <v>183</v>
      </c>
      <c r="C277" s="528" t="s">
        <v>877</v>
      </c>
      <c r="D277" s="812"/>
      <c r="E277" s="812"/>
      <c r="F277" s="812"/>
      <c r="G277" s="812"/>
      <c r="H277" s="812"/>
      <c r="I277" s="812"/>
      <c r="J277" s="812"/>
      <c r="K277" s="812"/>
      <c r="L277" s="812">
        <v>39</v>
      </c>
      <c r="M277" s="812">
        <v>39</v>
      </c>
      <c r="N277" s="812">
        <v>39</v>
      </c>
      <c r="O277" s="812">
        <v>39</v>
      </c>
      <c r="P277" s="812">
        <v>39</v>
      </c>
      <c r="Q277" s="812">
        <v>39</v>
      </c>
      <c r="R277" s="812">
        <v>39</v>
      </c>
      <c r="S277" s="812">
        <v>39</v>
      </c>
    </row>
    <row r="278" spans="1:19">
      <c r="A278" t="str">
        <f>B278&amp;C278</f>
        <v>Sao Tome &amp; PrincipeWorkshops</v>
      </c>
      <c r="B278" s="528" t="s">
        <v>364</v>
      </c>
      <c r="C278" s="528" t="s">
        <v>877</v>
      </c>
    </row>
    <row r="279" spans="1:19">
      <c r="A279" t="str">
        <f>B279&amp;C279</f>
        <v>Saudi ArabiaWorkshops</v>
      </c>
      <c r="B279" s="528" t="s">
        <v>935</v>
      </c>
      <c r="C279" s="528" t="s">
        <v>877</v>
      </c>
    </row>
    <row r="280" spans="1:19">
      <c r="A280" t="str">
        <f>B280&amp;C280</f>
        <v>SenegalWorkshops</v>
      </c>
      <c r="B280" s="528" t="s">
        <v>141</v>
      </c>
      <c r="C280" s="528" t="s">
        <v>877</v>
      </c>
    </row>
    <row r="281" spans="1:19">
      <c r="A281" t="str">
        <f>B281&amp;C281</f>
        <v>SeychellesWorkshops</v>
      </c>
      <c r="B281" s="528" t="s">
        <v>151</v>
      </c>
      <c r="C281" s="528" t="s">
        <v>877</v>
      </c>
    </row>
    <row r="282" spans="1:19">
      <c r="A282" t="str">
        <f>B282&amp;C282</f>
        <v>Sierra LeoneWorkshops</v>
      </c>
      <c r="B282" s="528" t="s">
        <v>936</v>
      </c>
      <c r="C282" s="528" t="s">
        <v>877</v>
      </c>
    </row>
    <row r="283" spans="1:19">
      <c r="A283" s="547" t="str">
        <f>B283&amp;C283</f>
        <v>Solomon IslandsWorkshops</v>
      </c>
      <c r="B283" s="547" t="s">
        <v>950</v>
      </c>
      <c r="C283" s="547" t="s">
        <v>877</v>
      </c>
    </row>
    <row r="284" spans="1:19">
      <c r="A284" t="str">
        <f>B284&amp;C284</f>
        <v>SomaliaWorkshops</v>
      </c>
      <c r="B284" s="528" t="s">
        <v>937</v>
      </c>
      <c r="C284" s="528" t="s">
        <v>877</v>
      </c>
    </row>
    <row r="285" spans="1:19">
      <c r="A285" t="str">
        <f>B285&amp;C285</f>
        <v>South AfricaWorkshops</v>
      </c>
      <c r="B285" s="528" t="s">
        <v>0</v>
      </c>
      <c r="C285" s="528" t="s">
        <v>877</v>
      </c>
    </row>
    <row r="286" spans="1:19">
      <c r="A286" t="str">
        <f>B286&amp;C286</f>
        <v>South SudanWorkshops</v>
      </c>
      <c r="B286" s="528" t="s">
        <v>938</v>
      </c>
      <c r="C286" s="528" t="s">
        <v>877</v>
      </c>
    </row>
    <row r="287" spans="1:19">
      <c r="A287" t="str">
        <f>B287&amp;C287</f>
        <v>Sri LankaWorkshops</v>
      </c>
      <c r="B287" s="528" t="s">
        <v>374</v>
      </c>
      <c r="C287" s="528" t="s">
        <v>877</v>
      </c>
    </row>
    <row r="288" spans="1:19">
      <c r="A288" t="str">
        <f>B288&amp;C288</f>
        <v>SurinameWorkshops</v>
      </c>
      <c r="B288" s="528" t="s">
        <v>365</v>
      </c>
      <c r="C288" s="528" t="s">
        <v>877</v>
      </c>
    </row>
    <row r="289" spans="1:3">
      <c r="A289" t="str">
        <f>B289&amp;C289</f>
        <v>TanzaniaWorkshops</v>
      </c>
      <c r="B289" s="528" t="s">
        <v>143</v>
      </c>
      <c r="C289" s="528" t="s">
        <v>877</v>
      </c>
    </row>
    <row r="290" spans="1:3">
      <c r="A290" t="str">
        <f>B290&amp;C290</f>
        <v>ThailandWorkshops</v>
      </c>
      <c r="B290" s="528" t="s">
        <v>185</v>
      </c>
      <c r="C290" s="528" t="s">
        <v>877</v>
      </c>
    </row>
    <row r="291" spans="1:3">
      <c r="A291" t="str">
        <f>B291&amp;C291</f>
        <v>TogoWorkshops</v>
      </c>
      <c r="B291" s="528" t="s">
        <v>142</v>
      </c>
      <c r="C291" s="528" t="s">
        <v>877</v>
      </c>
    </row>
    <row r="292" spans="1:3">
      <c r="A292" t="str">
        <f>B292&amp;C292</f>
        <v>Trinidad &amp; TobagoWorkshops</v>
      </c>
      <c r="B292" s="528" t="s">
        <v>366</v>
      </c>
      <c r="C292" s="528" t="s">
        <v>877</v>
      </c>
    </row>
    <row r="293" spans="1:3">
      <c r="A293" t="str">
        <f>B293&amp;C293</f>
        <v>UgandaWorkshops</v>
      </c>
      <c r="B293" s="528" t="s">
        <v>144</v>
      </c>
      <c r="C293" s="528" t="s">
        <v>877</v>
      </c>
    </row>
    <row r="294" spans="1:3">
      <c r="A294" t="str">
        <f>B294&amp;C294</f>
        <v>UkraineWorkshops</v>
      </c>
      <c r="B294" s="528" t="s">
        <v>186</v>
      </c>
      <c r="C294" s="528" t="s">
        <v>877</v>
      </c>
    </row>
    <row r="295" spans="1:3">
      <c r="A295" t="str">
        <f>B295&amp;C295</f>
        <v>UruguayWorkshops</v>
      </c>
      <c r="B295" s="528" t="s">
        <v>187</v>
      </c>
      <c r="C295" s="528" t="s">
        <v>877</v>
      </c>
    </row>
    <row r="296" spans="1:3">
      <c r="A296" t="str">
        <f>B296&amp;C296</f>
        <v>VenezuelaWorkshops</v>
      </c>
      <c r="B296" s="528" t="s">
        <v>188</v>
      </c>
      <c r="C296" s="528" t="s">
        <v>877</v>
      </c>
    </row>
    <row r="297" spans="1:3">
      <c r="A297" t="str">
        <f>B297&amp;C297</f>
        <v>ZambiaWorkshops</v>
      </c>
      <c r="B297" s="528" t="s">
        <v>124</v>
      </c>
      <c r="C297" s="528" t="s">
        <v>877</v>
      </c>
    </row>
    <row r="298" spans="1:3">
      <c r="A298" t="str">
        <f>B298&amp;C298</f>
        <v>ZimbabweWorkshops</v>
      </c>
      <c r="B298" s="528" t="s">
        <v>125</v>
      </c>
      <c r="C298" s="528" t="s">
        <v>877</v>
      </c>
    </row>
  </sheetData>
  <sortState xmlns:xlrd2="http://schemas.microsoft.com/office/spreadsheetml/2017/richdata2" ref="A2:U298">
    <sortCondition ref="C2:C298"/>
    <sortCondition ref="B2:B298"/>
  </sortState>
  <customSheetViews>
    <customSheetView guid="{8967CA62-3554-8A40-ACFF-3515F2B518C8}" scale="81" topLeftCell="A108">
      <selection activeCell="D153" sqref="D153:S153"/>
      <pageMargins left="0.7" right="0.7" top="0.75" bottom="0.75" header="0.3" footer="0.3"/>
    </customSheetView>
    <customSheetView guid="{EB877D66-0749-4C48-89AA-FFA94A34014C}" scale="81" state="hidden" topLeftCell="A108">
      <selection activeCell="D153" sqref="D153:S153"/>
      <pageMargins left="0.7" right="0.7" top="0.75" bottom="0.75" header="0.3" footer="0.3"/>
    </customSheetView>
  </customSheetViews>
  <dataValidations count="1">
    <dataValidation type="list" allowBlank="1" showInputMessage="1" showErrorMessage="1" sqref="D117:S117 D153:S153" xr:uid="{00000000-0002-0000-1200-000000000000}">
      <formula1>$A$97:$A$136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3:P59"/>
  <sheetViews>
    <sheetView showGridLines="0" workbookViewId="0">
      <selection activeCell="D38" sqref="D38"/>
    </sheetView>
  </sheetViews>
  <sheetFormatPr baseColWidth="10" defaultColWidth="11" defaultRowHeight="13"/>
  <cols>
    <col min="1" max="1" width="4" customWidth="1"/>
    <col min="2" max="2" width="10.83203125" customWidth="1"/>
    <col min="3" max="3" width="2.83203125" customWidth="1"/>
    <col min="8" max="8" width="12.1640625" customWidth="1"/>
  </cols>
  <sheetData>
    <row r="3" spans="2:16" ht="39">
      <c r="B3" s="53" t="str">
        <f ca="1">INDIRECT("'"&amp;Cover!$E$4&amp;"'!"&amp;CELL("address",B18))</f>
        <v>User manual</v>
      </c>
    </row>
    <row r="4" spans="2:16" ht="14">
      <c r="B4" s="38"/>
      <c r="C4" s="38"/>
      <c r="D4" s="38"/>
      <c r="E4" s="38"/>
      <c r="F4" s="38"/>
    </row>
    <row r="5" spans="2:16" ht="15">
      <c r="B5" s="40"/>
      <c r="C5" s="42"/>
      <c r="D5" s="41"/>
      <c r="E5" s="41"/>
      <c r="F5" s="41"/>
    </row>
    <row r="6" spans="2:16" ht="19">
      <c r="B6" s="213" t="str">
        <f ca="1">INDIRECT("'"&amp;Cover!$E$4&amp;"'!"&amp;CELL("address",B19))</f>
        <v>Guidelines for use</v>
      </c>
      <c r="C6" s="213"/>
      <c r="D6" s="213"/>
      <c r="E6" s="214"/>
      <c r="F6" s="214"/>
    </row>
    <row r="7" spans="2:16" ht="30" customHeight="1">
      <c r="B7" s="439" t="str">
        <f ca="1">INDIRECT("'"&amp;Cover!$E$4&amp;"'!"&amp;CELL("address",B20))</f>
        <v>The following guidelines are instructions for use of this tool in accordance with the numbered steps on the Main Prediction Tool tab</v>
      </c>
      <c r="C7" s="38"/>
      <c r="D7" s="252"/>
      <c r="E7" s="252"/>
      <c r="F7" s="252"/>
      <c r="G7" s="252"/>
      <c r="H7" s="252"/>
      <c r="I7" s="252"/>
      <c r="J7" s="38"/>
      <c r="K7" s="38"/>
      <c r="L7" s="38"/>
      <c r="M7" s="38"/>
      <c r="N7" s="38"/>
      <c r="O7" s="38"/>
    </row>
    <row r="8" spans="2:16" ht="14">
      <c r="B8" s="38"/>
      <c r="C8" s="38"/>
      <c r="D8" s="38"/>
      <c r="E8" s="38"/>
      <c r="F8" s="38"/>
      <c r="G8" s="38"/>
      <c r="H8" s="38"/>
      <c r="I8" s="38"/>
      <c r="J8" s="38"/>
      <c r="K8" s="38"/>
      <c r="L8" s="38"/>
      <c r="M8" s="38"/>
      <c r="N8" s="38"/>
      <c r="O8" s="38"/>
    </row>
    <row r="9" spans="2:16" ht="19">
      <c r="B9" s="216" t="str">
        <f ca="1">INDIRECT("'"&amp;Cover!$E$4&amp;"'!"&amp;CELL("address",B22))</f>
        <v>Setup</v>
      </c>
      <c r="C9" s="105"/>
      <c r="D9" s="217" t="str">
        <f ca="1">INDIRECT("'"&amp;Cover!$E$4&amp;"'!"&amp;CELL("address",B23))</f>
        <v>Select your country of interest on the 'Data' tab</v>
      </c>
      <c r="E9" s="217"/>
      <c r="F9" s="217"/>
      <c r="G9" s="217"/>
      <c r="H9" s="217"/>
      <c r="I9" s="17"/>
      <c r="J9" s="17"/>
      <c r="K9" s="17"/>
      <c r="L9" s="38"/>
      <c r="M9" s="38"/>
      <c r="N9" s="38"/>
      <c r="O9" s="38"/>
    </row>
    <row r="10" spans="2:16" ht="19">
      <c r="B10" s="38"/>
      <c r="C10" s="304" t="s">
        <v>79</v>
      </c>
      <c r="D10" s="17" t="str">
        <f ca="1">INDIRECT("'"&amp;Cover!$E$4&amp;"'!"&amp;CELL("address",B24))</f>
        <v>Country selection can be made using the drop down menu</v>
      </c>
      <c r="E10" s="17"/>
      <c r="F10" s="17"/>
      <c r="G10" s="17"/>
      <c r="H10" s="17"/>
      <c r="I10" s="17"/>
      <c r="J10" s="17"/>
      <c r="K10" s="17"/>
      <c r="L10" s="38"/>
      <c r="M10" s="38"/>
      <c r="N10" s="38"/>
      <c r="O10" s="38"/>
    </row>
    <row r="11" spans="2:16" ht="19">
      <c r="B11" s="38"/>
      <c r="C11" s="304" t="s">
        <v>79</v>
      </c>
      <c r="D11" s="17" t="str">
        <f ca="1">INDIRECT("'"&amp;Cover!$E$4&amp;"'!"&amp;CELL("address",B25))</f>
        <v>Past data will then be displayed for your country</v>
      </c>
      <c r="E11" s="17"/>
      <c r="F11" s="17"/>
      <c r="G11" s="17"/>
      <c r="H11" s="17"/>
      <c r="I11" s="17"/>
      <c r="J11" s="17"/>
      <c r="K11" s="17"/>
      <c r="L11" s="38"/>
      <c r="M11" s="38"/>
      <c r="N11" s="38"/>
      <c r="O11" s="38"/>
    </row>
    <row r="12" spans="2:16" ht="19">
      <c r="B12" s="38"/>
      <c r="C12" s="304" t="s">
        <v>79</v>
      </c>
      <c r="D12" s="17" t="str">
        <f ca="1">INDIRECT("'"&amp;Cover!$E$4&amp;"'!"&amp;CELL("address",B26))</f>
        <v>Past congenital syphilis case rates are calculated using available country data are displayed in Figure 1</v>
      </c>
      <c r="E12" s="17"/>
      <c r="F12" s="17"/>
      <c r="G12" s="17"/>
      <c r="H12" s="17"/>
      <c r="I12" s="17"/>
      <c r="J12" s="17"/>
      <c r="K12" s="17"/>
      <c r="L12" s="38"/>
      <c r="M12" s="38"/>
      <c r="N12" s="38"/>
      <c r="O12" s="38"/>
    </row>
    <row r="13" spans="2:16" ht="38" customHeight="1">
      <c r="B13" s="38"/>
      <c r="C13" s="304" t="s">
        <v>79</v>
      </c>
      <c r="D13" s="793" t="str">
        <f ca="1">INDIRECT("'"&amp;Cover!$E$4&amp;"'!"&amp;CELL("address",B27))</f>
        <v>You may modify past estimates using the drop down menus (or by entering numbers for live birth estimates) indicated in the outlined boxes underneath current reported estimates</v>
      </c>
      <c r="E13" s="793"/>
      <c r="F13" s="793"/>
      <c r="G13" s="793"/>
      <c r="H13" s="793"/>
      <c r="I13" s="793"/>
      <c r="J13" s="793"/>
      <c r="K13" s="793"/>
      <c r="L13" s="793"/>
      <c r="M13" s="793"/>
      <c r="N13" s="793"/>
      <c r="O13" s="793"/>
      <c r="P13" s="793"/>
    </row>
    <row r="14" spans="2:16" ht="17" customHeight="1">
      <c r="B14" s="38"/>
      <c r="C14" s="38"/>
      <c r="D14" s="17"/>
      <c r="E14" s="17"/>
      <c r="F14" s="17"/>
      <c r="G14" s="17"/>
      <c r="H14" s="17"/>
      <c r="I14" s="17"/>
      <c r="J14" s="17"/>
      <c r="K14" s="17"/>
      <c r="L14" s="38"/>
      <c r="M14" s="38"/>
      <c r="N14" s="38"/>
      <c r="O14" s="38"/>
    </row>
    <row r="15" spans="2:16" ht="17" customHeight="1">
      <c r="B15" s="216"/>
      <c r="C15" s="105"/>
      <c r="D15" s="217"/>
      <c r="E15" s="17"/>
      <c r="F15" s="17"/>
      <c r="G15" s="17"/>
      <c r="H15" s="17"/>
      <c r="I15" s="17"/>
      <c r="J15" s="17"/>
      <c r="K15" s="17"/>
      <c r="L15" s="38"/>
      <c r="M15" s="38"/>
      <c r="N15" s="38"/>
      <c r="O15" s="38"/>
    </row>
    <row r="16" spans="2:16" ht="19">
      <c r="B16" s="216" t="str">
        <f ca="1">INDIRECT("'"&amp;Cover!$E$4&amp;"'!"&amp;CELL("address",B29))</f>
        <v>Step 1</v>
      </c>
      <c r="C16" s="38"/>
      <c r="D16" s="217" t="str">
        <f ca="1">INDIRECT("'"&amp;Cover!$E$4&amp;"'!"&amp;CELL("address",B30))</f>
        <v>Parameters of interest can be modified on the 'Main Prediction Tool' under Step 1: Modify testing and treatment parameters</v>
      </c>
      <c r="E16" s="17"/>
      <c r="F16" s="17"/>
      <c r="G16" s="17"/>
      <c r="H16" s="17"/>
      <c r="I16" s="17"/>
      <c r="J16" s="17"/>
      <c r="K16" s="17"/>
      <c r="L16" s="38"/>
      <c r="M16" s="38"/>
      <c r="N16" s="38"/>
      <c r="O16" s="38"/>
    </row>
    <row r="17" spans="2:16" ht="19">
      <c r="B17" s="38"/>
      <c r="C17" s="304" t="s">
        <v>79</v>
      </c>
      <c r="D17" s="17" t="str">
        <f ca="1">INDIRECT("'"&amp;Cover!$E$4&amp;"'!"&amp;CELL("address",B31))</f>
        <v>Parmeters which can be modified are listed in Box A</v>
      </c>
      <c r="E17" s="17"/>
      <c r="F17" s="17"/>
      <c r="G17" s="17"/>
      <c r="H17" s="17"/>
      <c r="I17" s="17"/>
      <c r="J17" s="17"/>
      <c r="K17" s="17"/>
      <c r="L17" s="17"/>
      <c r="M17" s="38"/>
      <c r="N17" s="38"/>
      <c r="O17" s="38"/>
    </row>
    <row r="18" spans="2:16" ht="19">
      <c r="B18" s="38"/>
      <c r="C18" s="304" t="s">
        <v>79</v>
      </c>
      <c r="D18" s="17" t="str">
        <f ca="1">INDIRECT("'"&amp;Cover!$E$4&amp;"'!"&amp;CELL("address",B32))</f>
        <v>There are three parameters which are modifiable by the user</v>
      </c>
      <c r="E18" s="215"/>
      <c r="F18" s="215"/>
      <c r="G18" s="215"/>
      <c r="H18" s="215"/>
      <c r="I18" s="17"/>
      <c r="J18" s="17"/>
      <c r="K18" s="17"/>
      <c r="L18" s="38"/>
      <c r="M18" s="38"/>
      <c r="N18" s="38"/>
      <c r="O18" s="38"/>
    </row>
    <row r="19" spans="2:16" ht="19">
      <c r="B19" s="38"/>
      <c r="C19" s="304" t="s">
        <v>79</v>
      </c>
      <c r="D19" s="17" t="str">
        <f ca="1">INDIRECT("'"&amp;Cover!$E$4&amp;"'!"&amp;CELL("address",B33))</f>
        <v>The user should specify both (a) a target rate for the parameter of interest and (b) a year by which this target should be realised</v>
      </c>
      <c r="E19" s="17"/>
      <c r="F19" s="17"/>
      <c r="G19" s="17"/>
      <c r="H19" s="17"/>
      <c r="I19" s="17"/>
      <c r="J19" s="17"/>
      <c r="K19" s="17"/>
      <c r="L19" s="38"/>
      <c r="M19" s="38"/>
      <c r="N19" s="38"/>
      <c r="O19" s="38"/>
    </row>
    <row r="20" spans="2:16" ht="19">
      <c r="B20" s="218"/>
      <c r="C20" s="38"/>
      <c r="D20" s="17"/>
      <c r="E20" s="215"/>
      <c r="F20" s="215"/>
      <c r="G20" s="215"/>
      <c r="H20" s="215"/>
      <c r="I20" s="17"/>
      <c r="J20" s="17"/>
      <c r="K20" s="17"/>
      <c r="L20" s="38"/>
      <c r="M20" s="17"/>
      <c r="N20" s="38"/>
      <c r="O20" s="38"/>
    </row>
    <row r="21" spans="2:16" ht="19">
      <c r="B21" s="216"/>
      <c r="C21" s="218"/>
      <c r="D21" s="17"/>
      <c r="E21" s="217"/>
      <c r="F21" s="217"/>
      <c r="G21" s="217"/>
      <c r="H21" s="217"/>
      <c r="I21" s="17"/>
      <c r="J21" s="17"/>
      <c r="K21" s="17"/>
      <c r="L21" s="38"/>
      <c r="M21" s="38"/>
      <c r="N21" s="38"/>
      <c r="O21" s="38"/>
    </row>
    <row r="22" spans="2:16" ht="19">
      <c r="B22" s="216" t="str">
        <f ca="1">INDIRECT("'"&amp;Cover!$E$4&amp;"'!"&amp;CELL("address",B35))</f>
        <v>Step2</v>
      </c>
      <c r="C22" s="38"/>
      <c r="D22" s="111" t="str">
        <f ca="1">INDIRECT("'"&amp;Cover!$E$4&amp;"'!"&amp;CELL("address",B36))</f>
        <v>View preliminary results</v>
      </c>
      <c r="E22" s="17"/>
      <c r="F22" s="195"/>
      <c r="G22" s="195"/>
      <c r="H22" s="17"/>
      <c r="I22" s="17"/>
      <c r="J22" s="17"/>
      <c r="K22" s="17"/>
      <c r="L22" s="38"/>
      <c r="M22" s="38"/>
      <c r="N22" s="38"/>
      <c r="O22" s="38"/>
    </row>
    <row r="23" spans="2:16" ht="19">
      <c r="B23" s="105"/>
      <c r="C23" s="304" t="s">
        <v>79</v>
      </c>
      <c r="D23" s="17" t="str">
        <f ca="1">INDIRECT("'"&amp;Cover!$E$4&amp;"'!"&amp;CELL("address",B37))</f>
        <v>Congenital syphilis case numbers and case rates can be observed in Box A</v>
      </c>
      <c r="E23" s="17"/>
      <c r="F23" s="195"/>
      <c r="G23" s="195"/>
      <c r="H23" s="195"/>
      <c r="I23" s="17"/>
      <c r="J23" s="17"/>
      <c r="K23" s="17"/>
      <c r="L23" s="38"/>
      <c r="M23" s="38"/>
      <c r="N23" s="38"/>
      <c r="O23" s="38"/>
    </row>
    <row r="24" spans="2:16" ht="19">
      <c r="B24" s="105"/>
      <c r="C24" s="304" t="s">
        <v>79</v>
      </c>
      <c r="D24" s="17" t="str">
        <f ca="1">INDIRECT("'"&amp;Cover!$E$4&amp;"'!"&amp;CELL("address",B38))</f>
        <v>Figures 2a and 2b display the trends in the congenital syphilis case rate per 100,000 births and the congenital syphilis case numbers respectively</v>
      </c>
      <c r="E24" s="17"/>
      <c r="F24" s="195"/>
      <c r="G24" s="195"/>
      <c r="H24" s="17"/>
      <c r="I24" s="215"/>
      <c r="J24" s="17"/>
      <c r="K24" s="17"/>
      <c r="L24" s="38"/>
      <c r="M24" s="38"/>
      <c r="N24" s="38"/>
      <c r="O24" s="38"/>
    </row>
    <row r="25" spans="2:16" ht="17" customHeight="1">
      <c r="B25" s="105"/>
      <c r="C25" s="304" t="s">
        <v>79</v>
      </c>
      <c r="D25" s="17" t="str">
        <f ca="1">INDIRECT("'"&amp;Cover!$E$4&amp;"'!"&amp;CELL("address",B39))</f>
        <v>Graphical displays in will automatically update with user modifications in Step 1</v>
      </c>
      <c r="E25" s="17"/>
      <c r="F25" s="217"/>
      <c r="G25" s="217"/>
      <c r="H25" s="217"/>
      <c r="I25" s="17"/>
      <c r="J25" s="17"/>
      <c r="K25" s="17"/>
      <c r="L25" s="17"/>
      <c r="M25" s="38"/>
      <c r="N25" s="38"/>
      <c r="O25" s="38"/>
    </row>
    <row r="26" spans="2:16" ht="17" customHeight="1">
      <c r="B26" s="38"/>
      <c r="C26" s="38"/>
      <c r="D26" s="17"/>
      <c r="E26" s="86"/>
      <c r="F26" s="17"/>
      <c r="G26" s="219"/>
      <c r="H26" s="219"/>
      <c r="I26" s="215"/>
      <c r="J26" s="17"/>
      <c r="K26" s="17"/>
      <c r="L26" s="17"/>
      <c r="M26" s="38"/>
      <c r="N26" s="38"/>
      <c r="O26" s="38"/>
    </row>
    <row r="27" spans="2:16" ht="16">
      <c r="B27" s="38"/>
      <c r="C27" s="304"/>
      <c r="D27" s="215"/>
      <c r="E27" s="17"/>
      <c r="F27" s="17"/>
      <c r="G27" s="17"/>
      <c r="H27" s="17"/>
      <c r="I27" s="215"/>
      <c r="J27" s="17"/>
      <c r="K27" s="17"/>
      <c r="L27" s="17"/>
      <c r="M27" s="38"/>
      <c r="N27" s="38"/>
      <c r="O27" s="17"/>
    </row>
    <row r="28" spans="2:16" ht="19">
      <c r="B28" s="216" t="str">
        <f ca="1">INDIRECT("'"&amp;Cover!$E$4&amp;"'!"&amp;CELL("address",B41))</f>
        <v>Step 3</v>
      </c>
      <c r="C28" s="38"/>
      <c r="D28" s="111" t="str">
        <f ca="1">INDIRECT("'"&amp;Cover!$E$4&amp;"'!"&amp;CELL("address",B42))</f>
        <v>The effect of parameter changes upon birth events can be observed</v>
      </c>
      <c r="E28" s="17"/>
      <c r="F28" s="17"/>
      <c r="G28" s="17"/>
      <c r="H28" s="17"/>
      <c r="I28" s="215"/>
      <c r="J28" s="17"/>
      <c r="K28" s="17"/>
      <c r="L28" s="17"/>
      <c r="M28" s="17"/>
      <c r="N28" s="38"/>
      <c r="O28" s="38"/>
    </row>
    <row r="29" spans="2:16" ht="19">
      <c r="B29" s="38"/>
      <c r="C29" s="304" t="s">
        <v>79</v>
      </c>
      <c r="D29" s="17" t="str">
        <f ca="1">INDIRECT("'"&amp;Cover!$E$4&amp;"'!"&amp;CELL("address",B43))</f>
        <v>Figure 3 displays the change in birth outcome numbers over time</v>
      </c>
      <c r="E29" s="17"/>
      <c r="F29" s="17"/>
      <c r="G29" s="17"/>
      <c r="H29" s="17"/>
      <c r="I29" s="17"/>
      <c r="J29" s="17"/>
      <c r="K29" s="17"/>
      <c r="L29" s="17"/>
      <c r="M29" s="17"/>
      <c r="N29" s="38"/>
      <c r="O29" s="38"/>
    </row>
    <row r="30" spans="2:16" ht="52" customHeight="1">
      <c r="B30" s="38"/>
      <c r="C30" s="304" t="s">
        <v>470</v>
      </c>
      <c r="D30" s="793" t="str">
        <f ca="1">INDIRECT("'"&amp;Cover!$E$4&amp;"'!"&amp;CELL("address",B44))</f>
        <v>Figure 4 displays the number of cases averted due to benzathine penicillin use. Case numbers by year can also be observed in Box C. This box compares case rates considering treatment scale up from Step 1 with what case rates would have been if testing and treatment rates remained unchanged from baseline</v>
      </c>
      <c r="E30" s="793"/>
      <c r="F30" s="793"/>
      <c r="G30" s="793"/>
      <c r="H30" s="793"/>
      <c r="I30" s="793"/>
      <c r="J30" s="793"/>
      <c r="K30" s="793"/>
      <c r="L30" s="793"/>
      <c r="M30" s="793"/>
      <c r="N30" s="793"/>
      <c r="O30" s="793"/>
      <c r="P30" s="793"/>
    </row>
    <row r="31" spans="2:16" ht="19">
      <c r="B31" s="38"/>
      <c r="C31" s="304" t="s">
        <v>79</v>
      </c>
      <c r="D31" s="17" t="str">
        <f ca="1">INDIRECT("'"&amp;Cover!$E$4&amp;"'!"&amp;CELL("address",B45))</f>
        <v>Displays in Step 3 will automatically update with user modifications in Step 1</v>
      </c>
      <c r="E31" s="17"/>
      <c r="F31" s="17"/>
      <c r="G31" s="17"/>
      <c r="H31" s="17"/>
      <c r="I31" s="17"/>
      <c r="J31" s="17"/>
      <c r="K31" s="17"/>
      <c r="L31" s="38"/>
      <c r="M31" s="17"/>
      <c r="N31" s="38"/>
      <c r="O31" s="38"/>
    </row>
    <row r="32" spans="2:16" ht="16">
      <c r="B32" s="38"/>
      <c r="C32" s="304"/>
      <c r="D32" s="17"/>
      <c r="E32" s="17"/>
      <c r="F32" s="17"/>
      <c r="G32" s="17"/>
      <c r="H32" s="17"/>
      <c r="I32" s="17"/>
      <c r="J32" s="17"/>
      <c r="K32" s="17"/>
      <c r="L32" s="38"/>
      <c r="M32" s="17"/>
      <c r="N32" s="38"/>
      <c r="O32" s="38"/>
    </row>
    <row r="33" spans="2:16" ht="19">
      <c r="B33" s="105"/>
      <c r="C33" s="105"/>
      <c r="D33" s="17"/>
      <c r="E33" s="17"/>
      <c r="F33" s="17"/>
      <c r="G33" s="17"/>
      <c r="H33" s="17"/>
      <c r="I33" s="17"/>
      <c r="J33" s="17"/>
      <c r="K33" s="17"/>
      <c r="L33" s="38"/>
      <c r="M33" s="17"/>
      <c r="N33" s="38"/>
      <c r="O33" s="38"/>
    </row>
    <row r="34" spans="2:16" ht="19">
      <c r="B34" s="216" t="str">
        <f ca="1">INDIRECT("'"&amp;Cover!$E$4&amp;"'!"&amp;CELL("address",B47))</f>
        <v>Step 4</v>
      </c>
      <c r="D34" s="470" t="str">
        <f ca="1">INDIRECT("'"&amp;Cover!$E$4&amp;"'!"&amp;CELL("address",B48))</f>
        <v>The effect of parameter changes upon benzathine penicillin requirements can be observed</v>
      </c>
      <c r="L34" s="38"/>
      <c r="M34" s="17"/>
      <c r="N34" s="38"/>
      <c r="O34" s="38"/>
    </row>
    <row r="35" spans="2:16" ht="19">
      <c r="C35" s="304" t="s">
        <v>79</v>
      </c>
      <c r="D35" s="17" t="str">
        <f ca="1">INDIRECT("'"&amp;Cover!$E$4&amp;"'!"&amp;CELL("address",B49))</f>
        <v>The quantities of benzathine penicillin needed to treat all maternal syphilis cases year by year is displayed in Figure 5</v>
      </c>
      <c r="L35" s="38"/>
      <c r="M35" s="38"/>
      <c r="N35" s="38"/>
      <c r="O35" s="38"/>
    </row>
    <row r="36" spans="2:16" ht="19">
      <c r="C36" s="304" t="s">
        <v>79</v>
      </c>
      <c r="D36" s="17" t="str">
        <f ca="1">INDIRECT("'"&amp;Cover!$E$4&amp;"'!"&amp;CELL("address",B50))</f>
        <v>Box D displays the exact number of doses required dependin on whether one, two or three doses are used per case</v>
      </c>
      <c r="L36" s="38"/>
      <c r="M36" s="38"/>
      <c r="N36" s="38"/>
      <c r="O36" s="38"/>
    </row>
    <row r="37" spans="2:16" ht="14">
      <c r="L37" s="38"/>
      <c r="M37" s="38"/>
      <c r="N37" s="38"/>
      <c r="O37" s="38"/>
    </row>
    <row r="39" spans="2:16" ht="19">
      <c r="B39" s="216" t="str">
        <f ca="1">INDIRECT("'"&amp;Cover!$E$4&amp;"'!"&amp;CELL("address",B52))</f>
        <v>Step 5</v>
      </c>
      <c r="C39" s="105"/>
      <c r="D39" s="111" t="str">
        <f ca="1">INDIRECT("'"&amp;Cover!$E$4&amp;"'!"&amp;CELL("address",B53))</f>
        <v>The effect of parameter changes upon benzathine penicillin requirements and cases averted can be observed</v>
      </c>
      <c r="E39" s="17"/>
      <c r="F39" s="17"/>
      <c r="G39" s="17"/>
      <c r="H39" s="17"/>
      <c r="I39" s="17"/>
      <c r="J39" s="17"/>
      <c r="K39" s="17"/>
      <c r="L39" s="17"/>
      <c r="M39" s="38"/>
      <c r="N39" s="17"/>
      <c r="O39" s="38"/>
    </row>
    <row r="40" spans="2:16" ht="19">
      <c r="B40" s="105"/>
      <c r="C40" s="304" t="s">
        <v>79</v>
      </c>
      <c r="D40" s="17" t="str">
        <f ca="1">INDIRECT("'"&amp;Cover!$E$4&amp;"'!"&amp;CELL("address",B54))</f>
        <v>Figure 3 displays the quantity of benzathing penicillin that would be required/used if testing and treatment was scaled up in accordance with specifications in Step 3</v>
      </c>
      <c r="E40" s="17"/>
      <c r="F40" s="17"/>
      <c r="G40" s="17"/>
      <c r="H40" s="17"/>
      <c r="I40" s="17"/>
      <c r="J40" s="17"/>
      <c r="K40" s="17"/>
      <c r="L40" s="17"/>
      <c r="M40" s="38"/>
      <c r="N40" s="17"/>
      <c r="O40" s="38"/>
    </row>
    <row r="41" spans="2:16" ht="41" customHeight="1">
      <c r="B41" s="105"/>
      <c r="C41" s="304" t="s">
        <v>79</v>
      </c>
      <c r="D41" s="793" t="str">
        <f ca="1">INDIRECT("'"&amp;Cover!$E$4&amp;"'!"&amp;CELL("address",B55))</f>
        <v>Box E displays the number of benzathine penicillin doses needed to treat all maternal syphilis cases at the specified tesing and treatment rates for each year of interest</v>
      </c>
      <c r="E41" s="793"/>
      <c r="F41" s="793"/>
      <c r="G41" s="793"/>
      <c r="H41" s="793"/>
      <c r="I41" s="793"/>
      <c r="J41" s="793"/>
      <c r="K41" s="793"/>
      <c r="L41" s="793"/>
      <c r="M41" s="793"/>
      <c r="N41" s="793"/>
      <c r="O41" s="793"/>
      <c r="P41" s="793"/>
    </row>
    <row r="42" spans="2:16" ht="16">
      <c r="K42" s="17"/>
      <c r="L42" s="38"/>
      <c r="M42" s="38"/>
      <c r="N42" s="38"/>
      <c r="O42" s="38"/>
    </row>
    <row r="43" spans="2:16" ht="16">
      <c r="B43" s="38"/>
      <c r="C43" s="38"/>
      <c r="D43" s="17"/>
      <c r="E43" s="17"/>
      <c r="F43" s="17"/>
      <c r="G43" s="17"/>
      <c r="H43" s="17"/>
      <c r="I43" s="217"/>
      <c r="J43" s="17"/>
      <c r="K43" s="17"/>
      <c r="L43" s="38"/>
      <c r="M43" s="38"/>
      <c r="N43" s="17"/>
      <c r="O43" s="38"/>
    </row>
    <row r="44" spans="2:16" ht="16">
      <c r="F44" s="17"/>
      <c r="G44" s="17"/>
      <c r="H44" s="17"/>
      <c r="I44" s="17"/>
      <c r="J44" s="17"/>
      <c r="K44" s="17"/>
      <c r="L44" s="17"/>
      <c r="M44" s="38"/>
      <c r="N44" s="17"/>
      <c r="O44" s="38"/>
    </row>
    <row r="45" spans="2:16" ht="16">
      <c r="F45" s="17"/>
      <c r="G45" s="17"/>
      <c r="H45" s="17"/>
      <c r="I45" s="17"/>
      <c r="J45" s="17"/>
      <c r="K45" s="17"/>
      <c r="L45" s="17"/>
      <c r="M45" s="38"/>
      <c r="N45" s="17"/>
      <c r="O45" s="38"/>
    </row>
    <row r="46" spans="2:16" ht="16">
      <c r="F46" s="17"/>
      <c r="G46" s="17"/>
      <c r="H46" s="17"/>
      <c r="I46" s="17"/>
      <c r="J46" s="17"/>
      <c r="K46" s="17"/>
      <c r="L46" s="17"/>
      <c r="M46" s="38"/>
      <c r="N46" s="17"/>
      <c r="O46" s="38"/>
    </row>
    <row r="47" spans="2:16" ht="16">
      <c r="F47" s="17"/>
      <c r="G47" s="17"/>
      <c r="H47" s="17"/>
      <c r="I47" s="17"/>
      <c r="J47" s="17"/>
      <c r="K47" s="17"/>
      <c r="L47" s="17"/>
      <c r="M47" s="38"/>
      <c r="N47" s="17"/>
      <c r="O47" s="38"/>
    </row>
    <row r="48" spans="2:16" ht="16">
      <c r="F48" s="17"/>
      <c r="G48" s="17"/>
      <c r="H48" s="17"/>
      <c r="I48" s="217"/>
      <c r="J48" s="17"/>
      <c r="K48" s="17"/>
      <c r="L48" s="17"/>
      <c r="M48" s="38"/>
      <c r="N48" s="17"/>
      <c r="O48" s="38"/>
    </row>
    <row r="49" spans="1:15" ht="16">
      <c r="B49" s="38"/>
      <c r="C49" s="38"/>
      <c r="D49" s="17"/>
      <c r="E49" s="17"/>
      <c r="F49" s="17"/>
      <c r="G49" s="17"/>
      <c r="H49" s="17"/>
      <c r="I49" s="17"/>
      <c r="J49" s="17"/>
      <c r="K49" s="17"/>
      <c r="L49" s="17"/>
      <c r="M49" s="38"/>
      <c r="N49" s="17"/>
      <c r="O49" s="38"/>
    </row>
    <row r="50" spans="1:15" ht="16">
      <c r="B50" s="38"/>
      <c r="C50" s="38"/>
      <c r="D50" s="17"/>
      <c r="E50" s="17"/>
      <c r="F50" s="17"/>
      <c r="G50" s="17"/>
      <c r="H50" s="17"/>
      <c r="I50" s="17"/>
      <c r="J50" s="17"/>
      <c r="K50" s="17"/>
      <c r="L50" s="17"/>
      <c r="M50" s="38"/>
      <c r="N50" s="17"/>
      <c r="O50" s="38"/>
    </row>
    <row r="54" spans="1:15" ht="16">
      <c r="B54" s="38"/>
      <c r="C54" s="38"/>
      <c r="D54" s="17"/>
      <c r="E54" s="17"/>
      <c r="F54" s="17"/>
      <c r="G54" s="17"/>
      <c r="H54" s="17"/>
      <c r="I54" s="17"/>
      <c r="J54" s="17"/>
      <c r="K54" s="17"/>
      <c r="L54" s="17"/>
      <c r="M54" s="38"/>
      <c r="N54" s="17"/>
      <c r="O54" s="38"/>
    </row>
    <row r="55" spans="1:15" ht="16">
      <c r="N55" s="104"/>
    </row>
    <row r="56" spans="1:15" ht="16">
      <c r="A56" s="103"/>
      <c r="N56" s="104"/>
    </row>
    <row r="57" spans="1:15" ht="16">
      <c r="A57" s="103"/>
      <c r="N57" s="104"/>
    </row>
    <row r="58" spans="1:15" ht="16">
      <c r="A58" s="103"/>
      <c r="J58" s="104"/>
      <c r="K58" s="104"/>
      <c r="L58" s="104"/>
      <c r="N58" s="104"/>
    </row>
    <row r="59" spans="1:15" ht="16">
      <c r="A59" s="103"/>
      <c r="J59" s="104"/>
      <c r="K59" s="104"/>
      <c r="L59" s="104"/>
      <c r="N59" s="104"/>
    </row>
  </sheetData>
  <sheetProtection sheet="1" scenarios="1" selectLockedCells="1" selectUnlockedCells="1"/>
  <customSheetViews>
    <customSheetView guid="{8967CA62-3554-8A40-ACFF-3515F2B518C8}" showGridLines="0" fitToPage="1">
      <selection activeCell="D38" sqref="D38"/>
      <pageMargins left="0.7" right="0.7" top="0.75" bottom="0.75" header="0.3" footer="0.3"/>
      <pageSetup paperSize="9" orientation="portrait" horizontalDpi="4294967292" verticalDpi="4294967292"/>
    </customSheetView>
    <customSheetView guid="{EB877D66-0749-4C48-89AA-FFA94A34014C}" showGridLines="0" fitToPage="1">
      <selection activeCell="D38" sqref="D38"/>
      <pageMargins left="0.7" right="0.7" top="0.75" bottom="0.75" header="0.3" footer="0.3"/>
      <pageSetup paperSize="9" orientation="portrait" horizontalDpi="4294967292" verticalDpi="4294967292"/>
    </customSheetView>
  </customSheetViews>
  <mergeCells count="3">
    <mergeCell ref="D13:P13"/>
    <mergeCell ref="D30:P30"/>
    <mergeCell ref="D41:P41"/>
  </mergeCells>
  <pageMargins left="0.7" right="0.7" top="0.75" bottom="0.75" header="0.3" footer="0.3"/>
  <pageSetup paperSize="9" orientation="portrait" horizontalDpi="4294967292" verticalDpi="429496729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4:E192"/>
  <sheetViews>
    <sheetView workbookViewId="0">
      <selection activeCell="N48" sqref="N48"/>
    </sheetView>
  </sheetViews>
  <sheetFormatPr baseColWidth="10" defaultRowHeight="13"/>
  <cols>
    <col min="1" max="1" width="10.83203125" style="221"/>
    <col min="2" max="2" width="138.6640625" style="472" customWidth="1"/>
    <col min="3" max="3" width="10.83203125" style="221"/>
    <col min="4" max="4" width="10.83203125" style="221" customWidth="1"/>
    <col min="5" max="5" width="90.33203125" style="221" customWidth="1"/>
    <col min="6" max="16384" width="10.83203125" style="221"/>
  </cols>
  <sheetData>
    <row r="4" spans="1:5" ht="25" customHeight="1">
      <c r="B4" s="471" t="s">
        <v>396</v>
      </c>
      <c r="E4" s="471" t="s">
        <v>525</v>
      </c>
    </row>
    <row r="6" spans="1:5" ht="13" customHeight="1">
      <c r="A6" s="467"/>
      <c r="B6" s="472" t="s">
        <v>397</v>
      </c>
      <c r="E6" s="475" t="s">
        <v>488</v>
      </c>
    </row>
    <row r="7" spans="1:5" ht="13" customHeight="1">
      <c r="A7" s="467"/>
      <c r="B7" s="472" t="s">
        <v>401</v>
      </c>
    </row>
    <row r="8" spans="1:5" ht="13" customHeight="1">
      <c r="A8" s="467"/>
      <c r="B8" s="472" t="s">
        <v>405</v>
      </c>
      <c r="E8" s="221" t="s">
        <v>791</v>
      </c>
    </row>
    <row r="9" spans="1:5" ht="13" customHeight="1">
      <c r="A9" s="467"/>
      <c r="B9" s="768" t="s">
        <v>941</v>
      </c>
      <c r="E9" s="221" t="s">
        <v>792</v>
      </c>
    </row>
    <row r="10" spans="1:5" ht="13" customHeight="1">
      <c r="A10" s="467"/>
      <c r="B10" s="472" t="s">
        <v>402</v>
      </c>
      <c r="E10" s="221" t="s">
        <v>526</v>
      </c>
    </row>
    <row r="11" spans="1:5" ht="13" customHeight="1">
      <c r="A11" s="467"/>
      <c r="B11" s="472" t="s">
        <v>90</v>
      </c>
      <c r="E11" s="221" t="s">
        <v>529</v>
      </c>
    </row>
    <row r="12" spans="1:5" ht="13" customHeight="1">
      <c r="A12" s="467"/>
      <c r="B12" s="768" t="s">
        <v>947</v>
      </c>
      <c r="E12" s="221" t="s">
        <v>389</v>
      </c>
    </row>
    <row r="13" spans="1:5" ht="13" customHeight="1">
      <c r="A13" s="467"/>
      <c r="B13" s="472" t="s">
        <v>408</v>
      </c>
      <c r="E13" s="221" t="s">
        <v>769</v>
      </c>
    </row>
    <row r="15" spans="1:5" ht="14">
      <c r="E15" s="475" t="s">
        <v>545</v>
      </c>
    </row>
    <row r="16" spans="1:5" ht="19" customHeight="1">
      <c r="A16" s="466"/>
      <c r="B16" s="471" t="s">
        <v>411</v>
      </c>
    </row>
    <row r="17" spans="1:5" ht="19" customHeight="1">
      <c r="A17" s="466"/>
      <c r="B17" s="471"/>
      <c r="E17" s="221" t="s">
        <v>532</v>
      </c>
    </row>
    <row r="18" spans="1:5" ht="13" customHeight="1">
      <c r="A18" s="466"/>
      <c r="B18" s="472" t="s">
        <v>411</v>
      </c>
      <c r="E18" s="221" t="s">
        <v>535</v>
      </c>
    </row>
    <row r="19" spans="1:5" ht="13" customHeight="1">
      <c r="A19" s="466"/>
      <c r="B19" s="472" t="s">
        <v>414</v>
      </c>
    </row>
    <row r="20" spans="1:5" ht="13" customHeight="1">
      <c r="A20" s="466"/>
      <c r="B20" s="472" t="s">
        <v>417</v>
      </c>
      <c r="E20" s="221" t="s">
        <v>538</v>
      </c>
    </row>
    <row r="21" spans="1:5" ht="13" customHeight="1">
      <c r="A21" s="466"/>
    </row>
    <row r="22" spans="1:5" ht="13" customHeight="1">
      <c r="A22" s="466"/>
      <c r="B22" s="472" t="s">
        <v>420</v>
      </c>
      <c r="E22" s="221" t="s">
        <v>541</v>
      </c>
    </row>
    <row r="23" spans="1:5" ht="13" customHeight="1">
      <c r="A23" s="466"/>
      <c r="B23" s="472" t="s">
        <v>423</v>
      </c>
    </row>
    <row r="24" spans="1:5" ht="13" customHeight="1">
      <c r="A24" s="466"/>
      <c r="B24" s="472" t="s">
        <v>75</v>
      </c>
      <c r="E24" s="221" t="s">
        <v>667</v>
      </c>
    </row>
    <row r="25" spans="1:5" ht="13" customHeight="1">
      <c r="A25" s="466"/>
      <c r="B25" s="472" t="s">
        <v>306</v>
      </c>
      <c r="E25" s="221" t="s">
        <v>388</v>
      </c>
    </row>
    <row r="26" spans="1:5" ht="13" customHeight="1">
      <c r="A26" s="466"/>
      <c r="B26" s="472" t="s">
        <v>430</v>
      </c>
    </row>
    <row r="27" spans="1:5" ht="13" customHeight="1">
      <c r="A27" s="466"/>
      <c r="B27" s="472" t="s">
        <v>433</v>
      </c>
      <c r="E27" s="221" t="s">
        <v>788</v>
      </c>
    </row>
    <row r="28" spans="1:5" ht="13" customHeight="1">
      <c r="A28" s="466"/>
    </row>
    <row r="29" spans="1:5" ht="13" customHeight="1">
      <c r="A29" s="466"/>
      <c r="B29" s="472" t="s">
        <v>436</v>
      </c>
    </row>
    <row r="30" spans="1:5" ht="13" customHeight="1">
      <c r="A30" s="466"/>
      <c r="B30" s="472" t="s">
        <v>310</v>
      </c>
      <c r="E30" s="475" t="s">
        <v>774</v>
      </c>
    </row>
    <row r="31" spans="1:5" ht="13" customHeight="1">
      <c r="A31" s="466"/>
      <c r="B31" s="472" t="s">
        <v>311</v>
      </c>
    </row>
    <row r="32" spans="1:5" ht="13" customHeight="1">
      <c r="A32" s="466"/>
      <c r="B32" s="472" t="s">
        <v>39</v>
      </c>
      <c r="E32" s="221" t="s">
        <v>775</v>
      </c>
    </row>
    <row r="33" spans="1:5" ht="13" customHeight="1">
      <c r="A33" s="466"/>
      <c r="B33" s="472" t="s">
        <v>38</v>
      </c>
      <c r="E33" s="221" t="s">
        <v>776</v>
      </c>
    </row>
    <row r="34" spans="1:5" ht="13" customHeight="1">
      <c r="A34" s="466"/>
      <c r="E34" s="221" t="s">
        <v>781</v>
      </c>
    </row>
    <row r="35" spans="1:5" ht="13" customHeight="1">
      <c r="B35" s="472" t="s">
        <v>447</v>
      </c>
      <c r="E35" s="221" t="s">
        <v>790</v>
      </c>
    </row>
    <row r="36" spans="1:5" ht="13" customHeight="1">
      <c r="B36" s="472" t="s">
        <v>312</v>
      </c>
    </row>
    <row r="37" spans="1:5" ht="13" customHeight="1">
      <c r="B37" s="472" t="s">
        <v>313</v>
      </c>
    </row>
    <row r="38" spans="1:5" ht="13" customHeight="1">
      <c r="B38" s="472" t="s">
        <v>314</v>
      </c>
    </row>
    <row r="39" spans="1:5" ht="13" customHeight="1">
      <c r="B39" s="472" t="s">
        <v>315</v>
      </c>
    </row>
    <row r="41" spans="1:5" ht="13" customHeight="1">
      <c r="B41" s="472" t="s">
        <v>458</v>
      </c>
    </row>
    <row r="42" spans="1:5" ht="13" customHeight="1">
      <c r="B42" s="472" t="s">
        <v>76</v>
      </c>
    </row>
    <row r="43" spans="1:5" ht="13" customHeight="1">
      <c r="B43" s="472" t="s">
        <v>316</v>
      </c>
    </row>
    <row r="44" spans="1:5" ht="13" customHeight="1">
      <c r="B44" s="472" t="s">
        <v>465</v>
      </c>
    </row>
    <row r="45" spans="1:5" ht="13" customHeight="1">
      <c r="B45" s="472" t="s">
        <v>318</v>
      </c>
    </row>
    <row r="47" spans="1:5" ht="13" customHeight="1">
      <c r="B47" s="472" t="s">
        <v>471</v>
      </c>
    </row>
    <row r="48" spans="1:5" ht="13" customHeight="1">
      <c r="B48" s="472" t="s">
        <v>319</v>
      </c>
    </row>
    <row r="49" spans="2:5" ht="13" customHeight="1">
      <c r="B49" s="472" t="s">
        <v>322</v>
      </c>
    </row>
    <row r="50" spans="2:5" ht="13" customHeight="1">
      <c r="B50" s="472" t="s">
        <v>323</v>
      </c>
    </row>
    <row r="52" spans="2:5" ht="13" customHeight="1">
      <c r="B52" s="472" t="s">
        <v>480</v>
      </c>
    </row>
    <row r="53" spans="2:5" ht="13" customHeight="1">
      <c r="B53" s="472" t="s">
        <v>77</v>
      </c>
    </row>
    <row r="54" spans="2:5" ht="13" customHeight="1">
      <c r="B54" s="472" t="s">
        <v>78</v>
      </c>
    </row>
    <row r="55" spans="2:5" ht="13" customHeight="1">
      <c r="B55" s="472" t="s">
        <v>123</v>
      </c>
    </row>
    <row r="58" spans="2:5" ht="19" customHeight="1">
      <c r="B58" s="471" t="s">
        <v>488</v>
      </c>
      <c r="E58" s="471" t="s">
        <v>813</v>
      </c>
    </row>
    <row r="60" spans="2:5" ht="13" customHeight="1">
      <c r="B60" s="472" t="s">
        <v>489</v>
      </c>
      <c r="E60" s="221" t="s">
        <v>814</v>
      </c>
    </row>
    <row r="61" spans="2:5">
      <c r="E61" s="221" t="s">
        <v>815</v>
      </c>
    </row>
    <row r="62" spans="2:5" ht="13" customHeight="1">
      <c r="B62" s="472" t="s">
        <v>92</v>
      </c>
    </row>
    <row r="63" spans="2:5" ht="13" customHeight="1">
      <c r="B63" s="472" t="s">
        <v>494</v>
      </c>
      <c r="E63" s="221" t="s">
        <v>816</v>
      </c>
    </row>
    <row r="64" spans="2:5" ht="13" customHeight="1">
      <c r="B64" s="472" t="s">
        <v>497</v>
      </c>
      <c r="E64" s="221" t="s">
        <v>812</v>
      </c>
    </row>
    <row r="65" spans="2:5" ht="13" customHeight="1">
      <c r="B65" s="472" t="s">
        <v>500</v>
      </c>
      <c r="E65" s="221" t="s">
        <v>800</v>
      </c>
    </row>
    <row r="66" spans="2:5" ht="13" customHeight="1">
      <c r="B66" s="472" t="s">
        <v>96</v>
      </c>
    </row>
    <row r="67" spans="2:5">
      <c r="E67" s="221" t="s">
        <v>826</v>
      </c>
    </row>
    <row r="68" spans="2:5" ht="13" customHeight="1">
      <c r="B68" s="472" t="s">
        <v>505</v>
      </c>
    </row>
    <row r="69" spans="2:5" ht="13" customHeight="1">
      <c r="B69" s="472" t="s">
        <v>389</v>
      </c>
      <c r="E69" s="221" t="s">
        <v>812</v>
      </c>
    </row>
    <row r="70" spans="2:5" ht="13" customHeight="1">
      <c r="B70" s="472" t="s">
        <v>50</v>
      </c>
      <c r="E70" s="221" t="s">
        <v>878</v>
      </c>
    </row>
    <row r="71" spans="2:5" ht="13" customHeight="1">
      <c r="B71" s="472" t="s">
        <v>511</v>
      </c>
      <c r="E71" s="221" t="s">
        <v>888</v>
      </c>
    </row>
    <row r="72" spans="2:5" ht="13" customHeight="1">
      <c r="B72" s="472" t="s">
        <v>514</v>
      </c>
      <c r="E72" s="221" t="s">
        <v>911</v>
      </c>
    </row>
    <row r="73" spans="2:5">
      <c r="E73" s="221" t="s">
        <v>907</v>
      </c>
    </row>
    <row r="74" spans="2:5" ht="13" customHeight="1">
      <c r="B74" s="472" t="s">
        <v>517</v>
      </c>
      <c r="E74" s="221" t="s">
        <v>890</v>
      </c>
    </row>
    <row r="75" spans="2:5" ht="13" customHeight="1">
      <c r="B75" s="472" t="s">
        <v>762</v>
      </c>
      <c r="E75" s="221" t="s">
        <v>891</v>
      </c>
    </row>
    <row r="76" spans="2:5" ht="13" customHeight="1">
      <c r="B76" s="472" t="s">
        <v>301</v>
      </c>
      <c r="E76" s="221" t="s">
        <v>916</v>
      </c>
    </row>
    <row r="77" spans="2:5" ht="13" customHeight="1">
      <c r="B77" s="472" t="s">
        <v>846</v>
      </c>
    </row>
    <row r="78" spans="2:5" ht="13" customHeight="1">
      <c r="B78" s="472" t="s">
        <v>847</v>
      </c>
    </row>
    <row r="79" spans="2:5" ht="13" customHeight="1">
      <c r="B79" s="472" t="s">
        <v>848</v>
      </c>
    </row>
    <row r="80" spans="2:5" ht="13" customHeight="1">
      <c r="B80" s="472" t="s">
        <v>842</v>
      </c>
    </row>
    <row r="81" spans="2:5" ht="14">
      <c r="B81" s="472" t="s">
        <v>879</v>
      </c>
    </row>
    <row r="82" spans="2:5" ht="13" customHeight="1">
      <c r="B82" s="472" t="s">
        <v>522</v>
      </c>
    </row>
    <row r="83" spans="2:5">
      <c r="B83" s="221" t="s">
        <v>777</v>
      </c>
    </row>
    <row r="84" spans="2:5">
      <c r="B84" s="221" t="s">
        <v>778</v>
      </c>
    </row>
    <row r="85" spans="2:5" ht="20">
      <c r="B85" s="471" t="s">
        <v>545</v>
      </c>
      <c r="E85" s="471" t="s">
        <v>919</v>
      </c>
    </row>
    <row r="87" spans="2:5" ht="14">
      <c r="B87" s="472" t="s">
        <v>544</v>
      </c>
      <c r="E87" s="221" t="s">
        <v>920</v>
      </c>
    </row>
    <row r="88" spans="2:5" ht="14">
      <c r="B88" s="472" t="s">
        <v>548</v>
      </c>
      <c r="E88" s="221" t="s">
        <v>921</v>
      </c>
    </row>
    <row r="89" spans="2:5" ht="14">
      <c r="B89" s="472" t="s">
        <v>551</v>
      </c>
      <c r="E89" s="221" t="s">
        <v>922</v>
      </c>
    </row>
    <row r="91" spans="2:5" ht="14">
      <c r="B91" s="472" t="s">
        <v>554</v>
      </c>
    </row>
    <row r="92" spans="2:5" ht="14">
      <c r="B92" s="472" t="s">
        <v>307</v>
      </c>
    </row>
    <row r="94" spans="2:5" ht="14">
      <c r="B94" s="472" t="s">
        <v>384</v>
      </c>
    </row>
    <row r="95" spans="2:5" ht="14">
      <c r="B95" s="472" t="s">
        <v>385</v>
      </c>
    </row>
    <row r="96" spans="2:5" ht="14">
      <c r="B96" s="472" t="s">
        <v>563</v>
      </c>
    </row>
    <row r="97" spans="2:2" ht="14">
      <c r="B97" s="472" t="s">
        <v>566</v>
      </c>
    </row>
    <row r="98" spans="2:2" ht="14">
      <c r="B98" s="472" t="s">
        <v>569</v>
      </c>
    </row>
    <row r="99" spans="2:2" ht="14">
      <c r="B99" s="472" t="s">
        <v>572</v>
      </c>
    </row>
    <row r="100" spans="2:2" ht="14">
      <c r="B100" s="472" t="s">
        <v>575</v>
      </c>
    </row>
    <row r="101" spans="2:2" ht="14">
      <c r="B101" s="472" t="s">
        <v>287</v>
      </c>
    </row>
    <row r="102" spans="2:2" ht="14">
      <c r="B102" s="472" t="s">
        <v>580</v>
      </c>
    </row>
    <row r="103" spans="2:2" ht="14">
      <c r="B103" s="472" t="s">
        <v>583</v>
      </c>
    </row>
    <row r="104" spans="2:2" ht="14">
      <c r="B104" s="472" t="s">
        <v>72</v>
      </c>
    </row>
    <row r="105" spans="2:2" ht="14">
      <c r="B105" s="472" t="s">
        <v>288</v>
      </c>
    </row>
    <row r="106" spans="2:2" ht="14">
      <c r="B106" s="472" t="s">
        <v>588</v>
      </c>
    </row>
    <row r="107" spans="2:2" ht="28">
      <c r="B107" s="472" t="s">
        <v>591</v>
      </c>
    </row>
    <row r="108" spans="2:2" ht="14">
      <c r="B108" s="472" t="s">
        <v>73</v>
      </c>
    </row>
    <row r="110" spans="2:2" ht="14">
      <c r="B110" s="472" t="s">
        <v>598</v>
      </c>
    </row>
    <row r="111" spans="2:2" ht="14">
      <c r="B111" s="472" t="s">
        <v>308</v>
      </c>
    </row>
    <row r="112" spans="2:2" ht="14">
      <c r="B112" s="472" t="s">
        <v>97</v>
      </c>
    </row>
    <row r="113" spans="2:2" ht="14">
      <c r="B113" s="472" t="s">
        <v>331</v>
      </c>
    </row>
    <row r="114" spans="2:2" ht="14">
      <c r="B114" s="472" t="s">
        <v>607</v>
      </c>
    </row>
    <row r="115" spans="2:2" ht="14">
      <c r="B115" s="472" t="s">
        <v>610</v>
      </c>
    </row>
    <row r="116" spans="2:2" ht="28">
      <c r="B116" s="472" t="s">
        <v>332</v>
      </c>
    </row>
    <row r="117" spans="2:2" ht="14">
      <c r="B117" s="472" t="s">
        <v>225</v>
      </c>
    </row>
    <row r="118" spans="2:2" ht="14">
      <c r="B118" s="472" t="s">
        <v>309</v>
      </c>
    </row>
    <row r="119" spans="2:2" ht="14">
      <c r="B119" s="472" t="s">
        <v>627</v>
      </c>
    </row>
    <row r="120" spans="2:2" ht="14">
      <c r="B120" s="472" t="s">
        <v>628</v>
      </c>
    </row>
    <row r="121" spans="2:2" ht="14">
      <c r="B121" s="472" t="s">
        <v>629</v>
      </c>
    </row>
    <row r="122" spans="2:2" ht="14">
      <c r="B122" s="472" t="s">
        <v>630</v>
      </c>
    </row>
    <row r="124" spans="2:2" ht="14">
      <c r="B124" s="472" t="s">
        <v>662</v>
      </c>
    </row>
    <row r="125" spans="2:2" ht="14">
      <c r="B125" s="472" t="s">
        <v>330</v>
      </c>
    </row>
    <row r="126" spans="2:2" ht="14">
      <c r="B126" s="472" t="s">
        <v>637</v>
      </c>
    </row>
    <row r="127" spans="2:2" ht="14">
      <c r="B127" s="472" t="s">
        <v>329</v>
      </c>
    </row>
    <row r="128" spans="2:2" ht="14">
      <c r="B128" s="472" t="s">
        <v>121</v>
      </c>
    </row>
    <row r="129" spans="2:2" ht="14">
      <c r="B129" s="472" t="s">
        <v>122</v>
      </c>
    </row>
    <row r="130" spans="2:2" ht="14">
      <c r="B130" s="472" t="s">
        <v>317</v>
      </c>
    </row>
    <row r="131" spans="2:2" ht="14">
      <c r="B131" s="472" t="s">
        <v>118</v>
      </c>
    </row>
    <row r="132" spans="2:2" ht="14">
      <c r="B132" s="472" t="s">
        <v>117</v>
      </c>
    </row>
    <row r="133" spans="2:2" ht="14">
      <c r="B133" s="472" t="s">
        <v>650</v>
      </c>
    </row>
    <row r="134" spans="2:2" ht="14">
      <c r="B134" s="472" t="s">
        <v>337</v>
      </c>
    </row>
    <row r="135" spans="2:2" ht="14">
      <c r="B135" s="472" t="s">
        <v>336</v>
      </c>
    </row>
    <row r="136" spans="2:2" ht="14">
      <c r="B136" s="472" t="s">
        <v>657</v>
      </c>
    </row>
    <row r="137" spans="2:2" ht="42">
      <c r="B137" s="472" t="s">
        <v>333</v>
      </c>
    </row>
    <row r="138" spans="2:2" ht="14">
      <c r="B138" s="472" t="s">
        <v>334</v>
      </c>
    </row>
    <row r="140" spans="2:2" ht="14">
      <c r="B140" s="472" t="s">
        <v>71</v>
      </c>
    </row>
    <row r="141" spans="2:2" ht="14">
      <c r="B141" s="472" t="s">
        <v>320</v>
      </c>
    </row>
    <row r="142" spans="2:2" ht="14">
      <c r="B142" s="472" t="s">
        <v>321</v>
      </c>
    </row>
    <row r="143" spans="2:2" ht="14">
      <c r="B143" s="472" t="s">
        <v>679</v>
      </c>
    </row>
    <row r="144" spans="2:2" ht="14">
      <c r="B144" s="472" t="s">
        <v>678</v>
      </c>
    </row>
    <row r="145" spans="2:2" ht="14">
      <c r="B145" s="472" t="s">
        <v>680</v>
      </c>
    </row>
    <row r="148" spans="2:2" ht="20">
      <c r="B148" s="471" t="s">
        <v>683</v>
      </c>
    </row>
    <row r="150" spans="2:2" ht="14">
      <c r="B150" s="472" t="s">
        <v>390</v>
      </c>
    </row>
    <row r="151" spans="2:2" ht="14">
      <c r="B151" s="472" t="s">
        <v>391</v>
      </c>
    </row>
    <row r="152" spans="2:2" ht="14">
      <c r="B152" s="472" t="s">
        <v>389</v>
      </c>
    </row>
    <row r="153" spans="2:2" ht="14">
      <c r="B153" s="472" t="s">
        <v>762</v>
      </c>
    </row>
    <row r="155" spans="2:2" ht="14">
      <c r="B155" s="472" t="s">
        <v>392</v>
      </c>
    </row>
    <row r="156" spans="2:2" ht="14">
      <c r="B156" s="472" t="s">
        <v>15</v>
      </c>
    </row>
    <row r="157" spans="2:2" ht="14">
      <c r="B157" s="472" t="s">
        <v>231</v>
      </c>
    </row>
    <row r="158" spans="2:2" ht="14">
      <c r="B158" s="472" t="s">
        <v>232</v>
      </c>
    </row>
    <row r="160" spans="2:2" ht="14">
      <c r="B160" s="472" t="s">
        <v>26</v>
      </c>
    </row>
    <row r="161" spans="2:2" ht="14">
      <c r="B161" s="472" t="s">
        <v>566</v>
      </c>
    </row>
    <row r="162" spans="2:2" ht="14">
      <c r="B162" s="472" t="s">
        <v>198</v>
      </c>
    </row>
    <row r="163" spans="2:2" ht="14">
      <c r="B163" s="472" t="s">
        <v>700</v>
      </c>
    </row>
    <row r="164" spans="2:2" ht="14">
      <c r="B164" s="472" t="s">
        <v>113</v>
      </c>
    </row>
    <row r="165" spans="2:2" ht="14">
      <c r="B165" s="472" t="s">
        <v>114</v>
      </c>
    </row>
    <row r="166" spans="2:2" ht="14">
      <c r="B166" s="472" t="s">
        <v>159</v>
      </c>
    </row>
    <row r="167" spans="2:2" ht="14">
      <c r="B167" s="472" t="s">
        <v>255</v>
      </c>
    </row>
    <row r="168" spans="2:2" ht="14">
      <c r="B168" s="472" t="s">
        <v>710</v>
      </c>
    </row>
    <row r="169" spans="2:2" ht="14">
      <c r="B169" s="472" t="s">
        <v>712</v>
      </c>
    </row>
    <row r="170" spans="2:2" ht="14">
      <c r="B170" s="472" t="s">
        <v>221</v>
      </c>
    </row>
    <row r="171" spans="2:2" ht="14">
      <c r="B171" s="472" t="s">
        <v>719</v>
      </c>
    </row>
    <row r="172" spans="2:2" ht="14">
      <c r="B172" s="472" t="s">
        <v>723</v>
      </c>
    </row>
    <row r="173" spans="2:2" ht="14">
      <c r="B173" s="472" t="s">
        <v>224</v>
      </c>
    </row>
    <row r="174" spans="2:2" ht="14">
      <c r="B174" s="472" t="s">
        <v>37</v>
      </c>
    </row>
    <row r="175" spans="2:2" ht="14">
      <c r="B175" s="472" t="s">
        <v>729</v>
      </c>
    </row>
    <row r="176" spans="2:2" ht="14">
      <c r="B176" s="472" t="s">
        <v>747</v>
      </c>
    </row>
    <row r="177" spans="2:2" ht="14">
      <c r="B177" s="472" t="s">
        <v>160</v>
      </c>
    </row>
    <row r="178" spans="2:2" ht="14">
      <c r="B178" s="472" t="s">
        <v>733</v>
      </c>
    </row>
    <row r="179" spans="2:2" ht="14">
      <c r="B179" s="472" t="s">
        <v>734</v>
      </c>
    </row>
    <row r="180" spans="2:2" ht="14">
      <c r="B180" s="472" t="s">
        <v>735</v>
      </c>
    </row>
    <row r="181" spans="2:2" ht="14">
      <c r="B181" s="472" t="s">
        <v>736</v>
      </c>
    </row>
    <row r="182" spans="2:2" ht="14">
      <c r="B182" s="472" t="s">
        <v>162</v>
      </c>
    </row>
    <row r="183" spans="2:2" ht="14">
      <c r="B183" s="472" t="s">
        <v>161</v>
      </c>
    </row>
    <row r="185" spans="2:2" ht="14">
      <c r="B185" s="472" t="s">
        <v>753</v>
      </c>
    </row>
    <row r="186" spans="2:2" ht="42">
      <c r="B186" s="472" t="s">
        <v>335</v>
      </c>
    </row>
    <row r="187" spans="2:2" ht="14">
      <c r="B187" s="472" t="s">
        <v>756</v>
      </c>
    </row>
    <row r="190" spans="2:2" ht="20">
      <c r="B190" s="471" t="s">
        <v>49</v>
      </c>
    </row>
    <row r="192" spans="2:2" ht="14">
      <c r="B192" s="472" t="s">
        <v>49</v>
      </c>
    </row>
  </sheetData>
  <customSheetViews>
    <customSheetView guid="{8967CA62-3554-8A40-ACFF-3515F2B518C8}">
      <selection activeCell="B82" sqref="B82"/>
      <pageMargins left="0.7" right="0.7" top="0.75" bottom="0.75" header="0.3" footer="0.3"/>
    </customSheetView>
    <customSheetView guid="{EB877D66-0749-4C48-89AA-FFA94A34014C}" state="hidden">
      <selection activeCell="N48" sqref="N48"/>
      <pageMargins left="0.7" right="0.7" top="0.75" bottom="0.75" header="0.3" footer="0.3"/>
    </customSheetView>
  </customSheetView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4:E192"/>
  <sheetViews>
    <sheetView topLeftCell="A51" workbookViewId="0">
      <selection activeCell="B81" sqref="B81"/>
    </sheetView>
  </sheetViews>
  <sheetFormatPr baseColWidth="10" defaultRowHeight="13"/>
  <cols>
    <col min="1" max="1" width="10.83203125" style="221"/>
    <col min="2" max="2" width="140.1640625" style="472" customWidth="1"/>
    <col min="3" max="4" width="10.83203125" style="221"/>
    <col min="5" max="5" width="90.33203125" style="221" customWidth="1"/>
    <col min="6" max="16384" width="10.83203125" style="221"/>
  </cols>
  <sheetData>
    <row r="4" spans="1:5" ht="25" customHeight="1">
      <c r="B4" s="471" t="s">
        <v>396</v>
      </c>
      <c r="E4" s="471" t="s">
        <v>525</v>
      </c>
    </row>
    <row r="6" spans="1:5" ht="14">
      <c r="A6" s="467"/>
      <c r="B6" s="472" t="s">
        <v>398</v>
      </c>
      <c r="E6" s="475" t="s">
        <v>488</v>
      </c>
    </row>
    <row r="7" spans="1:5" ht="14">
      <c r="A7" s="467"/>
      <c r="B7" s="472" t="s">
        <v>799</v>
      </c>
    </row>
    <row r="8" spans="1:5" ht="14">
      <c r="A8" s="467"/>
      <c r="B8" s="472" t="s">
        <v>406</v>
      </c>
      <c r="E8" s="221" t="s">
        <v>793</v>
      </c>
    </row>
    <row r="9" spans="1:5" ht="14">
      <c r="A9" s="467"/>
      <c r="B9" s="768" t="s">
        <v>941</v>
      </c>
      <c r="E9" s="221" t="s">
        <v>794</v>
      </c>
    </row>
    <row r="10" spans="1:5" ht="14">
      <c r="A10" s="467"/>
      <c r="B10" s="472" t="s">
        <v>403</v>
      </c>
      <c r="E10" s="221" t="s">
        <v>527</v>
      </c>
    </row>
    <row r="11" spans="1:5" ht="28">
      <c r="A11" s="467"/>
      <c r="B11" s="472" t="s">
        <v>381</v>
      </c>
      <c r="E11" s="221" t="s">
        <v>530</v>
      </c>
    </row>
    <row r="12" spans="1:5" ht="14">
      <c r="A12" s="467"/>
      <c r="B12" s="768" t="s">
        <v>948</v>
      </c>
      <c r="E12" s="221" t="s">
        <v>509</v>
      </c>
    </row>
    <row r="13" spans="1:5" ht="14">
      <c r="A13" s="467"/>
      <c r="B13" s="472" t="s">
        <v>409</v>
      </c>
      <c r="E13" s="221" t="s">
        <v>770</v>
      </c>
    </row>
    <row r="15" spans="1:5" ht="14">
      <c r="E15" s="475" t="s">
        <v>545</v>
      </c>
    </row>
    <row r="16" spans="1:5" ht="20">
      <c r="B16" s="471" t="s">
        <v>411</v>
      </c>
    </row>
    <row r="17" spans="1:5" ht="19">
      <c r="B17" s="471"/>
      <c r="E17" s="221" t="s">
        <v>533</v>
      </c>
    </row>
    <row r="18" spans="1:5" ht="14">
      <c r="A18" s="466"/>
      <c r="B18" s="472" t="s">
        <v>412</v>
      </c>
      <c r="E18" s="221" t="s">
        <v>536</v>
      </c>
    </row>
    <row r="19" spans="1:5" ht="14">
      <c r="A19" s="466"/>
      <c r="B19" s="472" t="s">
        <v>415</v>
      </c>
    </row>
    <row r="20" spans="1:5" ht="14">
      <c r="A20" s="466"/>
      <c r="B20" s="472" t="s">
        <v>418</v>
      </c>
      <c r="E20" s="221" t="s">
        <v>539</v>
      </c>
    </row>
    <row r="21" spans="1:5">
      <c r="A21" s="466"/>
    </row>
    <row r="22" spans="1:5" ht="14">
      <c r="A22" s="466"/>
      <c r="B22" s="472" t="s">
        <v>422</v>
      </c>
      <c r="E22" s="221" t="s">
        <v>542</v>
      </c>
    </row>
    <row r="23" spans="1:5" ht="14">
      <c r="A23" s="466"/>
      <c r="B23" s="472" t="s">
        <v>424</v>
      </c>
    </row>
    <row r="24" spans="1:5" ht="14">
      <c r="A24" s="466"/>
      <c r="B24" s="472" t="s">
        <v>426</v>
      </c>
      <c r="E24" s="221" t="s">
        <v>669</v>
      </c>
    </row>
    <row r="25" spans="1:5" ht="14">
      <c r="A25" s="466"/>
      <c r="B25" s="472" t="s">
        <v>428</v>
      </c>
      <c r="E25" s="221" t="s">
        <v>668</v>
      </c>
    </row>
    <row r="26" spans="1:5" ht="14">
      <c r="A26" s="466"/>
      <c r="B26" s="472" t="s">
        <v>431</v>
      </c>
    </row>
    <row r="27" spans="1:5" ht="28">
      <c r="A27" s="466"/>
      <c r="B27" s="472" t="s">
        <v>434</v>
      </c>
      <c r="E27" s="221" t="s">
        <v>787</v>
      </c>
    </row>
    <row r="28" spans="1:5">
      <c r="A28" s="466"/>
    </row>
    <row r="29" spans="1:5" ht="14">
      <c r="A29" s="466"/>
      <c r="B29" s="472" t="s">
        <v>438</v>
      </c>
    </row>
    <row r="30" spans="1:5" ht="14">
      <c r="A30" s="466"/>
      <c r="B30" s="472" t="s">
        <v>439</v>
      </c>
      <c r="E30" s="475" t="s">
        <v>774</v>
      </c>
    </row>
    <row r="31" spans="1:5" ht="14">
      <c r="A31" s="466"/>
      <c r="B31" s="472" t="s">
        <v>441</v>
      </c>
    </row>
    <row r="32" spans="1:5" ht="14">
      <c r="A32" s="466"/>
      <c r="B32" s="472" t="s">
        <v>443</v>
      </c>
      <c r="E32" s="221" t="s">
        <v>779</v>
      </c>
    </row>
    <row r="33" spans="1:5" ht="14">
      <c r="A33" s="466"/>
      <c r="B33" s="472" t="s">
        <v>445</v>
      </c>
      <c r="E33" s="221" t="s">
        <v>780</v>
      </c>
    </row>
    <row r="34" spans="1:5">
      <c r="A34" s="466"/>
      <c r="E34" s="221" t="s">
        <v>782</v>
      </c>
    </row>
    <row r="35" spans="1:5" ht="14">
      <c r="B35" s="472" t="s">
        <v>448</v>
      </c>
      <c r="E35" s="221" t="s">
        <v>789</v>
      </c>
    </row>
    <row r="36" spans="1:5" ht="14">
      <c r="B36" s="472" t="s">
        <v>450</v>
      </c>
    </row>
    <row r="37" spans="1:5" ht="14">
      <c r="B37" s="472" t="s">
        <v>452</v>
      </c>
    </row>
    <row r="38" spans="1:5" ht="28">
      <c r="B38" s="472" t="s">
        <v>454</v>
      </c>
    </row>
    <row r="39" spans="1:5" ht="14">
      <c r="B39" s="472" t="s">
        <v>456</v>
      </c>
      <c r="E39" s="221" t="s">
        <v>785</v>
      </c>
    </row>
    <row r="41" spans="1:5" ht="14">
      <c r="B41" s="472" t="s">
        <v>459</v>
      </c>
    </row>
    <row r="42" spans="1:5" ht="14">
      <c r="B42" s="472" t="s">
        <v>460</v>
      </c>
    </row>
    <row r="43" spans="1:5" ht="14">
      <c r="B43" s="472" t="s">
        <v>463</v>
      </c>
    </row>
    <row r="44" spans="1:5" ht="42">
      <c r="B44" s="472" t="s">
        <v>466</v>
      </c>
    </row>
    <row r="45" spans="1:5" ht="14">
      <c r="B45" s="472" t="s">
        <v>468</v>
      </c>
    </row>
    <row r="47" spans="1:5" ht="14">
      <c r="B47" s="472" t="s">
        <v>472</v>
      </c>
    </row>
    <row r="48" spans="1:5" ht="14">
      <c r="B48" s="472" t="s">
        <v>473</v>
      </c>
    </row>
    <row r="49" spans="2:5" ht="14">
      <c r="B49" s="472" t="s">
        <v>476</v>
      </c>
    </row>
    <row r="50" spans="2:5" ht="14">
      <c r="B50" s="472" t="s">
        <v>478</v>
      </c>
    </row>
    <row r="52" spans="2:5" ht="14">
      <c r="B52" s="472" t="s">
        <v>481</v>
      </c>
    </row>
    <row r="53" spans="2:5" ht="14">
      <c r="B53" s="472" t="s">
        <v>482</v>
      </c>
    </row>
    <row r="54" spans="2:5" ht="28">
      <c r="B54" s="472" t="s">
        <v>484</v>
      </c>
    </row>
    <row r="55" spans="2:5" ht="28">
      <c r="B55" s="472" t="s">
        <v>486</v>
      </c>
    </row>
    <row r="58" spans="2:5" ht="20">
      <c r="B58" s="471" t="s">
        <v>488</v>
      </c>
      <c r="E58" s="471" t="s">
        <v>813</v>
      </c>
    </row>
    <row r="60" spans="2:5" ht="14">
      <c r="B60" s="472" t="s">
        <v>490</v>
      </c>
      <c r="E60" s="221" t="s">
        <v>821</v>
      </c>
    </row>
    <row r="61" spans="2:5">
      <c r="E61" s="221" t="s">
        <v>822</v>
      </c>
    </row>
    <row r="62" spans="2:5" ht="14">
      <c r="B62" s="472" t="s">
        <v>492</v>
      </c>
    </row>
    <row r="63" spans="2:5" ht="14">
      <c r="B63" s="472" t="s">
        <v>495</v>
      </c>
      <c r="E63" s="221" t="s">
        <v>823</v>
      </c>
    </row>
    <row r="64" spans="2:5" ht="14">
      <c r="B64" s="472" t="s">
        <v>498</v>
      </c>
      <c r="E64" s="221" t="s">
        <v>824</v>
      </c>
    </row>
    <row r="65" spans="2:5" ht="28">
      <c r="B65" s="472" t="s">
        <v>501</v>
      </c>
      <c r="E65" s="221" t="s">
        <v>825</v>
      </c>
    </row>
    <row r="66" spans="2:5" ht="14">
      <c r="B66" s="472" t="s">
        <v>503</v>
      </c>
    </row>
    <row r="67" spans="2:5">
      <c r="E67" s="221" t="s">
        <v>827</v>
      </c>
    </row>
    <row r="68" spans="2:5" ht="14">
      <c r="B68" s="472" t="s">
        <v>506</v>
      </c>
    </row>
    <row r="69" spans="2:5" ht="28">
      <c r="B69" s="472" t="s">
        <v>509</v>
      </c>
      <c r="E69" s="472" t="s">
        <v>900</v>
      </c>
    </row>
    <row r="70" spans="2:5" ht="14">
      <c r="B70" s="472" t="s">
        <v>50</v>
      </c>
      <c r="E70" s="221" t="s">
        <v>902</v>
      </c>
    </row>
    <row r="71" spans="2:5" ht="14">
      <c r="B71" s="472" t="s">
        <v>512</v>
      </c>
      <c r="E71" s="221" t="s">
        <v>903</v>
      </c>
    </row>
    <row r="72" spans="2:5" ht="14">
      <c r="B72" s="472" t="s">
        <v>515</v>
      </c>
      <c r="E72" s="221" t="s">
        <v>909</v>
      </c>
    </row>
    <row r="73" spans="2:5">
      <c r="E73" s="221" t="s">
        <v>906</v>
      </c>
    </row>
    <row r="74" spans="2:5" ht="28">
      <c r="B74" s="472" t="s">
        <v>518</v>
      </c>
      <c r="E74" s="472" t="s">
        <v>914</v>
      </c>
    </row>
    <row r="75" spans="2:5" ht="14">
      <c r="B75" s="472" t="s">
        <v>764</v>
      </c>
      <c r="E75" s="221" t="s">
        <v>915</v>
      </c>
    </row>
    <row r="76" spans="2:5" ht="14">
      <c r="B76" s="472" t="s">
        <v>520</v>
      </c>
      <c r="E76" s="472" t="s">
        <v>918</v>
      </c>
    </row>
    <row r="77" spans="2:5" ht="14">
      <c r="B77" s="472" t="s">
        <v>849</v>
      </c>
    </row>
    <row r="78" spans="2:5" ht="14">
      <c r="B78" s="472" t="s">
        <v>850</v>
      </c>
    </row>
    <row r="79" spans="2:5" ht="14">
      <c r="B79" s="472" t="s">
        <v>851</v>
      </c>
    </row>
    <row r="80" spans="2:5" ht="28">
      <c r="B80" s="472" t="s">
        <v>843</v>
      </c>
    </row>
    <row r="82" spans="2:5" ht="28">
      <c r="B82" s="472" t="s">
        <v>523</v>
      </c>
    </row>
    <row r="83" spans="2:5">
      <c r="B83" s="221" t="s">
        <v>783</v>
      </c>
    </row>
    <row r="84" spans="2:5">
      <c r="B84" s="221" t="s">
        <v>784</v>
      </c>
    </row>
    <row r="85" spans="2:5" ht="20">
      <c r="B85" s="471" t="s">
        <v>545</v>
      </c>
      <c r="E85" s="471" t="s">
        <v>919</v>
      </c>
    </row>
    <row r="87" spans="2:5" ht="14">
      <c r="B87" s="472" t="s">
        <v>546</v>
      </c>
      <c r="E87" s="472" t="s">
        <v>927</v>
      </c>
    </row>
    <row r="88" spans="2:5" ht="14">
      <c r="B88" s="472" t="s">
        <v>549</v>
      </c>
      <c r="E88" s="221" t="s">
        <v>923</v>
      </c>
    </row>
    <row r="89" spans="2:5" ht="14">
      <c r="B89" s="472" t="s">
        <v>552</v>
      </c>
      <c r="E89" s="221" t="s">
        <v>922</v>
      </c>
    </row>
    <row r="91" spans="2:5" ht="14">
      <c r="B91" s="472" t="s">
        <v>555</v>
      </c>
    </row>
    <row r="92" spans="2:5" ht="14">
      <c r="B92" s="472" t="s">
        <v>557</v>
      </c>
    </row>
    <row r="94" spans="2:5" ht="14">
      <c r="B94" s="472" t="s">
        <v>559</v>
      </c>
    </row>
    <row r="95" spans="2:5" ht="14">
      <c r="B95" s="472" t="s">
        <v>561</v>
      </c>
    </row>
    <row r="96" spans="2:5" ht="14">
      <c r="B96" s="472" t="s">
        <v>564</v>
      </c>
    </row>
    <row r="97" spans="2:2" ht="14">
      <c r="B97" s="472" t="s">
        <v>567</v>
      </c>
    </row>
    <row r="98" spans="2:2" ht="14">
      <c r="B98" s="472" t="s">
        <v>570</v>
      </c>
    </row>
    <row r="99" spans="2:2" ht="14">
      <c r="B99" s="472" t="s">
        <v>573</v>
      </c>
    </row>
    <row r="100" spans="2:2" ht="14">
      <c r="B100" s="472" t="s">
        <v>576</v>
      </c>
    </row>
    <row r="101" spans="2:2" ht="14">
      <c r="B101" s="472" t="s">
        <v>578</v>
      </c>
    </row>
    <row r="102" spans="2:2" ht="14">
      <c r="B102" s="472" t="s">
        <v>581</v>
      </c>
    </row>
    <row r="103" spans="2:2" ht="14">
      <c r="B103" s="472" t="s">
        <v>584</v>
      </c>
    </row>
    <row r="104" spans="2:2" ht="14">
      <c r="B104" s="472" t="s">
        <v>594</v>
      </c>
    </row>
    <row r="105" spans="2:2" ht="14">
      <c r="B105" s="472" t="s">
        <v>586</v>
      </c>
    </row>
    <row r="106" spans="2:2" ht="14">
      <c r="B106" s="472" t="s">
        <v>589</v>
      </c>
    </row>
    <row r="107" spans="2:2" ht="28">
      <c r="B107" s="472" t="s">
        <v>592</v>
      </c>
    </row>
    <row r="108" spans="2:2" ht="14">
      <c r="B108" s="472" t="s">
        <v>596</v>
      </c>
    </row>
    <row r="110" spans="2:2" ht="14">
      <c r="B110" s="472" t="s">
        <v>599</v>
      </c>
    </row>
    <row r="111" spans="2:2" ht="14">
      <c r="B111" s="472" t="s">
        <v>601</v>
      </c>
    </row>
    <row r="112" spans="2:2" ht="14">
      <c r="B112" s="472" t="s">
        <v>603</v>
      </c>
    </row>
    <row r="113" spans="2:2" ht="14">
      <c r="B113" s="472" t="s">
        <v>605</v>
      </c>
    </row>
    <row r="114" spans="2:2" ht="14">
      <c r="B114" s="472" t="s">
        <v>608</v>
      </c>
    </row>
    <row r="115" spans="2:2" ht="14">
      <c r="B115" s="472" t="s">
        <v>611</v>
      </c>
    </row>
    <row r="116" spans="2:2" ht="28">
      <c r="B116" s="472" t="s">
        <v>613</v>
      </c>
    </row>
    <row r="117" spans="2:2" ht="14">
      <c r="B117" s="472" t="s">
        <v>615</v>
      </c>
    </row>
    <row r="118" spans="2:2" ht="14">
      <c r="B118" s="472" t="s">
        <v>617</v>
      </c>
    </row>
    <row r="119" spans="2:2" ht="14">
      <c r="B119" s="472" t="s">
        <v>623</v>
      </c>
    </row>
    <row r="120" spans="2:2" ht="14">
      <c r="B120" s="472" t="s">
        <v>624</v>
      </c>
    </row>
    <row r="121" spans="2:2" ht="14">
      <c r="B121" s="472" t="s">
        <v>625</v>
      </c>
    </row>
    <row r="122" spans="2:2" ht="14">
      <c r="B122" s="472" t="s">
        <v>626</v>
      </c>
    </row>
    <row r="124" spans="2:2" ht="14">
      <c r="B124" s="472" t="s">
        <v>631</v>
      </c>
    </row>
    <row r="125" spans="2:2" ht="14">
      <c r="B125" s="472" t="s">
        <v>633</v>
      </c>
    </row>
    <row r="126" spans="2:2" ht="28">
      <c r="B126" s="472" t="s">
        <v>638</v>
      </c>
    </row>
    <row r="127" spans="2:2" ht="14">
      <c r="B127" s="472" t="s">
        <v>635</v>
      </c>
    </row>
    <row r="128" spans="2:2" ht="14">
      <c r="B128" s="472" t="s">
        <v>640</v>
      </c>
    </row>
    <row r="129" spans="2:2" ht="14">
      <c r="B129" s="472" t="s">
        <v>642</v>
      </c>
    </row>
    <row r="130" spans="2:2" ht="14">
      <c r="B130" s="472" t="s">
        <v>644</v>
      </c>
    </row>
    <row r="131" spans="2:2" ht="14">
      <c r="B131" s="472" t="s">
        <v>646</v>
      </c>
    </row>
    <row r="132" spans="2:2" ht="14">
      <c r="B132" s="472" t="s">
        <v>648</v>
      </c>
    </row>
    <row r="133" spans="2:2" ht="14">
      <c r="B133" s="472" t="s">
        <v>651</v>
      </c>
    </row>
    <row r="134" spans="2:2" ht="14">
      <c r="B134" s="472" t="s">
        <v>653</v>
      </c>
    </row>
    <row r="135" spans="2:2" ht="14">
      <c r="B135" s="472" t="s">
        <v>655</v>
      </c>
    </row>
    <row r="136" spans="2:2" ht="14">
      <c r="B136" s="472" t="s">
        <v>658</v>
      </c>
    </row>
    <row r="137" spans="2:2" ht="56">
      <c r="B137" s="472" t="s">
        <v>387</v>
      </c>
    </row>
    <row r="138" spans="2:2" ht="14">
      <c r="B138" s="472" t="s">
        <v>660</v>
      </c>
    </row>
    <row r="140" spans="2:2" ht="14">
      <c r="B140" s="472" t="s">
        <v>663</v>
      </c>
    </row>
    <row r="141" spans="2:2" ht="14">
      <c r="B141" s="472" t="s">
        <v>665</v>
      </c>
    </row>
    <row r="142" spans="2:2" ht="14">
      <c r="B142" s="472" t="s">
        <v>672</v>
      </c>
    </row>
    <row r="143" spans="2:2" ht="14">
      <c r="B143" s="472" t="s">
        <v>674</v>
      </c>
    </row>
    <row r="144" spans="2:2" ht="14">
      <c r="B144" s="472" t="s">
        <v>677</v>
      </c>
    </row>
    <row r="145" spans="2:2" ht="14">
      <c r="B145" s="472" t="s">
        <v>676</v>
      </c>
    </row>
    <row r="148" spans="2:2" ht="20">
      <c r="B148" s="471" t="s">
        <v>683</v>
      </c>
    </row>
    <row r="150" spans="2:2" ht="14">
      <c r="B150" s="472" t="s">
        <v>684</v>
      </c>
    </row>
    <row r="151" spans="2:2" ht="14">
      <c r="B151" s="472" t="s">
        <v>686</v>
      </c>
    </row>
    <row r="152" spans="2:2" ht="14">
      <c r="B152" s="472" t="s">
        <v>509</v>
      </c>
    </row>
    <row r="153" spans="2:2" ht="14">
      <c r="B153" s="472" t="s">
        <v>764</v>
      </c>
    </row>
    <row r="155" spans="2:2" ht="14">
      <c r="B155" s="472" t="s">
        <v>688</v>
      </c>
    </row>
    <row r="156" spans="2:2" ht="14">
      <c r="B156" s="472" t="s">
        <v>690</v>
      </c>
    </row>
    <row r="157" spans="2:2" ht="14">
      <c r="B157" s="472" t="s">
        <v>692</v>
      </c>
    </row>
    <row r="158" spans="2:2" ht="14">
      <c r="B158" s="472" t="s">
        <v>694</v>
      </c>
    </row>
    <row r="160" spans="2:2" ht="14">
      <c r="B160" s="472" t="s">
        <v>696</v>
      </c>
    </row>
    <row r="161" spans="2:2" ht="14">
      <c r="B161" s="472" t="s">
        <v>567</v>
      </c>
    </row>
    <row r="162" spans="2:2" ht="14">
      <c r="B162" s="472" t="s">
        <v>698</v>
      </c>
    </row>
    <row r="163" spans="2:2" ht="14">
      <c r="B163" s="472" t="s">
        <v>701</v>
      </c>
    </row>
    <row r="164" spans="2:2" ht="14">
      <c r="B164" s="472" t="s">
        <v>703</v>
      </c>
    </row>
    <row r="165" spans="2:2" ht="14">
      <c r="B165" s="472" t="s">
        <v>705</v>
      </c>
    </row>
    <row r="166" spans="2:2" ht="14">
      <c r="B166" s="472" t="s">
        <v>707</v>
      </c>
    </row>
    <row r="167" spans="2:2" ht="14">
      <c r="B167" s="472" t="s">
        <v>709</v>
      </c>
    </row>
    <row r="168" spans="2:2" ht="14">
      <c r="B168" s="472" t="s">
        <v>711</v>
      </c>
    </row>
    <row r="169" spans="2:2" ht="14">
      <c r="B169" s="472" t="s">
        <v>713</v>
      </c>
    </row>
    <row r="170" spans="2:2" ht="14">
      <c r="B170" s="472" t="s">
        <v>717</v>
      </c>
    </row>
    <row r="171" spans="2:2" ht="14">
      <c r="B171" s="472" t="s">
        <v>720</v>
      </c>
    </row>
    <row r="172" spans="2:2" ht="14">
      <c r="B172" s="472" t="s">
        <v>722</v>
      </c>
    </row>
    <row r="173" spans="2:2" ht="14">
      <c r="B173" s="472" t="s">
        <v>725</v>
      </c>
    </row>
    <row r="174" spans="2:2" ht="14">
      <c r="B174" s="472" t="s">
        <v>727</v>
      </c>
    </row>
    <row r="175" spans="2:2" ht="14">
      <c r="B175" s="472" t="s">
        <v>730</v>
      </c>
    </row>
    <row r="176" spans="2:2" ht="14">
      <c r="B176" s="472" t="s">
        <v>746</v>
      </c>
    </row>
    <row r="177" spans="2:2" ht="14">
      <c r="B177" s="472" t="s">
        <v>731</v>
      </c>
    </row>
    <row r="178" spans="2:2" ht="14">
      <c r="B178" s="472" t="s">
        <v>737</v>
      </c>
    </row>
    <row r="179" spans="2:2" ht="14">
      <c r="B179" s="472" t="s">
        <v>742</v>
      </c>
    </row>
    <row r="180" spans="2:2" ht="14">
      <c r="B180" s="472" t="s">
        <v>743</v>
      </c>
    </row>
    <row r="181" spans="2:2" ht="14">
      <c r="B181" s="472" t="s">
        <v>744</v>
      </c>
    </row>
    <row r="182" spans="2:2" ht="14">
      <c r="B182" s="472" t="s">
        <v>749</v>
      </c>
    </row>
    <row r="183" spans="2:2" ht="14">
      <c r="B183" s="472" t="s">
        <v>751</v>
      </c>
    </row>
    <row r="185" spans="2:2" ht="14">
      <c r="B185" s="472" t="s">
        <v>754</v>
      </c>
    </row>
    <row r="186" spans="2:2" ht="56">
      <c r="B186" s="472" t="s">
        <v>394</v>
      </c>
    </row>
    <row r="187" spans="2:2" ht="14">
      <c r="B187" s="472" t="s">
        <v>757</v>
      </c>
    </row>
    <row r="190" spans="2:2" ht="20">
      <c r="B190" s="471" t="s">
        <v>49</v>
      </c>
    </row>
    <row r="192" spans="2:2" ht="14">
      <c r="B192" s="472" t="s">
        <v>49</v>
      </c>
    </row>
  </sheetData>
  <customSheetViews>
    <customSheetView guid="{8967CA62-3554-8A40-ACFF-3515F2B518C8}" topLeftCell="A51">
      <selection activeCell="B81" sqref="B81"/>
      <pageMargins left="0.7" right="0.7" top="0.75" bottom="0.75" header="0.3" footer="0.3"/>
    </customSheetView>
    <customSheetView guid="{EB877D66-0749-4C48-89AA-FFA94A34014C}" state="hidden" topLeftCell="A51">
      <selection activeCell="B81" sqref="B81"/>
      <pageMargins left="0.7" right="0.7" top="0.75" bottom="0.75" header="0.3" footer="0.3"/>
    </customSheetView>
  </customSheetViews>
  <phoneticPr fontId="2" type="noConversion"/>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4:E192"/>
  <sheetViews>
    <sheetView topLeftCell="A49" workbookViewId="0">
      <selection activeCell="N48" sqref="N48"/>
    </sheetView>
  </sheetViews>
  <sheetFormatPr baseColWidth="10" defaultRowHeight="13"/>
  <cols>
    <col min="1" max="1" width="10.83203125" style="221"/>
    <col min="2" max="2" width="150" style="472" customWidth="1"/>
    <col min="3" max="4" width="10.83203125" style="221"/>
    <col min="5" max="5" width="90.33203125" style="221" customWidth="1"/>
    <col min="6" max="16384" width="10.83203125" style="221"/>
  </cols>
  <sheetData>
    <row r="4" spans="1:5" ht="25" customHeight="1">
      <c r="B4" s="471" t="s">
        <v>396</v>
      </c>
      <c r="E4" s="471" t="s">
        <v>525</v>
      </c>
    </row>
    <row r="6" spans="1:5" ht="14">
      <c r="A6" s="467"/>
      <c r="B6" s="472" t="s">
        <v>399</v>
      </c>
      <c r="E6" s="475" t="s">
        <v>488</v>
      </c>
    </row>
    <row r="7" spans="1:5" ht="14">
      <c r="A7" s="467"/>
      <c r="B7" s="472" t="s">
        <v>400</v>
      </c>
    </row>
    <row r="8" spans="1:5" ht="14">
      <c r="A8" s="467"/>
      <c r="B8" s="472" t="s">
        <v>407</v>
      </c>
      <c r="E8" s="221" t="s">
        <v>795</v>
      </c>
    </row>
    <row r="9" spans="1:5" ht="14">
      <c r="A9" s="467"/>
      <c r="B9" s="768" t="s">
        <v>942</v>
      </c>
      <c r="E9" s="221" t="s">
        <v>796</v>
      </c>
    </row>
    <row r="10" spans="1:5" ht="14">
      <c r="A10" s="467"/>
      <c r="B10" s="473" t="s">
        <v>404</v>
      </c>
      <c r="E10" s="221" t="s">
        <v>528</v>
      </c>
    </row>
    <row r="11" spans="1:5" ht="28">
      <c r="A11" s="467"/>
      <c r="B11" s="474" t="s">
        <v>382</v>
      </c>
      <c r="E11" s="221" t="s">
        <v>531</v>
      </c>
    </row>
    <row r="12" spans="1:5" ht="14">
      <c r="A12" s="467"/>
      <c r="B12" s="473" t="s">
        <v>949</v>
      </c>
      <c r="E12" s="221" t="s">
        <v>508</v>
      </c>
    </row>
    <row r="13" spans="1:5" ht="14">
      <c r="A13" s="467"/>
      <c r="B13" s="472" t="s">
        <v>410</v>
      </c>
      <c r="E13" s="221" t="s">
        <v>771</v>
      </c>
    </row>
    <row r="15" spans="1:5" ht="14">
      <c r="E15" s="475" t="s">
        <v>545</v>
      </c>
    </row>
    <row r="16" spans="1:5" ht="20">
      <c r="B16" s="471" t="s">
        <v>411</v>
      </c>
    </row>
    <row r="17" spans="1:5" ht="19">
      <c r="B17" s="471"/>
      <c r="E17" s="221" t="s">
        <v>534</v>
      </c>
    </row>
    <row r="18" spans="1:5" ht="14">
      <c r="A18" s="466"/>
      <c r="B18" s="472" t="s">
        <v>413</v>
      </c>
      <c r="E18" s="221" t="s">
        <v>537</v>
      </c>
    </row>
    <row r="19" spans="1:5" ht="14">
      <c r="A19" s="466"/>
      <c r="B19" s="472" t="s">
        <v>416</v>
      </c>
    </row>
    <row r="20" spans="1:5" ht="14">
      <c r="A20" s="466"/>
      <c r="B20" s="472" t="s">
        <v>419</v>
      </c>
      <c r="E20" s="221" t="s">
        <v>540</v>
      </c>
    </row>
    <row r="21" spans="1:5">
      <c r="A21" s="466"/>
    </row>
    <row r="22" spans="1:5" ht="14">
      <c r="A22" s="466"/>
      <c r="B22" s="472" t="s">
        <v>421</v>
      </c>
      <c r="E22" s="221" t="s">
        <v>543</v>
      </c>
    </row>
    <row r="23" spans="1:5" ht="14">
      <c r="A23" s="466"/>
      <c r="B23" s="472" t="s">
        <v>425</v>
      </c>
    </row>
    <row r="24" spans="1:5" ht="14">
      <c r="A24" s="466"/>
      <c r="B24" s="472" t="s">
        <v>427</v>
      </c>
      <c r="E24" s="221" t="s">
        <v>671</v>
      </c>
    </row>
    <row r="25" spans="1:5" ht="14">
      <c r="A25" s="466"/>
      <c r="B25" s="472" t="s">
        <v>429</v>
      </c>
      <c r="E25" s="221" t="s">
        <v>670</v>
      </c>
    </row>
    <row r="26" spans="1:5" ht="14">
      <c r="A26" s="466"/>
      <c r="B26" s="472" t="s">
        <v>432</v>
      </c>
    </row>
    <row r="27" spans="1:5" ht="28">
      <c r="A27" s="466"/>
      <c r="B27" s="472" t="s">
        <v>435</v>
      </c>
      <c r="E27" s="221" t="s">
        <v>786</v>
      </c>
    </row>
    <row r="28" spans="1:5">
      <c r="A28" s="466"/>
    </row>
    <row r="29" spans="1:5" ht="14">
      <c r="A29" s="466"/>
      <c r="B29" s="472" t="s">
        <v>437</v>
      </c>
    </row>
    <row r="30" spans="1:5" ht="14">
      <c r="A30" s="466"/>
      <c r="B30" s="472" t="s">
        <v>440</v>
      </c>
      <c r="E30" s="475" t="s">
        <v>774</v>
      </c>
    </row>
    <row r="31" spans="1:5" ht="14">
      <c r="A31" s="466"/>
      <c r="B31" s="472" t="s">
        <v>442</v>
      </c>
    </row>
    <row r="32" spans="1:5" ht="14">
      <c r="A32" s="466"/>
      <c r="B32" s="472" t="s">
        <v>444</v>
      </c>
      <c r="E32" s="221" t="s">
        <v>807</v>
      </c>
    </row>
    <row r="33" spans="1:5" ht="14">
      <c r="A33" s="466"/>
      <c r="B33" s="472" t="s">
        <v>446</v>
      </c>
      <c r="E33" s="221" t="s">
        <v>808</v>
      </c>
    </row>
    <row r="34" spans="1:5">
      <c r="A34" s="466"/>
      <c r="E34" s="221" t="s">
        <v>810</v>
      </c>
    </row>
    <row r="35" spans="1:5" ht="14">
      <c r="B35" s="472" t="s">
        <v>449</v>
      </c>
      <c r="E35" s="221" t="s">
        <v>809</v>
      </c>
    </row>
    <row r="36" spans="1:5" ht="14">
      <c r="B36" s="472" t="s">
        <v>451</v>
      </c>
    </row>
    <row r="37" spans="1:5" ht="14">
      <c r="B37" s="472" t="s">
        <v>453</v>
      </c>
    </row>
    <row r="38" spans="1:5" ht="14">
      <c r="B38" s="472" t="s">
        <v>455</v>
      </c>
    </row>
    <row r="39" spans="1:5" ht="14">
      <c r="B39" s="472" t="s">
        <v>457</v>
      </c>
    </row>
    <row r="41" spans="1:5" ht="14">
      <c r="B41" s="472" t="s">
        <v>461</v>
      </c>
    </row>
    <row r="42" spans="1:5" ht="14">
      <c r="B42" s="472" t="s">
        <v>462</v>
      </c>
    </row>
    <row r="43" spans="1:5" ht="14">
      <c r="B43" s="472" t="s">
        <v>464</v>
      </c>
    </row>
    <row r="44" spans="1:5" ht="42">
      <c r="B44" s="472" t="s">
        <v>467</v>
      </c>
    </row>
    <row r="45" spans="1:5" ht="14">
      <c r="B45" s="472" t="s">
        <v>469</v>
      </c>
    </row>
    <row r="47" spans="1:5" ht="14">
      <c r="B47" s="472" t="s">
        <v>474</v>
      </c>
    </row>
    <row r="48" spans="1:5" ht="14">
      <c r="B48" s="472" t="s">
        <v>475</v>
      </c>
    </row>
    <row r="49" spans="2:5" ht="14">
      <c r="B49" s="472" t="s">
        <v>477</v>
      </c>
    </row>
    <row r="50" spans="2:5" ht="14">
      <c r="B50" s="472" t="s">
        <v>479</v>
      </c>
    </row>
    <row r="52" spans="2:5" ht="14">
      <c r="B52" s="472" t="s">
        <v>483</v>
      </c>
    </row>
    <row r="53" spans="2:5" ht="14">
      <c r="B53" s="472" t="s">
        <v>475</v>
      </c>
    </row>
    <row r="54" spans="2:5" ht="28">
      <c r="B54" s="472" t="s">
        <v>485</v>
      </c>
    </row>
    <row r="55" spans="2:5" ht="28">
      <c r="B55" s="472" t="s">
        <v>487</v>
      </c>
    </row>
    <row r="58" spans="2:5" ht="20">
      <c r="B58" s="471" t="s">
        <v>488</v>
      </c>
      <c r="E58" s="471" t="s">
        <v>813</v>
      </c>
    </row>
    <row r="60" spans="2:5" ht="14">
      <c r="B60" s="472" t="s">
        <v>491</v>
      </c>
      <c r="E60" s="221" t="s">
        <v>817</v>
      </c>
    </row>
    <row r="61" spans="2:5">
      <c r="E61" s="221" t="s">
        <v>815</v>
      </c>
    </row>
    <row r="62" spans="2:5" ht="14">
      <c r="B62" s="472" t="s">
        <v>493</v>
      </c>
    </row>
    <row r="63" spans="2:5" ht="14">
      <c r="B63" s="472" t="s">
        <v>496</v>
      </c>
      <c r="E63" s="221" t="s">
        <v>818</v>
      </c>
    </row>
    <row r="64" spans="2:5" ht="14">
      <c r="B64" s="472" t="s">
        <v>499</v>
      </c>
      <c r="E64" s="221" t="s">
        <v>819</v>
      </c>
    </row>
    <row r="65" spans="2:5" ht="28">
      <c r="B65" s="472" t="s">
        <v>502</v>
      </c>
      <c r="E65" s="221" t="s">
        <v>820</v>
      </c>
    </row>
    <row r="66" spans="2:5" ht="14">
      <c r="B66" s="472" t="s">
        <v>504</v>
      </c>
    </row>
    <row r="67" spans="2:5">
      <c r="E67" s="221" t="s">
        <v>828</v>
      </c>
    </row>
    <row r="68" spans="2:5" ht="14">
      <c r="B68" s="472" t="s">
        <v>507</v>
      </c>
    </row>
    <row r="69" spans="2:5" ht="28">
      <c r="B69" s="472" t="s">
        <v>508</v>
      </c>
      <c r="E69" s="472" t="s">
        <v>901</v>
      </c>
    </row>
    <row r="70" spans="2:5" ht="14">
      <c r="B70" s="472" t="s">
        <v>510</v>
      </c>
      <c r="E70" s="472" t="s">
        <v>904</v>
      </c>
    </row>
    <row r="71" spans="2:5" ht="14">
      <c r="B71" s="472" t="s">
        <v>513</v>
      </c>
      <c r="E71" s="221" t="s">
        <v>905</v>
      </c>
    </row>
    <row r="72" spans="2:5" ht="14">
      <c r="B72" s="472" t="s">
        <v>516</v>
      </c>
      <c r="E72" s="221" t="s">
        <v>910</v>
      </c>
    </row>
    <row r="73" spans="2:5">
      <c r="E73" s="221" t="s">
        <v>908</v>
      </c>
    </row>
    <row r="74" spans="2:5" ht="28">
      <c r="B74" s="472" t="s">
        <v>519</v>
      </c>
      <c r="E74" s="472" t="s">
        <v>912</v>
      </c>
    </row>
    <row r="75" spans="2:5" ht="16">
      <c r="B75" s="215" t="s">
        <v>763</v>
      </c>
      <c r="E75" s="221" t="s">
        <v>913</v>
      </c>
    </row>
    <row r="76" spans="2:5" ht="14">
      <c r="B76" s="472" t="s">
        <v>521</v>
      </c>
      <c r="E76" s="221" t="s">
        <v>917</v>
      </c>
    </row>
    <row r="77" spans="2:5" ht="14">
      <c r="B77" s="472" t="s">
        <v>852</v>
      </c>
    </row>
    <row r="78" spans="2:5" ht="14">
      <c r="B78" s="472" t="s">
        <v>853</v>
      </c>
    </row>
    <row r="79" spans="2:5" ht="14">
      <c r="B79" s="472" t="s">
        <v>854</v>
      </c>
    </row>
    <row r="80" spans="2:5" ht="14">
      <c r="B80" s="472" t="s">
        <v>844</v>
      </c>
    </row>
    <row r="82" spans="2:5" ht="28">
      <c r="B82" s="472" t="s">
        <v>524</v>
      </c>
    </row>
    <row r="83" spans="2:5">
      <c r="B83" s="486" t="s">
        <v>805</v>
      </c>
    </row>
    <row r="84" spans="2:5">
      <c r="B84" s="221" t="s">
        <v>806</v>
      </c>
    </row>
    <row r="85" spans="2:5" ht="20">
      <c r="B85" s="471" t="s">
        <v>545</v>
      </c>
      <c r="E85" s="471" t="s">
        <v>919</v>
      </c>
    </row>
    <row r="87" spans="2:5" ht="14">
      <c r="B87" s="472" t="s">
        <v>547</v>
      </c>
      <c r="E87" s="472" t="s">
        <v>926</v>
      </c>
    </row>
    <row r="88" spans="2:5" ht="14">
      <c r="B88" s="472" t="s">
        <v>550</v>
      </c>
      <c r="E88" s="221" t="s">
        <v>924</v>
      </c>
    </row>
    <row r="89" spans="2:5" ht="14">
      <c r="B89" s="472" t="s">
        <v>553</v>
      </c>
      <c r="E89" s="221" t="s">
        <v>925</v>
      </c>
    </row>
    <row r="91" spans="2:5" ht="14">
      <c r="B91" s="472" t="s">
        <v>556</v>
      </c>
    </row>
    <row r="92" spans="2:5" ht="14">
      <c r="B92" s="472" t="s">
        <v>558</v>
      </c>
    </row>
    <row r="94" spans="2:5" ht="14">
      <c r="B94" s="472" t="s">
        <v>560</v>
      </c>
    </row>
    <row r="95" spans="2:5" ht="14">
      <c r="B95" s="472" t="s">
        <v>562</v>
      </c>
    </row>
    <row r="96" spans="2:5" ht="14">
      <c r="B96" s="472" t="s">
        <v>565</v>
      </c>
    </row>
    <row r="97" spans="2:2" ht="14">
      <c r="B97" s="472" t="s">
        <v>568</v>
      </c>
    </row>
    <row r="98" spans="2:2" ht="14">
      <c r="B98" s="472" t="s">
        <v>571</v>
      </c>
    </row>
    <row r="99" spans="2:2" ht="14">
      <c r="B99" s="472" t="s">
        <v>574</v>
      </c>
    </row>
    <row r="100" spans="2:2" ht="14">
      <c r="B100" s="472" t="s">
        <v>577</v>
      </c>
    </row>
    <row r="101" spans="2:2" ht="14">
      <c r="B101" s="472" t="s">
        <v>579</v>
      </c>
    </row>
    <row r="102" spans="2:2" ht="14">
      <c r="B102" s="472" t="s">
        <v>582</v>
      </c>
    </row>
    <row r="103" spans="2:2" ht="14">
      <c r="B103" s="472" t="s">
        <v>585</v>
      </c>
    </row>
    <row r="104" spans="2:2" ht="14">
      <c r="B104" s="472" t="s">
        <v>595</v>
      </c>
    </row>
    <row r="105" spans="2:2" ht="14">
      <c r="B105" s="472" t="s">
        <v>587</v>
      </c>
    </row>
    <row r="106" spans="2:2" ht="14">
      <c r="B106" s="472" t="s">
        <v>590</v>
      </c>
    </row>
    <row r="107" spans="2:2" ht="28">
      <c r="B107" s="472" t="s">
        <v>593</v>
      </c>
    </row>
    <row r="108" spans="2:2" ht="14">
      <c r="B108" s="472" t="s">
        <v>597</v>
      </c>
    </row>
    <row r="110" spans="2:2" ht="14">
      <c r="B110" s="472" t="s">
        <v>600</v>
      </c>
    </row>
    <row r="111" spans="2:2" ht="14">
      <c r="B111" s="472" t="s">
        <v>602</v>
      </c>
    </row>
    <row r="112" spans="2:2" ht="14">
      <c r="B112" s="472" t="s">
        <v>604</v>
      </c>
    </row>
    <row r="113" spans="2:2" ht="14">
      <c r="B113" s="472" t="s">
        <v>606</v>
      </c>
    </row>
    <row r="114" spans="2:2" ht="14">
      <c r="B114" s="472" t="s">
        <v>609</v>
      </c>
    </row>
    <row r="115" spans="2:2" ht="14">
      <c r="B115" s="472" t="s">
        <v>612</v>
      </c>
    </row>
    <row r="116" spans="2:2" ht="28">
      <c r="B116" s="472" t="s">
        <v>614</v>
      </c>
    </row>
    <row r="117" spans="2:2" ht="14">
      <c r="B117" s="472" t="s">
        <v>616</v>
      </c>
    </row>
    <row r="118" spans="2:2" ht="14">
      <c r="B118" s="472" t="s">
        <v>618</v>
      </c>
    </row>
    <row r="119" spans="2:2" ht="14">
      <c r="B119" s="472" t="s">
        <v>620</v>
      </c>
    </row>
    <row r="120" spans="2:2" ht="14">
      <c r="B120" s="472" t="s">
        <v>621</v>
      </c>
    </row>
    <row r="121" spans="2:2" ht="14">
      <c r="B121" s="472" t="s">
        <v>622</v>
      </c>
    </row>
    <row r="122" spans="2:2" ht="14">
      <c r="B122" s="472" t="s">
        <v>619</v>
      </c>
    </row>
    <row r="124" spans="2:2" ht="14">
      <c r="B124" s="472" t="s">
        <v>632</v>
      </c>
    </row>
    <row r="125" spans="2:2" ht="14">
      <c r="B125" s="472" t="s">
        <v>634</v>
      </c>
    </row>
    <row r="126" spans="2:2" ht="28">
      <c r="B126" s="472" t="s">
        <v>639</v>
      </c>
    </row>
    <row r="127" spans="2:2" ht="14">
      <c r="B127" s="472" t="s">
        <v>636</v>
      </c>
    </row>
    <row r="128" spans="2:2" ht="14">
      <c r="B128" s="472" t="s">
        <v>641</v>
      </c>
    </row>
    <row r="129" spans="2:2" ht="14">
      <c r="B129" s="472" t="s">
        <v>643</v>
      </c>
    </row>
    <row r="130" spans="2:2" ht="14">
      <c r="B130" s="472" t="s">
        <v>645</v>
      </c>
    </row>
    <row r="131" spans="2:2" ht="14">
      <c r="B131" s="472" t="s">
        <v>647</v>
      </c>
    </row>
    <row r="132" spans="2:2" ht="14">
      <c r="B132" s="472" t="s">
        <v>649</v>
      </c>
    </row>
    <row r="133" spans="2:2" ht="14">
      <c r="B133" s="472" t="s">
        <v>652</v>
      </c>
    </row>
    <row r="134" spans="2:2" ht="14">
      <c r="B134" s="472" t="s">
        <v>654</v>
      </c>
    </row>
    <row r="135" spans="2:2" ht="14">
      <c r="B135" s="472" t="s">
        <v>656</v>
      </c>
    </row>
    <row r="136" spans="2:2" ht="14">
      <c r="B136" s="472" t="s">
        <v>659</v>
      </c>
    </row>
    <row r="137" spans="2:2" ht="56">
      <c r="B137" s="472" t="s">
        <v>386</v>
      </c>
    </row>
    <row r="138" spans="2:2" ht="14">
      <c r="B138" s="472" t="s">
        <v>661</v>
      </c>
    </row>
    <row r="140" spans="2:2" ht="14">
      <c r="B140" s="472" t="s">
        <v>664</v>
      </c>
    </row>
    <row r="141" spans="2:2" ht="14">
      <c r="B141" s="472" t="s">
        <v>666</v>
      </c>
    </row>
    <row r="142" spans="2:2" ht="14">
      <c r="B142" s="472" t="s">
        <v>673</v>
      </c>
    </row>
    <row r="143" spans="2:2" ht="14">
      <c r="B143" s="472" t="s">
        <v>675</v>
      </c>
    </row>
    <row r="144" spans="2:2" ht="14">
      <c r="B144" s="472" t="s">
        <v>682</v>
      </c>
    </row>
    <row r="145" spans="2:2" ht="14">
      <c r="B145" s="472" t="s">
        <v>681</v>
      </c>
    </row>
    <row r="148" spans="2:2" ht="20">
      <c r="B148" s="471" t="s">
        <v>683</v>
      </c>
    </row>
    <row r="150" spans="2:2" ht="14">
      <c r="B150" s="472" t="s">
        <v>685</v>
      </c>
    </row>
    <row r="151" spans="2:2" ht="14">
      <c r="B151" s="472" t="s">
        <v>687</v>
      </c>
    </row>
    <row r="152" spans="2:2" ht="14">
      <c r="B152" s="472" t="s">
        <v>508</v>
      </c>
    </row>
    <row r="153" spans="2:2" ht="14">
      <c r="B153" s="472" t="s">
        <v>763</v>
      </c>
    </row>
    <row r="155" spans="2:2" ht="14">
      <c r="B155" s="472" t="s">
        <v>689</v>
      </c>
    </row>
    <row r="156" spans="2:2" ht="14">
      <c r="B156" s="472" t="s">
        <v>691</v>
      </c>
    </row>
    <row r="157" spans="2:2" ht="14">
      <c r="B157" s="472" t="s">
        <v>693</v>
      </c>
    </row>
    <row r="158" spans="2:2" ht="14">
      <c r="B158" s="472" t="s">
        <v>695</v>
      </c>
    </row>
    <row r="160" spans="2:2" ht="14">
      <c r="B160" s="472" t="s">
        <v>697</v>
      </c>
    </row>
    <row r="161" spans="2:2" ht="14">
      <c r="B161" s="472" t="s">
        <v>568</v>
      </c>
    </row>
    <row r="162" spans="2:2" ht="14">
      <c r="B162" s="472" t="s">
        <v>699</v>
      </c>
    </row>
    <row r="163" spans="2:2" ht="14">
      <c r="B163" s="472" t="s">
        <v>702</v>
      </c>
    </row>
    <row r="164" spans="2:2" ht="14">
      <c r="B164" s="472" t="s">
        <v>704</v>
      </c>
    </row>
    <row r="165" spans="2:2" ht="14">
      <c r="B165" s="472" t="s">
        <v>706</v>
      </c>
    </row>
    <row r="166" spans="2:2" ht="14">
      <c r="B166" s="472" t="s">
        <v>708</v>
      </c>
    </row>
    <row r="167" spans="2:2" ht="14">
      <c r="B167" s="472" t="s">
        <v>715</v>
      </c>
    </row>
    <row r="168" spans="2:2" ht="14">
      <c r="B168" s="472" t="s">
        <v>714</v>
      </c>
    </row>
    <row r="169" spans="2:2" ht="14">
      <c r="B169" s="472" t="s">
        <v>716</v>
      </c>
    </row>
    <row r="170" spans="2:2" ht="14">
      <c r="B170" s="472" t="s">
        <v>718</v>
      </c>
    </row>
    <row r="171" spans="2:2" ht="14">
      <c r="B171" s="472" t="s">
        <v>721</v>
      </c>
    </row>
    <row r="172" spans="2:2" ht="14">
      <c r="B172" s="472" t="s">
        <v>724</v>
      </c>
    </row>
    <row r="173" spans="2:2" ht="14">
      <c r="B173" s="472" t="s">
        <v>726</v>
      </c>
    </row>
    <row r="174" spans="2:2" ht="14">
      <c r="B174" s="472" t="s">
        <v>728</v>
      </c>
    </row>
    <row r="175" spans="2:2" ht="14">
      <c r="B175" s="472" t="s">
        <v>745</v>
      </c>
    </row>
    <row r="176" spans="2:2" ht="14">
      <c r="B176" s="472" t="s">
        <v>748</v>
      </c>
    </row>
    <row r="177" spans="2:2" ht="14">
      <c r="B177" s="472" t="s">
        <v>732</v>
      </c>
    </row>
    <row r="178" spans="2:2" ht="14">
      <c r="B178" s="472" t="s">
        <v>738</v>
      </c>
    </row>
    <row r="179" spans="2:2" ht="14">
      <c r="B179" s="472" t="s">
        <v>739</v>
      </c>
    </row>
    <row r="180" spans="2:2" ht="14">
      <c r="B180" s="472" t="s">
        <v>740</v>
      </c>
    </row>
    <row r="181" spans="2:2" ht="14">
      <c r="B181" s="472" t="s">
        <v>741</v>
      </c>
    </row>
    <row r="182" spans="2:2" ht="14">
      <c r="B182" s="472" t="s">
        <v>750</v>
      </c>
    </row>
    <row r="183" spans="2:2" ht="14">
      <c r="B183" s="472" t="s">
        <v>752</v>
      </c>
    </row>
    <row r="185" spans="2:2" ht="14">
      <c r="B185" s="472" t="s">
        <v>755</v>
      </c>
    </row>
    <row r="186" spans="2:2" ht="56">
      <c r="B186" s="472" t="s">
        <v>393</v>
      </c>
    </row>
    <row r="187" spans="2:2" ht="14">
      <c r="B187" s="472" t="s">
        <v>758</v>
      </c>
    </row>
    <row r="190" spans="2:2" ht="20">
      <c r="B190" s="471" t="s">
        <v>49</v>
      </c>
    </row>
    <row r="192" spans="2:2" ht="14">
      <c r="B192" s="472" t="s">
        <v>759</v>
      </c>
    </row>
  </sheetData>
  <customSheetViews>
    <customSheetView guid="{8967CA62-3554-8A40-ACFF-3515F2B518C8}" topLeftCell="A49">
      <selection activeCell="B81" sqref="B81"/>
      <pageMargins left="0.7" right="0.7" top="0.75" bottom="0.75" header="0.3" footer="0.3"/>
    </customSheetView>
    <customSheetView guid="{EB877D66-0749-4C48-89AA-FFA94A34014C}" state="hidden" topLeftCell="A49">
      <selection activeCell="N48" sqref="N48"/>
      <pageMargins left="0.7" right="0.7" top="0.75" bottom="0.75" header="0.3" footer="0.3"/>
    </customSheetView>
  </customSheetView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B4:B35"/>
  <sheetViews>
    <sheetView workbookViewId="0">
      <selection activeCell="N48" sqref="N48"/>
    </sheetView>
  </sheetViews>
  <sheetFormatPr baseColWidth="10" defaultRowHeight="13"/>
  <cols>
    <col min="1" max="1" width="10.83203125" style="221"/>
    <col min="2" max="2" width="90.33203125" style="221" customWidth="1"/>
    <col min="3" max="16384" width="10.83203125" style="221"/>
  </cols>
  <sheetData>
    <row r="4" spans="2:2" ht="20">
      <c r="B4" s="471" t="s">
        <v>525</v>
      </c>
    </row>
    <row r="6" spans="2:2" ht="14">
      <c r="B6" s="475" t="s">
        <v>488</v>
      </c>
    </row>
    <row r="8" spans="2:2">
      <c r="B8" s="221" t="str">
        <f ca="1">INDIRECT("'"&amp;Cover!$E$4&amp;"'!"&amp;CELL("address",E8))</f>
        <v>(a) Congenital syphilis case rate prior to 2019</v>
      </c>
    </row>
    <row r="9" spans="2:2">
      <c r="B9" s="221" t="str">
        <f ca="1">INDIRECT("'"&amp;Cover!$E$4&amp;"'!"&amp;CELL("address",E9))</f>
        <v>(b) Congenital syphilis case numbers prior to 2019</v>
      </c>
    </row>
    <row r="10" spans="2:2">
      <c r="B10" s="221" t="str">
        <f ca="1">INDIRECT("'"&amp;Cover!$E$4&amp;"'!"&amp;CELL("address",E10))</f>
        <v>Case rate per 100,000 live births</v>
      </c>
    </row>
    <row r="11" spans="2:2">
      <c r="B11" s="221" t="str">
        <f ca="1">INDIRECT("'"&amp;Cover!$E$4&amp;"'!"&amp;CELL("address",E11))</f>
        <v>Case numbers</v>
      </c>
    </row>
    <row r="12" spans="2:2">
      <c r="B12" s="221" t="str">
        <f ca="1">INDIRECT("'"&amp;Cover!$E$4&amp;"'!"&amp;CELL("address",E12))</f>
        <v>Year</v>
      </c>
    </row>
    <row r="13" spans="2:2">
      <c r="B13" s="221" t="str">
        <f ca="1">INDIRECT("'"&amp;Cover!$E$4&amp;"'!"&amp;CELL("address",E13))</f>
        <v>Trends in adverse birth outcomes over time as testing and treatment coverage increase for women with syphilis</v>
      </c>
    </row>
    <row r="15" spans="2:2" ht="14">
      <c r="B15" s="475" t="s">
        <v>545</v>
      </c>
    </row>
    <row r="17" spans="2:2">
      <c r="B17" s="221" t="str">
        <f ca="1">INDIRECT("'"&amp;Cover!$E$4&amp;"'!"&amp;CELL("address",E17))</f>
        <v>(2a) Congenital syphilis case rate per 100,000 live births</v>
      </c>
    </row>
    <row r="18" spans="2:2">
      <c r="B18" s="221" t="str">
        <f ca="1">INDIRECT("'"&amp;Cover!$E$4&amp;"'!"&amp;CELL("address",E18))</f>
        <v>(2b) Trend in number of congenital syphilis cases*</v>
      </c>
    </row>
    <row r="20" spans="2:2">
      <c r="B20" s="221" t="str">
        <f ca="1">INDIRECT("'"&amp;Cover!$E$4&amp;"'!"&amp;CELL("address",E20))</f>
        <v>3. Trends in adverse birth outcomes over time as testing and treatment coverage increase for women with syphilis</v>
      </c>
    </row>
    <row r="21" spans="2:2" ht="15" customHeight="1"/>
    <row r="22" spans="2:2">
      <c r="B22" s="221" t="str">
        <f ca="1">INDIRECT("'"&amp;Cover!$E$4&amp;"'!"&amp;CELL("address",E22))</f>
        <v>4. Cases averted over time as testing and treatment coverage increase for women with syphilis</v>
      </c>
    </row>
    <row r="23" spans="2:2" ht="17" customHeight="1"/>
    <row r="24" spans="2:2" ht="21" customHeight="1">
      <c r="B24" s="221" t="str">
        <f ca="1">INDIRECT("'"&amp;Cover!$E$4&amp;"'!"&amp;CELL("address",E24))</f>
        <v>5. Quantity of benzathine penicillin required over time as treatment coverage increases</v>
      </c>
    </row>
    <row r="25" spans="2:2">
      <c r="B25" s="221" t="str">
        <f ca="1">INDIRECT("'"&amp;Cover!$E$4&amp;"'!"&amp;CELL("address",E25))</f>
        <v>Doses needed per year for treatmet of pregnant women with syphilis (one dose of 2.4 MU BPG/woman)</v>
      </c>
    </row>
    <row r="27" spans="2:2">
      <c r="B27" s="221" t="str">
        <f ca="1">INDIRECT("'"&amp;Cover!$E$4&amp;"'!"&amp;CELL("address",E27))</f>
        <v>WHO elimination target</v>
      </c>
    </row>
    <row r="30" spans="2:2" ht="14">
      <c r="B30" s="475" t="s">
        <v>774</v>
      </c>
    </row>
    <row r="32" spans="2:2">
      <c r="B32" s="221" t="str">
        <f ca="1">INDIRECT("'"&amp;Cover!$E$4&amp;"'!"&amp;CELL("address",E32))</f>
        <v>Model predicted CS case rate</v>
      </c>
    </row>
    <row r="33" spans="2:2">
      <c r="B33" s="221" t="str">
        <f ca="1">INDIRECT("'"&amp;Cover!$E$4&amp;"'!"&amp;CELL("address",E33))</f>
        <v>User reported case rate</v>
      </c>
    </row>
    <row r="34" spans="2:2">
      <c r="B34" s="221" t="str">
        <f ca="1">INDIRECT("'"&amp;Cover!$E$4&amp;"'!"&amp;CELL("address",E34))</f>
        <v>User reported case number</v>
      </c>
    </row>
    <row r="35" spans="2:2">
      <c r="B35" s="221" t="str">
        <f ca="1">INDIRECT("'"&amp;Cover!$E$4&amp;"'!"&amp;CELL("address",E35))</f>
        <v>Model predicted CS case number</v>
      </c>
    </row>
  </sheetData>
  <customSheetViews>
    <customSheetView guid="{8967CA62-3554-8A40-ACFF-3515F2B518C8}">
      <selection activeCell="B24" sqref="B24"/>
      <pageMargins left="0.7" right="0.7" top="0.75" bottom="0.75" header="0.3" footer="0.3"/>
    </customSheetView>
    <customSheetView guid="{EB877D66-0749-4C48-89AA-FFA94A34014C}" state="hidden">
      <selection activeCell="N48" sqref="N48"/>
      <pageMargins left="0.7" right="0.7" top="0.75" bottom="0.75" header="0.3" footer="0.3"/>
    </customSheetView>
  </customSheetView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Y209"/>
  <sheetViews>
    <sheetView showGridLines="0" zoomScale="67" zoomScaleNormal="86" zoomScalePageLayoutView="86" workbookViewId="0">
      <selection activeCell="D24" sqref="D24"/>
    </sheetView>
  </sheetViews>
  <sheetFormatPr baseColWidth="10" defaultColWidth="10.83203125" defaultRowHeight="16"/>
  <cols>
    <col min="1" max="1" width="18.83203125" style="557" customWidth="1"/>
    <col min="2" max="2" width="5" style="557" customWidth="1"/>
    <col min="3" max="3" width="2.83203125" style="587" customWidth="1"/>
    <col min="4" max="4" width="18" style="558" customWidth="1"/>
    <col min="5" max="5" width="2" style="558" customWidth="1"/>
    <col min="6" max="6" width="12.6640625" style="558" customWidth="1"/>
    <col min="7" max="7" width="31.33203125" style="558" customWidth="1"/>
    <col min="8" max="18" width="9.5" style="558" customWidth="1"/>
    <col min="19" max="19" width="4.83203125" style="558" customWidth="1"/>
    <col min="20" max="20" width="8.1640625" style="558" customWidth="1"/>
    <col min="21" max="21" width="14.1640625" style="558" customWidth="1"/>
    <col min="22" max="22" width="6.33203125" style="558" customWidth="1"/>
    <col min="23" max="23" width="6.6640625" style="558" customWidth="1"/>
    <col min="24" max="24" width="5.1640625" style="558" customWidth="1"/>
    <col min="25" max="25" width="4.6640625" style="558" customWidth="1"/>
    <col min="26" max="27" width="8.1640625" style="558" customWidth="1"/>
    <col min="28" max="28" width="8.6640625" style="558" customWidth="1"/>
    <col min="29" max="29" width="8.1640625" style="558" customWidth="1"/>
    <col min="30" max="30" width="8.1640625" style="559" customWidth="1"/>
    <col min="31" max="36" width="8.1640625" style="558" customWidth="1"/>
    <col min="37" max="46" width="10.83203125" style="558"/>
    <col min="47" max="47" width="10.83203125" style="587"/>
    <col min="48" max="16384" width="10.83203125" style="558"/>
  </cols>
  <sheetData>
    <row r="1" spans="1:51">
      <c r="A1" s="557" t="s">
        <v>13</v>
      </c>
    </row>
    <row r="2" spans="1:51">
      <c r="A2" s="560" t="s">
        <v>12</v>
      </c>
      <c r="B2" s="560" t="s">
        <v>11</v>
      </c>
    </row>
    <row r="3" spans="1:51">
      <c r="A3" s="786" t="s">
        <v>928</v>
      </c>
    </row>
    <row r="4" spans="1:51">
      <c r="A4" s="786" t="s">
        <v>929</v>
      </c>
      <c r="B4" s="561">
        <v>0.01</v>
      </c>
      <c r="AD4" s="562"/>
    </row>
    <row r="5" spans="1:51" ht="17" thickBot="1">
      <c r="A5" s="786" t="s">
        <v>343</v>
      </c>
      <c r="B5" s="561">
        <v>0.02</v>
      </c>
      <c r="AD5" s="562"/>
    </row>
    <row r="6" spans="1:51" ht="31" customHeight="1">
      <c r="A6" s="786" t="s">
        <v>344</v>
      </c>
      <c r="B6" s="561">
        <v>0.03</v>
      </c>
      <c r="D6" s="563"/>
      <c r="E6" s="564"/>
      <c r="F6" s="564"/>
      <c r="G6" s="564"/>
      <c r="H6" s="564"/>
      <c r="I6" s="564"/>
      <c r="J6" s="564"/>
      <c r="K6" s="564"/>
      <c r="L6" s="564"/>
      <c r="M6" s="564"/>
      <c r="N6" s="702"/>
      <c r="O6" s="702"/>
      <c r="P6" s="702"/>
      <c r="Q6" s="702"/>
      <c r="R6" s="702"/>
      <c r="S6" s="702"/>
      <c r="T6" s="703"/>
      <c r="U6" s="567"/>
      <c r="V6" s="565"/>
      <c r="W6" s="567"/>
      <c r="X6" s="567"/>
      <c r="Y6" s="567"/>
      <c r="Z6" s="567"/>
      <c r="AA6" s="567"/>
      <c r="AB6" s="567"/>
      <c r="AC6" s="565"/>
      <c r="AD6" s="562"/>
      <c r="AE6" s="565"/>
      <c r="AO6" s="587"/>
      <c r="AP6" s="587"/>
      <c r="AQ6" s="587"/>
      <c r="AR6" s="587"/>
      <c r="AS6" s="587"/>
      <c r="AT6" s="587"/>
      <c r="AV6" s="587"/>
      <c r="AW6" s="587"/>
      <c r="AX6" s="587"/>
      <c r="AY6" s="587"/>
    </row>
    <row r="7" spans="1:51" ht="28">
      <c r="A7" s="786" t="s">
        <v>345</v>
      </c>
      <c r="B7" s="561">
        <v>0.04</v>
      </c>
      <c r="D7" s="566"/>
      <c r="E7" s="567"/>
      <c r="F7" s="567"/>
      <c r="G7" s="700"/>
      <c r="H7" s="568" t="str">
        <f ca="1">INDIRECT("'"&amp;Cover!$E$4&amp;"'!"&amp;CELL("address",B60))</f>
        <v>Select your country</v>
      </c>
      <c r="I7" s="795" t="s">
        <v>175</v>
      </c>
      <c r="J7" s="795"/>
      <c r="K7" s="567"/>
      <c r="L7" s="567"/>
      <c r="M7" s="567"/>
      <c r="N7" s="565"/>
      <c r="O7" s="565"/>
      <c r="P7" s="565"/>
      <c r="Q7" s="565"/>
      <c r="R7" s="565"/>
      <c r="S7" s="565"/>
      <c r="T7" s="704"/>
      <c r="U7" s="567"/>
      <c r="V7" s="565"/>
      <c r="W7" s="567"/>
      <c r="X7" s="567"/>
      <c r="Y7" s="567"/>
      <c r="Z7" s="567"/>
      <c r="AA7" s="567"/>
      <c r="AB7" s="567"/>
      <c r="AC7" s="565"/>
      <c r="AD7" s="569"/>
      <c r="AE7" s="565"/>
      <c r="AO7" s="587"/>
      <c r="AP7" s="587"/>
      <c r="AQ7" s="587"/>
      <c r="AR7" s="587"/>
      <c r="AS7" s="587"/>
      <c r="AT7" s="587"/>
      <c r="AV7" s="587"/>
      <c r="AW7" s="587"/>
      <c r="AX7" s="587"/>
      <c r="AY7" s="587"/>
    </row>
    <row r="8" spans="1:51" ht="17">
      <c r="A8" s="786" t="s">
        <v>865</v>
      </c>
      <c r="B8" s="561">
        <v>0.05</v>
      </c>
      <c r="D8" s="566"/>
      <c r="E8" s="567"/>
      <c r="F8" s="567"/>
      <c r="G8" s="567"/>
      <c r="H8" s="701"/>
      <c r="I8" s="567"/>
      <c r="J8" s="567"/>
      <c r="K8" s="567"/>
      <c r="L8" s="567"/>
      <c r="M8" s="567"/>
      <c r="N8" s="565"/>
      <c r="O8" s="565"/>
      <c r="P8" s="565"/>
      <c r="Q8" s="565"/>
      <c r="R8" s="565"/>
      <c r="S8" s="565"/>
      <c r="T8" s="704"/>
      <c r="U8" s="567"/>
      <c r="V8" s="565"/>
      <c r="W8" s="567"/>
      <c r="X8" s="567"/>
      <c r="Y8" s="567"/>
      <c r="Z8" s="567"/>
      <c r="AA8" s="567"/>
      <c r="AB8" s="567"/>
      <c r="AC8" s="565"/>
      <c r="AD8" s="569"/>
      <c r="AE8" s="565"/>
      <c r="AK8" s="570"/>
      <c r="AO8" s="587"/>
      <c r="AP8" s="587" t="s">
        <v>874</v>
      </c>
      <c r="AQ8" s="587" t="s">
        <v>873</v>
      </c>
      <c r="AR8" s="587" t="s">
        <v>814</v>
      </c>
      <c r="AS8" s="587" t="s">
        <v>873</v>
      </c>
      <c r="AT8" s="606">
        <v>0.05</v>
      </c>
      <c r="AU8" s="587" t="s">
        <v>880</v>
      </c>
      <c r="AV8" s="608">
        <v>1E-3</v>
      </c>
      <c r="AW8" s="587"/>
      <c r="AX8" s="587"/>
      <c r="AY8" s="587"/>
    </row>
    <row r="9" spans="1:51" ht="15" customHeight="1" thickBot="1">
      <c r="A9" s="786" t="s">
        <v>346</v>
      </c>
      <c r="B9" s="561">
        <v>0.06</v>
      </c>
      <c r="D9" s="705"/>
      <c r="E9" s="706"/>
      <c r="F9" s="706"/>
      <c r="G9" s="706"/>
      <c r="H9" s="706"/>
      <c r="I9" s="706"/>
      <c r="J9" s="706"/>
      <c r="K9" s="706"/>
      <c r="L9" s="706"/>
      <c r="M9" s="707"/>
      <c r="N9" s="706"/>
      <c r="O9" s="706"/>
      <c r="P9" s="706"/>
      <c r="Q9" s="706"/>
      <c r="R9" s="706"/>
      <c r="S9" s="706"/>
      <c r="T9" s="708"/>
      <c r="U9" s="565"/>
      <c r="W9" s="565"/>
      <c r="X9" s="565"/>
      <c r="Y9" s="565"/>
      <c r="Z9" s="565"/>
      <c r="AA9" s="565"/>
      <c r="AB9" s="565"/>
      <c r="AC9" s="565"/>
      <c r="AD9" s="569"/>
      <c r="AE9" s="565"/>
      <c r="AO9" s="587"/>
      <c r="AP9" s="587"/>
      <c r="AQ9" s="587" t="s">
        <v>876</v>
      </c>
      <c r="AR9" s="587" t="s">
        <v>815</v>
      </c>
      <c r="AS9" s="587" t="s">
        <v>877</v>
      </c>
      <c r="AT9" s="606">
        <v>0.1</v>
      </c>
      <c r="AU9" s="587" t="s">
        <v>877</v>
      </c>
      <c r="AV9" s="608">
        <v>2E-3</v>
      </c>
      <c r="AW9" s="587"/>
      <c r="AX9" s="587"/>
      <c r="AY9" s="587"/>
    </row>
    <row r="10" spans="1:51" ht="34">
      <c r="A10" s="786" t="s">
        <v>166</v>
      </c>
      <c r="B10" s="561">
        <v>7.0000000000000007E-2</v>
      </c>
      <c r="D10" s="571" t="str">
        <f ca="1">INDIRECT("'"&amp;Cover!$E$4&amp;"'!"&amp;CELL("address",B62))</f>
        <v>This page displays data for your country of interest which us used by the main prediction tool</v>
      </c>
      <c r="E10" s="571"/>
      <c r="F10" s="571"/>
      <c r="L10" s="565"/>
      <c r="M10" s="565"/>
      <c r="U10" s="565"/>
      <c r="W10" s="565"/>
      <c r="X10" s="565"/>
      <c r="Y10" s="565"/>
      <c r="Z10" s="565"/>
      <c r="AA10" s="565"/>
      <c r="AB10" s="565"/>
      <c r="AC10" s="565"/>
      <c r="AD10" s="569"/>
      <c r="AE10" s="565"/>
      <c r="AO10" s="587"/>
      <c r="AP10" s="587"/>
      <c r="AQ10" s="587" t="s">
        <v>877</v>
      </c>
      <c r="AR10" s="587"/>
      <c r="AS10" s="587"/>
      <c r="AT10" s="606">
        <v>0.15</v>
      </c>
      <c r="AU10" s="587" t="s">
        <v>889</v>
      </c>
      <c r="AV10" s="608">
        <v>3.0000000000000001E-3</v>
      </c>
      <c r="AW10" s="587"/>
      <c r="AX10" s="587"/>
      <c r="AY10" s="587"/>
    </row>
    <row r="11" spans="1:51" ht="17">
      <c r="A11" s="786" t="s">
        <v>368</v>
      </c>
      <c r="B11" s="561">
        <v>0.08</v>
      </c>
      <c r="D11" s="571" t="str">
        <f ca="1">INDIRECT("'"&amp;Cover!$E$4&amp;"'!"&amp;CELL("address",B63))</f>
        <v>The first row under each data heading displays the demographic data already pre-loaded in the tool for your country</v>
      </c>
      <c r="E11" s="571"/>
      <c r="F11" s="571"/>
      <c r="AD11" s="562"/>
      <c r="AO11" s="587"/>
      <c r="AP11" s="587"/>
      <c r="AQ11" s="587"/>
      <c r="AR11" s="587"/>
      <c r="AS11" s="587"/>
      <c r="AT11" s="606">
        <v>0.2</v>
      </c>
      <c r="AV11" s="608">
        <v>4.0000000000000001E-3</v>
      </c>
      <c r="AW11" s="587"/>
      <c r="AX11" s="587"/>
      <c r="AY11" s="587"/>
    </row>
    <row r="12" spans="1:51" ht="17">
      <c r="A12" s="786" t="s">
        <v>126</v>
      </c>
      <c r="B12" s="561">
        <v>0.09</v>
      </c>
      <c r="D12" s="571" t="str">
        <f ca="1">INDIRECT("'"&amp;Cover!$E$4&amp;"'!"&amp;CELL("address",B64))</f>
        <v>The second row under each data heading provides boxes where user data estimates can be entered if required</v>
      </c>
      <c r="E12" s="571"/>
      <c r="F12" s="571"/>
      <c r="AD12" s="572" t="str">
        <f>IF(Cover!$E$4="English","(2a) Congenital syphilis case rate per 100,000 live births
",IF(Cover!$E$4="Français", "(2a) Taux de cas de syphilis congénitale pour 100 000 naissances vivantes","(2a) Tasa de casos de sífilis congénita por 100,000 nacidos vivos"))</f>
        <v xml:space="preserve">(2a) Congenital syphilis case rate per 100,000 live births
</v>
      </c>
      <c r="AO12" s="587"/>
      <c r="AP12" s="587"/>
      <c r="AQ12" s="587"/>
      <c r="AR12" s="587"/>
      <c r="AS12" s="587"/>
      <c r="AT12" s="606">
        <v>0.25</v>
      </c>
      <c r="AV12" s="608">
        <v>5.0000000000000001E-3</v>
      </c>
      <c r="AW12" s="587"/>
      <c r="AX12" s="587"/>
      <c r="AY12" s="587"/>
    </row>
    <row r="13" spans="1:51" ht="16" customHeight="1">
      <c r="A13" s="557" t="s">
        <v>951</v>
      </c>
      <c r="B13" s="561">
        <v>0.1</v>
      </c>
      <c r="D13" s="571" t="str">
        <f ca="1">INDIRECT("'"&amp;Cover!$E$4&amp;"'!"&amp;CELL("address",B65))</f>
        <v>Data entered by the user will override estimates already pre-loaded in the tool. To return to pre-loaded data, please select the blank entry at the top each dropdown menu</v>
      </c>
      <c r="E13" s="571"/>
      <c r="F13" s="571"/>
      <c r="AD13" s="572" t="str">
        <f>IF(Cover!$E$4="English","(2b) Trend in number of congenital syphilis cases*
",IF(Cover!$E$4="Français", "(2b) Tendance du nombre de cas de syphilis congénitale *","(2b) Tendencia en el número de casos de sífilis congénita *"))</f>
        <v xml:space="preserve">(2b) Trend in number of congenital syphilis cases*
</v>
      </c>
      <c r="AO13" s="587"/>
      <c r="AP13" s="587"/>
      <c r="AQ13" s="587"/>
      <c r="AR13" s="587"/>
      <c r="AS13" s="587"/>
      <c r="AT13" s="606">
        <v>0.3</v>
      </c>
      <c r="AV13" s="608">
        <v>6.0000000000000001E-3</v>
      </c>
      <c r="AW13" s="587"/>
      <c r="AX13" s="587"/>
      <c r="AY13" s="587"/>
    </row>
    <row r="14" spans="1:51" ht="17" customHeight="1">
      <c r="A14" s="786" t="s">
        <v>798</v>
      </c>
      <c r="B14" s="561">
        <v>0.11</v>
      </c>
      <c r="D14" s="571" t="str">
        <f ca="1">INDIRECT("'"&amp;Cover!$E$4&amp;"'!"&amp;CELL("address",B66))</f>
        <v>Citations for country-level data are reported and can be viewed on the 'Citations' tab</v>
      </c>
      <c r="E14" s="571"/>
      <c r="F14" s="571"/>
      <c r="AD14" s="572" t="str">
        <f>IF(Cover!E4="English","3. Trends in adverse birth outcomes over time as testing and treatment coverage increase for women with syphilis",IF(Cover!E4="Français", "3. Tendances d'évolution défavorable de l'accouchement au fil du temps, à mesure que la couverture du dépistage et du traitement augmente chez les femmes atteintes de syphilis","3. Tendencias en los resultados adversos del nacimiento a lo largo del tiempo a medida que aumentan las pruebas y la cobertura de tratamiento para mujeres con sífilis"))</f>
        <v>3. Trends in adverse birth outcomes over time as testing and treatment coverage increase for women with syphilis</v>
      </c>
      <c r="AO14" s="587"/>
      <c r="AP14" s="587"/>
      <c r="AQ14" s="587"/>
      <c r="AR14" s="587" t="s">
        <v>767</v>
      </c>
      <c r="AS14" s="587"/>
      <c r="AT14" s="606">
        <v>0.35</v>
      </c>
      <c r="AV14" s="608">
        <v>7.0000000000000001E-3</v>
      </c>
      <c r="AW14" s="587"/>
      <c r="AX14" s="587"/>
      <c r="AY14" s="587"/>
    </row>
    <row r="15" spans="1:51" ht="47" customHeight="1">
      <c r="A15" s="786" t="s">
        <v>834</v>
      </c>
      <c r="B15" s="561">
        <v>0.12</v>
      </c>
      <c r="G15" s="573" t="str">
        <f ca="1">INDIRECT("'"&amp;Cover!$E$4&amp;"'!"&amp;CELL("address",B68))</f>
        <v>Table 1. Country demographic data</v>
      </c>
      <c r="H15" s="573"/>
      <c r="U15" s="574"/>
      <c r="AD15" s="572" t="str">
        <f>IF(Cover!E4="English","4. Cases averted over time as testing and treatment coverage increase for women with syphilis",IF(Cover!E4="Français", "4. Cas évités au fil du temps à mesure que le nombre de tests de dépistage et la couverture du traitement augmentent chez les femmes atteintes de syphilis","4. Casos evitados a lo largo del tiempo a medida que aumentan las pruebas y la cobertura de tratamiento para mujeres con sífilis"))</f>
        <v>4. Cases averted over time as testing and treatment coverage increase for women with syphilis</v>
      </c>
      <c r="AO15" s="587"/>
      <c r="AP15" s="587"/>
      <c r="AQ15" s="587"/>
      <c r="AR15" s="587" t="s">
        <v>881</v>
      </c>
      <c r="AS15" s="587"/>
      <c r="AT15" s="606">
        <v>0.4</v>
      </c>
      <c r="AV15" s="608">
        <v>8.0000000000000002E-3</v>
      </c>
      <c r="AW15" s="587"/>
      <c r="AX15" s="587"/>
      <c r="AY15" s="587"/>
    </row>
    <row r="16" spans="1:51" ht="21" customHeight="1">
      <c r="A16" s="786" t="s">
        <v>167</v>
      </c>
      <c r="B16" s="561">
        <v>0.13</v>
      </c>
      <c r="P16" s="575"/>
      <c r="U16" s="574"/>
      <c r="Y16" s="576"/>
      <c r="Z16" s="577"/>
      <c r="AA16" s="577"/>
      <c r="AB16" s="577"/>
      <c r="AC16" s="575"/>
      <c r="AD16" s="577"/>
      <c r="AE16" s="575"/>
      <c r="AF16" s="575"/>
      <c r="AG16" s="575"/>
      <c r="AH16" s="575"/>
      <c r="AI16" s="575"/>
      <c r="AJ16" s="575"/>
      <c r="AO16" s="587"/>
      <c r="AP16" s="587"/>
      <c r="AQ16" s="587"/>
      <c r="AR16" s="587" t="s">
        <v>882</v>
      </c>
      <c r="AS16" s="587"/>
      <c r="AT16" s="606">
        <v>0.45</v>
      </c>
      <c r="AV16" s="608">
        <v>8.9999999999999993E-3</v>
      </c>
      <c r="AW16" s="587"/>
      <c r="AX16" s="587"/>
      <c r="AY16" s="587"/>
    </row>
    <row r="17" spans="1:51" ht="34">
      <c r="A17" s="557" t="s">
        <v>952</v>
      </c>
      <c r="B17" s="561">
        <v>0.14000000000000001</v>
      </c>
      <c r="H17" s="578" t="str">
        <f ca="1">INDIRECT("'"&amp;Cover!$E$4&amp;"'!"&amp;CELL("address",B69))</f>
        <v>Year</v>
      </c>
      <c r="I17" s="578"/>
      <c r="J17" s="578"/>
      <c r="K17" s="578"/>
      <c r="L17" s="578"/>
      <c r="M17" s="578"/>
      <c r="N17" s="578"/>
      <c r="O17" s="578"/>
      <c r="P17" s="578"/>
      <c r="Q17" s="578"/>
      <c r="R17" s="578"/>
      <c r="S17" s="578"/>
      <c r="T17" s="578"/>
      <c r="AB17" s="579"/>
      <c r="AC17" s="579"/>
      <c r="AD17" s="580"/>
      <c r="AE17" s="579"/>
      <c r="AF17" s="579"/>
      <c r="AG17" s="579"/>
      <c r="AH17" s="579"/>
      <c r="AI17" s="579"/>
      <c r="AJ17" s="579"/>
      <c r="AO17" s="587"/>
      <c r="AP17" s="587"/>
      <c r="AQ17" s="587"/>
      <c r="AR17" s="587" t="s">
        <v>766</v>
      </c>
      <c r="AS17" s="587"/>
      <c r="AT17" s="606">
        <v>0.5</v>
      </c>
      <c r="AV17" s="608">
        <v>0.01</v>
      </c>
      <c r="AW17" s="587"/>
      <c r="AX17" s="587"/>
      <c r="AY17" s="587"/>
    </row>
    <row r="18" spans="1:51" ht="18">
      <c r="A18" s="786" t="s">
        <v>168</v>
      </c>
      <c r="B18" s="561">
        <v>0.15</v>
      </c>
      <c r="H18" s="581">
        <v>2010</v>
      </c>
      <c r="I18" s="581">
        <v>2011</v>
      </c>
      <c r="J18" s="581">
        <v>2012</v>
      </c>
      <c r="K18" s="581">
        <v>2013</v>
      </c>
      <c r="L18" s="581">
        <v>2014</v>
      </c>
      <c r="M18" s="581">
        <v>2015</v>
      </c>
      <c r="N18" s="581">
        <v>2016</v>
      </c>
      <c r="O18" s="581">
        <v>2017</v>
      </c>
      <c r="P18" s="581">
        <v>2018</v>
      </c>
      <c r="Q18" s="581">
        <v>2019</v>
      </c>
      <c r="R18" s="581">
        <v>2020</v>
      </c>
      <c r="S18" s="581"/>
      <c r="T18" s="581"/>
      <c r="Z18" s="582">
        <v>2020</v>
      </c>
      <c r="AA18" s="582">
        <v>2021</v>
      </c>
      <c r="AB18" s="582">
        <v>2022</v>
      </c>
      <c r="AC18" s="582">
        <v>2023</v>
      </c>
      <c r="AD18" s="582">
        <v>2024</v>
      </c>
      <c r="AE18" s="582">
        <v>2025</v>
      </c>
      <c r="AF18" s="582">
        <v>2026</v>
      </c>
      <c r="AG18" s="582">
        <v>2027</v>
      </c>
      <c r="AH18" s="582">
        <v>2028</v>
      </c>
      <c r="AI18" s="582">
        <v>2029</v>
      </c>
      <c r="AJ18" s="582">
        <v>2030</v>
      </c>
      <c r="AO18" s="587"/>
      <c r="AP18" s="587"/>
      <c r="AQ18" s="587"/>
      <c r="AR18" s="587"/>
      <c r="AS18" s="587"/>
      <c r="AT18" s="587"/>
      <c r="AV18" s="608">
        <v>1.0999999999999999E-2</v>
      </c>
      <c r="AW18" s="587"/>
      <c r="AX18" s="587"/>
      <c r="AY18" s="587"/>
    </row>
    <row r="19" spans="1:51" ht="34" customHeight="1">
      <c r="A19" s="786" t="s">
        <v>165</v>
      </c>
      <c r="B19" s="561">
        <v>0.16</v>
      </c>
      <c r="Z19" s="796" t="str">
        <f ca="1">INDIRECT("'"&amp;Cover!$E$4&amp;"'!"&amp;CELL("address",B82))</f>
        <v>Figure 1:  (a) Congenital syphilis case rate for your country of interest between 2012 and present (where data are available) and (b) Congenital syphilis case numbers between 2012 and present (where data available)</v>
      </c>
      <c r="AA19" s="796"/>
      <c r="AB19" s="796"/>
      <c r="AC19" s="796"/>
      <c r="AD19" s="796"/>
      <c r="AE19" s="796"/>
      <c r="AF19" s="796"/>
      <c r="AG19" s="796"/>
      <c r="AH19" s="796"/>
      <c r="AI19" s="796"/>
      <c r="AJ19" s="796"/>
      <c r="AK19" s="796"/>
      <c r="AL19" s="796"/>
      <c r="AM19" s="796"/>
      <c r="AN19" s="796"/>
      <c r="AO19" s="587"/>
      <c r="AP19" s="587"/>
      <c r="AQ19" s="587"/>
      <c r="AR19" s="587"/>
      <c r="AS19" s="587"/>
      <c r="AT19" s="587"/>
      <c r="AV19" s="608">
        <v>1.2E-2</v>
      </c>
      <c r="AW19" s="587"/>
      <c r="AX19" s="587"/>
      <c r="AY19" s="587"/>
    </row>
    <row r="20" spans="1:51" ht="21" customHeight="1">
      <c r="A20" s="786" t="s">
        <v>149</v>
      </c>
      <c r="B20" s="561">
        <v>0.17</v>
      </c>
      <c r="G20" s="618" t="str">
        <f ca="1">INDIRECT("'"&amp;Cover!$E$4&amp;"'!"&amp;CELL("address",E69))</f>
        <v>Are there missing data?</v>
      </c>
      <c r="H20" s="584" t="str">
        <f ca="1">IF('Data (Calculations)'!F50=1,INDIRECT("'"&amp;Cover!$E$4&amp;"'!"&amp;CELL("address",E60)), INDIRECT("'"&amp;Cover!$E$4&amp;"'!"&amp;CELL("address",E61)))</f>
        <v>Yes</v>
      </c>
      <c r="I20" s="584" t="str">
        <f ca="1">IF('Data (Calculations)'!G50=1,INDIRECT("'"&amp;Cover!$E$4&amp;"'!"&amp;CELL("address",E60)), INDIRECT("'"&amp;Cover!$E$4&amp;"'!"&amp;CELL("address",E61)))</f>
        <v>No</v>
      </c>
      <c r="J20" s="584" t="str">
        <f ca="1">IF('Data (Calculations)'!H50=1,INDIRECT("'"&amp;Cover!$E$4&amp;"'!"&amp;CELL("address",E60)), INDIRECT("'"&amp;Cover!$E$4&amp;"'!"&amp;CELL("address",E61)))</f>
        <v>No</v>
      </c>
      <c r="K20" s="584" t="str">
        <f ca="1">IF('Data (Calculations)'!I50=1,INDIRECT("'"&amp;Cover!$E$4&amp;"'!"&amp;CELL("address",E60)), INDIRECT("'"&amp;Cover!$E$4&amp;"'!"&amp;CELL("address",E61)))</f>
        <v>No</v>
      </c>
      <c r="L20" s="584" t="str">
        <f ca="1">IF('Data (Calculations)'!J50=1,INDIRECT("'"&amp;Cover!$E$4&amp;"'!"&amp;CELL("address",E60)), INDIRECT("'"&amp;Cover!$E$4&amp;"'!"&amp;CELL("address",E61)))</f>
        <v>No</v>
      </c>
      <c r="M20" s="584" t="str">
        <f ca="1">IF('Data (Calculations)'!K50=1,INDIRECT("'"&amp;Cover!$E$4&amp;"'!"&amp;CELL("address",E60)), INDIRECT("'"&amp;Cover!$E$4&amp;"'!"&amp;CELL("address",E61)))</f>
        <v>No</v>
      </c>
      <c r="N20" s="584" t="str">
        <f ca="1">IF('Data (Calculations)'!L50=1,INDIRECT("'"&amp;Cover!$E$4&amp;"'!"&amp;CELL("address",E60)), INDIRECT("'"&amp;Cover!$E$4&amp;"'!"&amp;CELL("address",E61)))</f>
        <v>No</v>
      </c>
      <c r="O20" s="584" t="str">
        <f ca="1">IF('Data (Calculations)'!M50=1,INDIRECT("'"&amp;Cover!$E$4&amp;"'!"&amp;CELL("address",E60)), INDIRECT("'"&amp;Cover!$E$4&amp;"'!"&amp;CELL("address",E61)))</f>
        <v>No</v>
      </c>
      <c r="P20" s="584" t="str">
        <f ca="1">IF('Data (Calculations)'!N50=1,INDIRECT("'"&amp;Cover!$E$4&amp;"'!"&amp;CELL("address",E60)), INDIRECT("'"&amp;Cover!$E$4&amp;"'!"&amp;CELL("address",E61)))</f>
        <v>Yes</v>
      </c>
      <c r="Q20" s="584" t="str">
        <f ca="1">IF('Data (Calculations)'!O50=1,INDIRECT("'"&amp;Cover!$E$4&amp;"'!"&amp;CELL("address",E60)), INDIRECT("'"&amp;Cover!$E$4&amp;"'!"&amp;CELL("address",E61)))</f>
        <v>No</v>
      </c>
      <c r="R20" s="584" t="str">
        <f ca="1">IF('Data (Calculations)'!P50=1,INDIRECT("'"&amp;Cover!$E$4&amp;"'!"&amp;CELL("address",E60)), INDIRECT("'"&amp;Cover!$E$4&amp;"'!"&amp;CELL("address",E61)))</f>
        <v>No</v>
      </c>
      <c r="Z20" s="577"/>
      <c r="AA20" s="577"/>
      <c r="AB20" s="577"/>
      <c r="AC20" s="577"/>
      <c r="AD20" s="586"/>
      <c r="AE20" s="577"/>
      <c r="AF20" s="577"/>
      <c r="AG20" s="577"/>
      <c r="AH20" s="577"/>
      <c r="AI20" s="577"/>
      <c r="AJ20" s="577"/>
      <c r="AK20" s="587"/>
      <c r="AL20" s="587"/>
      <c r="AM20" s="587"/>
      <c r="AO20" s="587"/>
      <c r="AP20" s="587"/>
      <c r="AQ20" s="587"/>
      <c r="AR20" s="587"/>
      <c r="AS20" s="587"/>
      <c r="AT20" s="587"/>
      <c r="AV20" s="608">
        <v>1.2999999999999999E-2</v>
      </c>
      <c r="AW20" s="587"/>
      <c r="AX20" s="587"/>
      <c r="AY20" s="587"/>
    </row>
    <row r="21" spans="1:51" ht="21" customHeight="1">
      <c r="A21" s="786" t="s">
        <v>169</v>
      </c>
      <c r="B21" s="561">
        <v>0.18</v>
      </c>
      <c r="AO21" s="587"/>
      <c r="AP21" s="587"/>
      <c r="AQ21" s="587"/>
      <c r="AR21" s="587"/>
      <c r="AS21" s="587"/>
      <c r="AT21" s="587"/>
      <c r="AV21" s="608">
        <v>1.4E-2</v>
      </c>
      <c r="AW21" s="587"/>
      <c r="AX21" s="587"/>
      <c r="AY21" s="587"/>
    </row>
    <row r="22" spans="1:51" ht="21" customHeight="1">
      <c r="A22" s="786" t="s">
        <v>153</v>
      </c>
      <c r="B22" s="561">
        <v>0.19</v>
      </c>
      <c r="D22" s="588" t="str">
        <f ca="1">INDIRECT("'"&amp;Cover!$E$4&amp;"'!"&amp;CELL("address",B74))</f>
        <v>Births, total region (surrogate measure for number of pregnant women)</v>
      </c>
      <c r="E22" s="588"/>
      <c r="F22" s="588"/>
      <c r="G22" s="589"/>
      <c r="H22" s="590"/>
      <c r="I22" s="590"/>
      <c r="J22" s="590"/>
      <c r="K22" s="590"/>
      <c r="L22" s="590"/>
      <c r="M22" s="590"/>
      <c r="N22" s="590"/>
      <c r="O22" s="590"/>
      <c r="P22" s="590"/>
      <c r="Q22" s="590"/>
      <c r="R22" s="590"/>
      <c r="S22" s="590"/>
      <c r="T22" s="590"/>
      <c r="Z22" s="591"/>
      <c r="AA22" s="591"/>
      <c r="AB22" s="591"/>
      <c r="AC22" s="591"/>
      <c r="AD22" s="592"/>
      <c r="AE22" s="591"/>
      <c r="AF22" s="591"/>
      <c r="AG22" s="591"/>
      <c r="AH22" s="591"/>
      <c r="AI22" s="591"/>
      <c r="AJ22" s="591"/>
      <c r="AK22" s="587"/>
      <c r="AL22" s="587"/>
      <c r="AM22" s="587"/>
      <c r="AO22" s="587"/>
      <c r="AP22" s="587"/>
      <c r="AQ22" s="587"/>
      <c r="AR22" s="587"/>
      <c r="AS22" s="587"/>
      <c r="AT22" s="587"/>
      <c r="AV22" s="608">
        <v>1.4999999999999999E-2</v>
      </c>
      <c r="AW22" s="587"/>
      <c r="AX22" s="587"/>
      <c r="AY22" s="587"/>
    </row>
    <row r="23" spans="1:51" ht="29" customHeight="1">
      <c r="A23" s="786" t="s">
        <v>170</v>
      </c>
      <c r="B23" s="561">
        <v>0.2</v>
      </c>
      <c r="D23" s="593" t="str">
        <f ca="1">INDIRECT("'"&amp;Cover!$E$4&amp;"'!"&amp;CELL("address",E70))</f>
        <v>Data to view</v>
      </c>
      <c r="E23" s="593"/>
      <c r="F23" s="593" t="str">
        <f ca="1">INDIRECT("'"&amp;Cover!$E$4&amp;"'!"&amp;CELL("address",E71))</f>
        <v>Use these estimates?</v>
      </c>
      <c r="N23" s="725"/>
      <c r="O23" s="725"/>
      <c r="P23" s="725"/>
      <c r="Q23" s="725"/>
      <c r="R23" s="725"/>
      <c r="Z23" s="591"/>
      <c r="AA23" s="591"/>
      <c r="AB23" s="591"/>
      <c r="AC23" s="591"/>
      <c r="AD23" s="592"/>
      <c r="AE23" s="591"/>
      <c r="AF23" s="591"/>
      <c r="AG23" s="591"/>
      <c r="AH23" s="591"/>
      <c r="AI23" s="591"/>
      <c r="AJ23" s="591"/>
      <c r="AK23" s="587"/>
      <c r="AL23" s="587"/>
      <c r="AM23" s="587"/>
      <c r="AO23" s="587"/>
      <c r="AP23" s="587"/>
      <c r="AQ23" s="587"/>
      <c r="AR23" s="587"/>
      <c r="AS23" s="587"/>
      <c r="AT23" s="587"/>
      <c r="AV23" s="608">
        <v>1.6E-2</v>
      </c>
      <c r="AW23" s="587"/>
      <c r="AX23" s="587"/>
      <c r="AY23" s="587"/>
    </row>
    <row r="24" spans="1:51" ht="21" customHeight="1">
      <c r="A24" s="786" t="s">
        <v>349</v>
      </c>
      <c r="B24" s="561">
        <v>0.21</v>
      </c>
      <c r="D24" s="714" t="s">
        <v>874</v>
      </c>
      <c r="E24" s="593"/>
      <c r="F24" s="715" t="s">
        <v>814</v>
      </c>
      <c r="G24" s="594" t="str">
        <f ca="1">INDIRECT("'"&amp;Cover!$E$4&amp;"'!"&amp;CELL("address",B71))</f>
        <v>Loaded estimate</v>
      </c>
      <c r="H24" s="558">
        <f>VLOOKUP($I$7&amp;Data!$D$24,'Live births'!1:154,MATCH(H18,'Live births'!1:1,0),0)</f>
        <v>26566075</v>
      </c>
      <c r="I24" s="558">
        <f>VLOOKUP($I$7&amp;Data!$D$24,'Live births'!1:154,MATCH(I18,'Live births'!1:1,0),0)</f>
        <v>26329745</v>
      </c>
      <c r="J24" s="558">
        <f>VLOOKUP($I$7&amp;Data!$D$24,'Live births'!1:154,MATCH(J18,'Live births'!1:1,0),0)</f>
        <v>26127686</v>
      </c>
      <c r="K24" s="558">
        <f>VLOOKUP($I$7&amp;Data!$D$24,'Live births'!1:154,MATCH(K18,'Live births'!1:1,0),0)</f>
        <v>25970276</v>
      </c>
      <c r="L24" s="558">
        <f>VLOOKUP($I$7&amp;Data!$D$24,'Live births'!1:154,MATCH(L18,'Live births'!1:1,0),0)</f>
        <v>25860462</v>
      </c>
      <c r="M24" s="558">
        <f>VLOOKUP($I$7&amp;Data!$D$24,'Live births'!1:154,MATCH(M18,'Live births'!1:1,0),0)</f>
        <v>25793674</v>
      </c>
      <c r="N24" s="558">
        <f>VLOOKUP($I$7&amp;Data!$D$24,'Live births'!1:154,MATCH(N18,'Live births'!1:1,0),0)</f>
        <v>25757827</v>
      </c>
      <c r="O24" s="558">
        <f>VLOOKUP($I$7&amp;Data!$D$24,'Live births'!1:154,MATCH(O18,'Live births'!1:1,0),0)</f>
        <v>25732835</v>
      </c>
      <c r="P24" s="558">
        <f>VLOOKUP($I$7&amp;Data!$D$24,'Live births'!1:154,MATCH(P18,'Live births'!1:1,0),0)</f>
        <v>25701683</v>
      </c>
      <c r="Q24" s="558">
        <f>VLOOKUP($I$7&amp;Data!$D$24,'Live births'!1:154,MATCH(Q18,'Live births'!1:1,0),0)</f>
        <v>25656209</v>
      </c>
      <c r="R24" s="558">
        <f>VLOOKUP($I$7&amp;Data!$D$24,'Live births'!1:154,MATCH(R18,'Live births'!1:1,0),0)</f>
        <v>25592063</v>
      </c>
      <c r="Z24" s="587" t="e">
        <f ca="1">IF(INDIRECT("'"&amp;Data!$I$7&amp;"'!"&amp;CELL("address",X10))="","NA",INDIRECT("'"&amp;Data!$I$7&amp;"'!"&amp;CELL("address",X$10)))</f>
        <v>#REF!</v>
      </c>
      <c r="AA24" s="587" t="e">
        <f ca="1">IF(INDIRECT("'"&amp;Data!$I$7&amp;"'!"&amp;CELL("address",Y10))="","NA",INDIRECT("'"&amp;Data!$I$7&amp;"'!"&amp;CELL("address",Y$10)))</f>
        <v>#REF!</v>
      </c>
      <c r="AB24" s="587" t="e">
        <f ca="1">IF(INDIRECT("'"&amp;Data!$I$7&amp;"'!"&amp;CELL("address",Z10))="","NA",INDIRECT("'"&amp;Data!$I$7&amp;"'!"&amp;CELL("address",Z$10)))</f>
        <v>#REF!</v>
      </c>
      <c r="AC24" s="587" t="e">
        <f ca="1">IF(INDIRECT("'"&amp;Data!$I$7&amp;"'!"&amp;CELL("address",AA10))="","NA",INDIRECT("'"&amp;Data!$I$7&amp;"'!"&amp;CELL("address",AA$10)))</f>
        <v>#REF!</v>
      </c>
      <c r="AD24" s="559" t="e">
        <f ca="1">IF(INDIRECT("'"&amp;Data!$I$7&amp;"'!"&amp;CELL("address",AB10))="","NA",INDIRECT("'"&amp;Data!$I$7&amp;"'!"&amp;CELL("address",AB$10)))</f>
        <v>#REF!</v>
      </c>
      <c r="AE24" s="587" t="e">
        <f ca="1">IF(INDIRECT("'"&amp;Data!$I$7&amp;"'!"&amp;CELL("address",AC10))="","NA",INDIRECT("'"&amp;Data!$I$7&amp;"'!"&amp;CELL("address",AC$10)))</f>
        <v>#REF!</v>
      </c>
      <c r="AF24" s="587" t="e">
        <f ca="1">IF(INDIRECT("'"&amp;Data!$I$7&amp;"'!"&amp;CELL("address",AD10))="","NA",INDIRECT("'"&amp;Data!$I$7&amp;"'!"&amp;CELL("address",AD$10)))</f>
        <v>#REF!</v>
      </c>
      <c r="AG24" s="587" t="e">
        <f ca="1">IF(INDIRECT("'"&amp;Data!$I$7&amp;"'!"&amp;CELL("address",AE10))="","NA",INDIRECT("'"&amp;Data!$I$7&amp;"'!"&amp;CELL("address",AE$10)))</f>
        <v>#REF!</v>
      </c>
      <c r="AH24" s="587" t="e">
        <f ca="1">IF(INDIRECT("'"&amp;Data!$I$7&amp;"'!"&amp;CELL("address",AF10))="","NA",INDIRECT("'"&amp;Data!$I$7&amp;"'!"&amp;CELL("address",AF$10)))</f>
        <v>#REF!</v>
      </c>
      <c r="AI24" s="587" t="e">
        <f ca="1">IF(INDIRECT("'"&amp;Data!$I$7&amp;"'!"&amp;CELL("address",AG10))="","NA",INDIRECT("'"&amp;Data!$I$7&amp;"'!"&amp;CELL("address",AG$10)))</f>
        <v>#REF!</v>
      </c>
      <c r="AJ24" s="587" t="e">
        <f ca="1">IF(INDIRECT("'"&amp;Data!$I$7&amp;"'!"&amp;CELL("address",AH10))="","NA",INDIRECT("'"&amp;Data!$I$7&amp;"'!"&amp;CELL("address",AH$10)))</f>
        <v>#REF!</v>
      </c>
      <c r="AK24" s="587"/>
      <c r="AL24" s="587"/>
      <c r="AM24" s="587"/>
      <c r="AO24" s="587"/>
      <c r="AP24" s="587"/>
      <c r="AQ24" s="587"/>
      <c r="AR24" s="587"/>
      <c r="AS24" s="587"/>
      <c r="AT24" s="587"/>
      <c r="AV24" s="608">
        <v>1.7000000000000001E-2</v>
      </c>
      <c r="AW24" s="587"/>
      <c r="AX24" s="587"/>
      <c r="AY24" s="587"/>
    </row>
    <row r="25" spans="1:51" ht="9" customHeight="1" thickBot="1">
      <c r="A25" s="786" t="s">
        <v>171</v>
      </c>
      <c r="B25" s="561">
        <v>0.22</v>
      </c>
      <c r="C25" s="561"/>
      <c r="D25" s="561"/>
      <c r="E25" s="561"/>
      <c r="F25" s="561"/>
      <c r="G25" s="594"/>
      <c r="N25" s="725"/>
      <c r="O25" s="725"/>
      <c r="P25" s="725"/>
      <c r="Q25" s="725"/>
      <c r="R25" s="725"/>
      <c r="Z25" s="587"/>
      <c r="AA25" s="587"/>
      <c r="AB25" s="587"/>
      <c r="AC25" s="587"/>
      <c r="AE25" s="587"/>
      <c r="AF25" s="587"/>
      <c r="AG25" s="587"/>
      <c r="AH25" s="587"/>
      <c r="AI25" s="587"/>
      <c r="AJ25" s="587"/>
      <c r="AK25" s="587"/>
      <c r="AL25" s="587"/>
      <c r="AM25" s="587"/>
      <c r="AO25" s="587"/>
      <c r="AP25" s="587"/>
      <c r="AQ25" s="587"/>
      <c r="AR25" s="587"/>
      <c r="AS25" s="587"/>
      <c r="AT25" s="587"/>
      <c r="AV25" s="608">
        <v>1.7999999999999999E-2</v>
      </c>
      <c r="AW25" s="587"/>
      <c r="AX25" s="587"/>
      <c r="AY25" s="587"/>
    </row>
    <row r="26" spans="1:51" ht="21" customHeight="1" thickBot="1">
      <c r="A26" s="786" t="s">
        <v>350</v>
      </c>
      <c r="B26" s="561">
        <v>0.23</v>
      </c>
      <c r="D26" s="593"/>
      <c r="E26" s="593"/>
      <c r="F26" s="593"/>
      <c r="G26" s="594" t="str">
        <f ca="1">INDIRECT("'"&amp;Cover!$E$4&amp;"'!"&amp;CELL("address",B72))</f>
        <v>User estimate</v>
      </c>
      <c r="H26" s="595"/>
      <c r="I26" s="595"/>
      <c r="J26" s="595"/>
      <c r="K26" s="595"/>
      <c r="L26" s="595"/>
      <c r="M26" s="595"/>
      <c r="N26" s="595"/>
      <c r="O26" s="595"/>
      <c r="P26" s="595"/>
      <c r="Q26" s="595"/>
      <c r="R26" s="595"/>
      <c r="Z26" s="577"/>
      <c r="AA26" s="577"/>
      <c r="AB26" s="577"/>
      <c r="AC26" s="577"/>
      <c r="AD26" s="586"/>
      <c r="AE26" s="577"/>
      <c r="AF26" s="577"/>
      <c r="AG26" s="577"/>
      <c r="AH26" s="577"/>
      <c r="AI26" s="577"/>
      <c r="AJ26" s="577"/>
      <c r="AK26" s="587"/>
      <c r="AL26" s="587"/>
      <c r="AM26" s="587"/>
      <c r="AO26" s="587"/>
      <c r="AP26" s="587"/>
      <c r="AQ26" s="587"/>
      <c r="AR26" s="587"/>
      <c r="AS26" s="587"/>
      <c r="AT26" s="587"/>
      <c r="AV26" s="608">
        <v>1.9E-2</v>
      </c>
      <c r="AW26" s="587"/>
      <c r="AX26" s="587"/>
      <c r="AY26" s="587"/>
    </row>
    <row r="27" spans="1:51" ht="21" customHeight="1">
      <c r="A27" s="786" t="s">
        <v>164</v>
      </c>
      <c r="B27" s="561">
        <v>0.24</v>
      </c>
      <c r="C27" s="820"/>
      <c r="G27" s="596"/>
      <c r="N27" s="725"/>
      <c r="O27" s="725"/>
      <c r="P27" s="725"/>
      <c r="Q27" s="725"/>
      <c r="R27" s="725"/>
      <c r="AO27" s="587"/>
      <c r="AP27" s="587"/>
      <c r="AQ27" s="587"/>
      <c r="AR27" s="587"/>
      <c r="AS27" s="587"/>
      <c r="AT27" s="587"/>
      <c r="AV27" s="608">
        <v>0.02</v>
      </c>
      <c r="AW27" s="587"/>
      <c r="AX27" s="587"/>
      <c r="AY27" s="587"/>
    </row>
    <row r="28" spans="1:51" ht="21" customHeight="1">
      <c r="A28" s="786" t="s">
        <v>152</v>
      </c>
      <c r="B28" s="561">
        <v>0.25</v>
      </c>
      <c r="C28" s="820"/>
      <c r="D28" s="588" t="str">
        <f ca="1">INDIRECT("'"&amp;Cover!$E$4&amp;"'!"&amp;CELL("address",B75))</f>
        <v>Syphilis prevalence in pregnant women</v>
      </c>
      <c r="E28" s="588"/>
      <c r="F28" s="588"/>
      <c r="G28" s="589"/>
      <c r="H28" s="590"/>
      <c r="I28" s="590"/>
      <c r="J28" s="590"/>
      <c r="K28" s="590"/>
      <c r="L28" s="590"/>
      <c r="M28" s="590"/>
      <c r="N28" s="726"/>
      <c r="O28" s="726"/>
      <c r="P28" s="726"/>
      <c r="Q28" s="726"/>
      <c r="R28" s="726"/>
      <c r="S28" s="590"/>
      <c r="T28" s="590"/>
      <c r="Z28" s="597"/>
      <c r="AA28" s="597"/>
      <c r="AB28" s="597"/>
      <c r="AC28" s="597"/>
      <c r="AD28" s="598"/>
      <c r="AE28" s="597"/>
      <c r="AF28" s="597"/>
      <c r="AG28" s="597"/>
      <c r="AH28" s="597"/>
      <c r="AI28" s="597"/>
      <c r="AJ28" s="597"/>
      <c r="AK28" s="587"/>
      <c r="AL28" s="587"/>
      <c r="AM28" s="587"/>
      <c r="AO28" s="587"/>
      <c r="AP28" s="587"/>
      <c r="AQ28" s="587"/>
      <c r="AR28" s="587"/>
      <c r="AS28" s="587"/>
      <c r="AT28" s="587"/>
      <c r="AV28" s="587"/>
      <c r="AW28" s="587"/>
      <c r="AX28" s="587"/>
      <c r="AY28" s="587"/>
    </row>
    <row r="29" spans="1:51" ht="21" customHeight="1">
      <c r="A29" s="786" t="s">
        <v>351</v>
      </c>
      <c r="B29" s="561">
        <v>0.26</v>
      </c>
      <c r="C29" s="820"/>
      <c r="D29" s="593" t="str">
        <f ca="1">INDIRECT("'"&amp;Cover!$E$4&amp;"'!"&amp;CELL("address",E70))</f>
        <v>Data to view</v>
      </c>
      <c r="E29" s="593"/>
      <c r="F29" s="593" t="str">
        <f ca="1">INDIRECT("'"&amp;Cover!$E$4&amp;"'!"&amp;CELL("address",E71))</f>
        <v>Use these estimates?</v>
      </c>
      <c r="G29" s="596"/>
      <c r="N29" s="725"/>
      <c r="O29" s="725"/>
      <c r="P29" s="725"/>
      <c r="Q29" s="725"/>
      <c r="R29" s="587" t="str">
        <f>IF(VLOOKUP($I$7&amp;Data!$D$30,Prevalence!1:310,MATCH(R18,Prevalence!1:1,0),0)="","NA",VLOOKUP($I$7&amp;Data!$D$30,Prevalence!1:310,MATCH(R18,Prevalence!1:1,0),0))</f>
        <v>NA</v>
      </c>
      <c r="Z29" s="597"/>
      <c r="AA29" s="597"/>
      <c r="AB29" s="597"/>
      <c r="AC29" s="597"/>
      <c r="AD29" s="598"/>
      <c r="AE29" s="597"/>
      <c r="AF29" s="597"/>
      <c r="AG29" s="597"/>
      <c r="AH29" s="597"/>
      <c r="AI29" s="597"/>
      <c r="AJ29" s="597"/>
      <c r="AK29" s="587"/>
      <c r="AL29" s="587"/>
      <c r="AM29" s="587"/>
      <c r="AO29" s="587"/>
      <c r="AP29" s="587"/>
      <c r="AQ29" s="587"/>
      <c r="AR29" s="587"/>
      <c r="AS29" s="587"/>
      <c r="AT29" s="587"/>
      <c r="AV29" s="587"/>
      <c r="AW29" s="587"/>
      <c r="AX29" s="587"/>
      <c r="AY29" s="587"/>
    </row>
    <row r="30" spans="1:51" ht="21" customHeight="1" thickBot="1">
      <c r="A30" s="786" t="s">
        <v>172</v>
      </c>
      <c r="B30" s="561">
        <v>0.27</v>
      </c>
      <c r="C30" s="820"/>
      <c r="D30" s="714" t="s">
        <v>873</v>
      </c>
      <c r="E30" s="593"/>
      <c r="F30" s="716" t="s">
        <v>814</v>
      </c>
      <c r="G30" s="594" t="str">
        <f ca="1">INDIRECT("'"&amp;Cover!$E$4&amp;"'!"&amp;CELL("address",B71))</f>
        <v>Loaded estimate</v>
      </c>
      <c r="H30" s="599">
        <f>IF(VLOOKUP($I$7&amp;Data!$D$30,Prevalence!1:310,MATCH(H18,Prevalence!1:1,0),0)="","NA",VLOOKUP($I$7&amp;Data!$D$30,Prevalence!1:310,MATCH(H18,Prevalence!1:1,0),0))</f>
        <v>3.5000000000000001E-3</v>
      </c>
      <c r="I30" s="599">
        <f>IF(VLOOKUP($I$7&amp;Data!$D$30,Prevalence!1:310,MATCH(I18,Prevalence!1:1,0),0)="","NA",VLOOKUP($I$7&amp;Data!$D$30,Prevalence!1:310,MATCH(I18,Prevalence!1:1,0),0))</f>
        <v>2.8999999999999998E-3</v>
      </c>
      <c r="J30" s="599">
        <f>IF(VLOOKUP($I$7&amp;Data!$D$30,Prevalence!1:310,MATCH(J18,Prevalence!1:1,0),0)="","NA",VLOOKUP($I$7&amp;Data!$D$30,Prevalence!1:310,MATCH(J18,Prevalence!1:1,0),0))</f>
        <v>6.4000000000000003E-3</v>
      </c>
      <c r="K30" s="599">
        <f>IF(VLOOKUP($I$7&amp;Data!$D$30,Prevalence!1:310,MATCH(K18,Prevalence!1:1,0),0)="","NA",VLOOKUP($I$7&amp;Data!$D$30,Prevalence!1:310,MATCH(K18,Prevalence!1:1,0),0))</f>
        <v>8.9999999999999998E-4</v>
      </c>
      <c r="L30" s="599">
        <f>IF(VLOOKUP($I$7&amp;Data!$D$30,Prevalence!1:310,MATCH(L18,Prevalence!1:1,0),0)="","NA",VLOOKUP($I$7&amp;Data!$D$30,Prevalence!1:310,MATCH(L18,Prevalence!1:1,0),0))</f>
        <v>2.3E-3</v>
      </c>
      <c r="M30" s="599">
        <f>IF(VLOOKUP($I$7&amp;Data!$D$30,Prevalence!1:310,MATCH(M18,Prevalence!1:1,0),0)="","NA",VLOOKUP($I$7&amp;Data!$D$30,Prevalence!1:310,MATCH(M18,Prevalence!1:1,0),0))</f>
        <v>2.0999999999999999E-3</v>
      </c>
      <c r="N30" s="727">
        <f>IF(VLOOKUP($I$7&amp;Data!$D$30,Prevalence!1:310,MATCH(N18,Prevalence!1:1,0),0)="","NA",VLOOKUP($I$7&amp;Data!$D$30,Prevalence!1:310,MATCH(N18,Prevalence!1:1,0),0))</f>
        <v>8.9999999999999998E-4</v>
      </c>
      <c r="O30" s="727">
        <f>IF(VLOOKUP($I$7&amp;Data!$D$30,Prevalence!1:310,MATCH(O18,Prevalence!1:1,0),0)="","NA",VLOOKUP($I$7&amp;Data!$D$30,Prevalence!1:310,MATCH(O18,Prevalence!1:1,0),0))</f>
        <v>1E-3</v>
      </c>
      <c r="P30" s="727" t="str">
        <f>IF(VLOOKUP($I$7&amp;Data!$D$30,Prevalence!1:310,MATCH(P18,Prevalence!1:1,0),0)="","NA",VLOOKUP($I$7&amp;Data!$D$30,Prevalence!1:310,MATCH(P18,Prevalence!1:1,0),0))</f>
        <v>NA</v>
      </c>
      <c r="Q30" s="727">
        <f>IF(VLOOKUP($I$7&amp;Data!$D$30,Prevalence!1:310,MATCH(Q18,Prevalence!1:1,0),0)="","NA",VLOOKUP($I$7&amp;Data!$D$30,Prevalence!1:310,MATCH(Q18,Prevalence!1:1,0),0))</f>
        <v>9.6341080571743845E-4</v>
      </c>
      <c r="R30" s="727">
        <f>IF(R29="NA",Q30,R29)</f>
        <v>9.6341080571743845E-4</v>
      </c>
      <c r="T30" s="593" t="str">
        <f ca="1">INDIRECT("'"&amp;Cover!$E$4&amp;"'!"&amp;CELL("address",E72))</f>
        <v>The true values are within</v>
      </c>
      <c r="Z30" s="600" t="e">
        <f ca="1">IF(INDIRECT("'"&amp;Data!$I$7&amp;"'!"&amp;CELL("address",X13))="","NA",INDIRECT("'"&amp;Data!$I$7&amp;"'!"&amp;CELL("address",X$13)))</f>
        <v>#REF!</v>
      </c>
      <c r="AA30" s="600" t="e">
        <f ca="1">IF(INDIRECT("'"&amp;Data!$I$7&amp;"'!"&amp;CELL("address",Y13))="","NA",INDIRECT("'"&amp;Data!$I$7&amp;"'!"&amp;CELL("address",Y$13)))</f>
        <v>#REF!</v>
      </c>
      <c r="AB30" s="600" t="e">
        <f ca="1">IF(INDIRECT("'"&amp;Data!$I$7&amp;"'!"&amp;CELL("address",Z13))="","NA",INDIRECT("'"&amp;Data!$I$7&amp;"'!"&amp;CELL("address",Z$13)))</f>
        <v>#REF!</v>
      </c>
      <c r="AC30" s="600" t="e">
        <f ca="1">IF(INDIRECT("'"&amp;Data!$I$7&amp;"'!"&amp;CELL("address",AA13))="","NA",INDIRECT("'"&amp;Data!$I$7&amp;"'!"&amp;CELL("address",AA$13)))</f>
        <v>#REF!</v>
      </c>
      <c r="AD30" s="601" t="e">
        <f ca="1">IF(INDIRECT("'"&amp;Data!$I$7&amp;"'!"&amp;CELL("address",AB13))="","NA",INDIRECT("'"&amp;Data!$I$7&amp;"'!"&amp;CELL("address",AB$13)))</f>
        <v>#REF!</v>
      </c>
      <c r="AE30" s="600" t="e">
        <f ca="1">IF(INDIRECT("'"&amp;Data!$I$7&amp;"'!"&amp;CELL("address",AC13))="","NA",INDIRECT("'"&amp;Data!$I$7&amp;"'!"&amp;CELL("address",AC$13)))</f>
        <v>#REF!</v>
      </c>
      <c r="AF30" s="600" t="e">
        <f ca="1">IF(INDIRECT("'"&amp;Data!$I$7&amp;"'!"&amp;CELL("address",AD13))="","NA",INDIRECT("'"&amp;Data!$I$7&amp;"'!"&amp;CELL("address",AD$13)))</f>
        <v>#REF!</v>
      </c>
      <c r="AG30" s="600" t="e">
        <f ca="1">IF(INDIRECT("'"&amp;Data!$I$7&amp;"'!"&amp;CELL("address",AE13))="","NA",INDIRECT("'"&amp;Data!$I$7&amp;"'!"&amp;CELL("address",AE$13)))</f>
        <v>#REF!</v>
      </c>
      <c r="AH30" s="600" t="e">
        <f ca="1">IF(INDIRECT("'"&amp;Data!$I$7&amp;"'!"&amp;CELL("address",AF13))="","NA",INDIRECT("'"&amp;Data!$I$7&amp;"'!"&amp;CELL("address",AF$13)))</f>
        <v>#REF!</v>
      </c>
      <c r="AI30" s="600" t="e">
        <f ca="1">IF(INDIRECT("'"&amp;Data!$I$7&amp;"'!"&amp;CELL("address",AG13))="","NA",INDIRECT("'"&amp;Data!$I$7&amp;"'!"&amp;CELL("address",AG$13)))</f>
        <v>#REF!</v>
      </c>
      <c r="AJ30" s="600" t="e">
        <f ca="1">IF(INDIRECT("'"&amp;Data!$I$7&amp;"'!"&amp;CELL("address",AH13))="","NA",INDIRECT("'"&amp;Data!$I$7&amp;"'!"&amp;CELL("address",AH$13)))</f>
        <v>#REF!</v>
      </c>
      <c r="AK30" s="600"/>
      <c r="AL30" s="587"/>
      <c r="AM30" s="587"/>
      <c r="AO30" s="587"/>
      <c r="AP30" s="587"/>
      <c r="AQ30" s="587"/>
      <c r="AR30" s="587"/>
      <c r="AS30" s="587"/>
      <c r="AT30" s="587"/>
      <c r="AV30" s="587"/>
      <c r="AW30" s="587"/>
      <c r="AX30" s="587"/>
      <c r="AY30" s="587"/>
    </row>
    <row r="31" spans="1:51" ht="21" customHeight="1" thickBot="1">
      <c r="A31" s="786" t="s">
        <v>352</v>
      </c>
      <c r="B31" s="561">
        <v>0.28000000000000003</v>
      </c>
      <c r="C31" s="820"/>
      <c r="D31" s="602"/>
      <c r="E31" s="602"/>
      <c r="F31" s="602"/>
      <c r="G31" s="594" t="str">
        <f ca="1">INDIRECT("'"&amp;Cover!$E$4&amp;"'!"&amp;CELL("address",B72))</f>
        <v>User estimate</v>
      </c>
      <c r="H31" s="603"/>
      <c r="I31" s="603"/>
      <c r="J31" s="603"/>
      <c r="K31" s="603"/>
      <c r="L31" s="603"/>
      <c r="M31" s="603"/>
      <c r="N31" s="603"/>
      <c r="O31" s="603"/>
      <c r="P31" s="603"/>
      <c r="Q31" s="603"/>
      <c r="R31" s="603"/>
      <c r="T31" s="717">
        <v>1E-3</v>
      </c>
      <c r="U31" s="593" t="str">
        <f ca="1">INDIRECT("'"&amp;Cover!$E$4&amp;"'!"&amp;CELL("address",E73))</f>
        <v>of the values used</v>
      </c>
      <c r="Z31" s="577"/>
      <c r="AA31" s="577"/>
      <c r="AB31" s="577"/>
      <c r="AC31" s="577"/>
      <c r="AD31" s="586"/>
      <c r="AE31" s="577"/>
      <c r="AF31" s="577"/>
      <c r="AG31" s="577"/>
      <c r="AH31" s="577"/>
      <c r="AI31" s="577"/>
      <c r="AJ31" s="577"/>
      <c r="AK31" s="587"/>
      <c r="AL31" s="587"/>
      <c r="AM31" s="587"/>
    </row>
    <row r="32" spans="1:51" ht="21" customHeight="1">
      <c r="A32" s="786" t="s">
        <v>353</v>
      </c>
      <c r="B32" s="561">
        <v>0.28999999999999998</v>
      </c>
      <c r="C32" s="820"/>
      <c r="G32" s="594"/>
      <c r="N32" s="725"/>
      <c r="O32" s="725"/>
      <c r="P32" s="725"/>
      <c r="Q32" s="725"/>
      <c r="R32" s="725"/>
      <c r="Z32" s="604" t="e">
        <f ca="1">IF(Z30="NA","NA",INDIRECT("'"&amp;Data!$I$7&amp;"'!"&amp;CELL("address",P$30)))</f>
        <v>#REF!</v>
      </c>
      <c r="AA32" s="604" t="e">
        <f ca="1">IF(AA30="NA","NA",INDIRECT("'"&amp;Data!$I$7&amp;"'!"&amp;CELL("address",Q$30)))</f>
        <v>#REF!</v>
      </c>
      <c r="AB32" s="604" t="e">
        <f ca="1">IF(AB30="NA","NA",INDIRECT("'"&amp;Data!$I$7&amp;"'!"&amp;CELL("address",Z$30)))</f>
        <v>#REF!</v>
      </c>
      <c r="AC32" s="604" t="e">
        <f ca="1">IF(AC30="NA","NA",INDIRECT("'"&amp;Data!$I$7&amp;"'!"&amp;CELL("address",AA$30)))</f>
        <v>#REF!</v>
      </c>
      <c r="AD32" s="605" t="e">
        <f ca="1">IF(AD30="NA","NA",INDIRECT("'"&amp;Data!$I$7&amp;"'!"&amp;CELL("address",AB$30)))</f>
        <v>#REF!</v>
      </c>
      <c r="AE32" s="604" t="e">
        <f ca="1">IF(AE30="NA","NA",INDIRECT("'"&amp;Data!$I$7&amp;"'!"&amp;CELL("address",AC$30)))</f>
        <v>#REF!</v>
      </c>
      <c r="AF32" s="604" t="e">
        <f ca="1">IF(AF30="NA","NA",INDIRECT("'"&amp;Data!$I$7&amp;"'!"&amp;CELL("address",AD$30)))</f>
        <v>#REF!</v>
      </c>
      <c r="AG32" s="604" t="e">
        <f ca="1">IF(AG30="NA","NA",INDIRECT("'"&amp;Data!$I$7&amp;"'!"&amp;CELL("address",AE$30)))</f>
        <v>#REF!</v>
      </c>
      <c r="AH32" s="604" t="e">
        <f ca="1">IF(AH30="NA","NA",INDIRECT("'"&amp;Data!$I$7&amp;"'!"&amp;CELL("address",AF$30)))</f>
        <v>#REF!</v>
      </c>
      <c r="AI32" s="604" t="e">
        <f ca="1">IF(AI30="NA","NA",INDIRECT("'"&amp;Data!$I$7&amp;"'!"&amp;CELL("address",AG$30)))</f>
        <v>#REF!</v>
      </c>
      <c r="AJ32" s="604" t="e">
        <f ca="1">IF(AJ30="NA","NA",INDIRECT("'"&amp;Data!$I$7&amp;"'!"&amp;CELL("address",AH$30)))</f>
        <v>#REF!</v>
      </c>
      <c r="AK32" s="606"/>
      <c r="AL32" s="587"/>
      <c r="AM32" s="587"/>
    </row>
    <row r="33" spans="1:39" ht="21" customHeight="1">
      <c r="A33" s="786" t="s">
        <v>129</v>
      </c>
      <c r="B33" s="561">
        <v>0.3</v>
      </c>
      <c r="D33" s="588" t="str">
        <f ca="1">INDIRECT("'"&amp;Cover!$E$4&amp;"'!"&amp;CELL("address",B77))</f>
        <v>ANC1 coverage *</v>
      </c>
      <c r="E33" s="588"/>
      <c r="F33" s="588"/>
      <c r="G33" s="589"/>
      <c r="H33" s="590"/>
      <c r="I33" s="590"/>
      <c r="J33" s="590"/>
      <c r="K33" s="590"/>
      <c r="L33" s="590"/>
      <c r="M33" s="590"/>
      <c r="N33" s="726"/>
      <c r="O33" s="726"/>
      <c r="P33" s="726"/>
      <c r="Q33" s="726"/>
      <c r="R33" s="726"/>
      <c r="S33" s="590"/>
      <c r="T33" s="590"/>
      <c r="Z33" s="591"/>
      <c r="AA33" s="591"/>
      <c r="AB33" s="591"/>
      <c r="AC33" s="591"/>
      <c r="AD33" s="592"/>
      <c r="AE33" s="591"/>
      <c r="AF33" s="591"/>
      <c r="AG33" s="591"/>
      <c r="AH33" s="591"/>
      <c r="AI33" s="591"/>
      <c r="AJ33" s="591"/>
      <c r="AK33" s="591"/>
      <c r="AL33" s="587"/>
      <c r="AM33" s="587"/>
    </row>
    <row r="34" spans="1:39" ht="18" customHeight="1">
      <c r="A34" s="786" t="s">
        <v>128</v>
      </c>
      <c r="B34" s="561">
        <v>0.31</v>
      </c>
      <c r="D34" s="593" t="str">
        <f ca="1">INDIRECT("'"&amp;Cover!$E$4&amp;"'!"&amp;CELL("address",E70))</f>
        <v>Data to view</v>
      </c>
      <c r="E34" s="593"/>
      <c r="F34" s="593" t="str">
        <f ca="1">INDIRECT("'"&amp;Cover!$E$4&amp;"'!"&amp;CELL("address",E71))</f>
        <v>Use these estimates?</v>
      </c>
      <c r="G34" s="596"/>
      <c r="N34" s="725"/>
      <c r="O34" s="725"/>
      <c r="P34" s="725"/>
      <c r="Q34" s="725"/>
      <c r="R34" s="587" t="str">
        <f>IF(VLOOKUP($I$7&amp;Data!$D$35,'ANC1'!1:310,MATCH(R18,'ANC1'!1:1,0),0)="","NA",VLOOKUP($I$7&amp;Data!$D$35,'ANC1'!1:310,MATCH(R18,'ANC1'!1:1,0),0))</f>
        <v>NA</v>
      </c>
      <c r="Z34" s="591"/>
      <c r="AA34" s="591"/>
      <c r="AB34" s="591"/>
      <c r="AC34" s="591"/>
      <c r="AD34" s="592"/>
      <c r="AE34" s="591"/>
      <c r="AF34" s="591"/>
      <c r="AG34" s="591"/>
      <c r="AH34" s="591"/>
      <c r="AI34" s="591"/>
      <c r="AJ34" s="591"/>
      <c r="AK34" s="591"/>
      <c r="AL34" s="587"/>
      <c r="AM34" s="587"/>
    </row>
    <row r="35" spans="1:39" ht="21" customHeight="1" thickBot="1">
      <c r="A35" s="786" t="s">
        <v>835</v>
      </c>
      <c r="B35" s="561">
        <v>0.32</v>
      </c>
      <c r="D35" s="714" t="s">
        <v>873</v>
      </c>
      <c r="E35" s="607"/>
      <c r="F35" s="716" t="s">
        <v>814</v>
      </c>
      <c r="G35" s="594" t="str">
        <f ca="1">INDIRECT("'"&amp;Cover!$E$4&amp;"'!"&amp;CELL("address",B71))</f>
        <v>Loaded estimate</v>
      </c>
      <c r="H35" s="818" t="str">
        <f>IF(VLOOKUP($I$7&amp;Data!$D$35,'ANC1'!1:310,MATCH(H18,'ANC1'!1:1,0),0)="","NA",VLOOKUP($I$7&amp;Data!$D$35,'ANC1'!1:310,MATCH(H18,'ANC1'!1:1,0),0))</f>
        <v>NA</v>
      </c>
      <c r="I35" s="818">
        <f>IF(VLOOKUP($I$7&amp;Data!$D$35,'ANC1'!1:310,MATCH(I18,'ANC1'!1:1,0),0)="","NA",VLOOKUP($I$7&amp;Data!$D$35,'ANC1'!1:310,MATCH(I18,'ANC1'!1:1,0),0))</f>
        <v>7.0496618938010985E-2</v>
      </c>
      <c r="J35" s="818">
        <f>IF(VLOOKUP($I$7&amp;Data!$D$35,'ANC1'!1:310,MATCH(J18,'ANC1'!1:1,0),0)="","NA",VLOOKUP($I$7&amp;Data!$D$35,'ANC1'!1:310,MATCH(J18,'ANC1'!1:1,0),0))</f>
        <v>0.10739753225754474</v>
      </c>
      <c r="K35" s="818">
        <f>IF(VLOOKUP($I$7&amp;Data!$D$35,'ANC1'!1:310,MATCH(K18,'ANC1'!1:1,0),0)="","NA",VLOOKUP($I$7&amp;Data!$D$35,'ANC1'!1:310,MATCH(K18,'ANC1'!1:1,0),0))</f>
        <v>0.15339313298018087</v>
      </c>
      <c r="L35" s="818">
        <f>IF(VLOOKUP($I$7&amp;Data!$D$35,'ANC1'!1:310,MATCH(L18,'ANC1'!1:1,0),0)="","NA",VLOOKUP($I$7&amp;Data!$D$35,'ANC1'!1:310,MATCH(L18,'ANC1'!1:1,0),0))</f>
        <v>0.14560513265385591</v>
      </c>
      <c r="M35" s="818">
        <f>IF(VLOOKUP($I$7&amp;Data!$D$35,'ANC1'!1:310,MATCH(M18,'ANC1'!1:1,0),0)="","NA",VLOOKUP($I$7&amp;Data!$D$35,'ANC1'!1:310,MATCH(M18,'ANC1'!1:1,0),0))</f>
        <v>0.14811693750956145</v>
      </c>
      <c r="N35" s="819">
        <f>IF(VLOOKUP($I$7&amp;Data!$D$35,'ANC1'!1:310,MATCH(N18,'ANC1'!1:1,0),0)="","NA",VLOOKUP($I$7&amp;Data!$D$35,'ANC1'!1:310,MATCH(N18,'ANC1'!1:1,0),0))</f>
        <v>0.16847597431258468</v>
      </c>
      <c r="O35" s="819">
        <f>IF(VLOOKUP($I$7&amp;Data!$D$35,'ANC1'!1:310,MATCH(O18,'ANC1'!1:1,0),0)="","NA",VLOOKUP($I$7&amp;Data!$D$35,'ANC1'!1:310,MATCH(O18,'ANC1'!1:1,0),0))</f>
        <v>1</v>
      </c>
      <c r="P35" s="819" t="str">
        <f>IF(VLOOKUP($I$7&amp;Data!$D$35,'ANC1'!1:310,MATCH(P18,'ANC1'!1:1,0),0)="","NA",VLOOKUP($I$7&amp;Data!$D$35,'ANC1'!1:310,MATCH(P18,'ANC1'!1:1,0),0))</f>
        <v>NA</v>
      </c>
      <c r="Q35" s="819">
        <f>IF(VLOOKUP($I$7&amp;Data!$D$35,'ANC1'!1:310,MATCH(Q18,'ANC1'!1:1,0),0)="","NA",VLOOKUP($I$7&amp;Data!$D$35,'ANC1'!1:310,MATCH(Q18,'ANC1'!1:1,0),0))</f>
        <v>1</v>
      </c>
      <c r="R35" s="819">
        <f>IF(R34="NA",Q35,R34)</f>
        <v>1</v>
      </c>
      <c r="T35" s="593" t="str">
        <f ca="1">INDIRECT("'"&amp;Cover!$E$4&amp;"'!"&amp;CELL("address",E72))</f>
        <v>The true values are within</v>
      </c>
      <c r="Z35" s="577"/>
      <c r="AA35" s="577"/>
      <c r="AB35" s="577"/>
      <c r="AC35" s="577"/>
      <c r="AD35" s="586"/>
      <c r="AE35" s="577"/>
      <c r="AF35" s="577"/>
      <c r="AG35" s="577"/>
      <c r="AH35" s="577"/>
      <c r="AI35" s="577"/>
      <c r="AJ35" s="577"/>
      <c r="AK35" s="577"/>
      <c r="AL35" s="587"/>
      <c r="AM35" s="587"/>
    </row>
    <row r="36" spans="1:39" ht="21" customHeight="1" thickBot="1">
      <c r="A36" s="786" t="s">
        <v>127</v>
      </c>
      <c r="B36" s="561">
        <v>0.33</v>
      </c>
      <c r="D36" s="602"/>
      <c r="E36" s="602"/>
      <c r="F36" s="602"/>
      <c r="G36" s="594" t="str">
        <f ca="1">INDIRECT("'"&amp;Cover!$E$4&amp;"'!"&amp;CELL("address",B72))</f>
        <v>User estimate</v>
      </c>
      <c r="H36" s="817"/>
      <c r="I36" s="817"/>
      <c r="J36" s="817"/>
      <c r="K36" s="817"/>
      <c r="L36" s="817"/>
      <c r="M36" s="817"/>
      <c r="N36" s="817"/>
      <c r="O36" s="817"/>
      <c r="P36" s="817"/>
      <c r="Q36" s="817"/>
      <c r="R36" s="817"/>
      <c r="T36" s="718">
        <v>0.05</v>
      </c>
      <c r="U36" s="593" t="str">
        <f ca="1">INDIRECT("'"&amp;Cover!$E$4&amp;"'!"&amp;CELL("address",E73))</f>
        <v>of the values used</v>
      </c>
      <c r="Z36" s="577"/>
      <c r="AA36" s="577"/>
      <c r="AB36" s="577"/>
      <c r="AC36" s="577"/>
      <c r="AD36" s="586"/>
      <c r="AE36" s="577"/>
      <c r="AF36" s="577"/>
      <c r="AG36" s="577"/>
      <c r="AH36" s="577"/>
      <c r="AI36" s="577"/>
      <c r="AJ36" s="577"/>
      <c r="AK36" s="577"/>
      <c r="AL36" s="587"/>
      <c r="AM36" s="587"/>
    </row>
    <row r="37" spans="1:39" ht="21" customHeight="1">
      <c r="A37" s="786" t="s">
        <v>356</v>
      </c>
      <c r="B37" s="561">
        <v>0.34</v>
      </c>
      <c r="G37" s="596"/>
      <c r="N37" s="725"/>
      <c r="O37" s="725"/>
      <c r="P37" s="725"/>
      <c r="Q37" s="725"/>
      <c r="R37" s="725"/>
      <c r="Z37" s="608" t="e">
        <f ca="1">IF(INDIRECT("'"&amp;Data!$I$7&amp;"'!"&amp;CELL("address",X16))="","NA",INDIRECT("'"&amp;Data!$I$7&amp;"'!"&amp;CELL("address",X$16)))</f>
        <v>#REF!</v>
      </c>
      <c r="AA37" s="608" t="e">
        <f ca="1">IF(INDIRECT("'"&amp;Data!$I$7&amp;"'!"&amp;CELL("address",Y16))="","NA",INDIRECT("'"&amp;Data!$I$7&amp;"'!"&amp;CELL("address",Y$16)))</f>
        <v>#REF!</v>
      </c>
      <c r="AB37" s="608" t="e">
        <f ca="1">IF(INDIRECT("'"&amp;Data!$I$7&amp;"'!"&amp;CELL("address",Z16))="","NA",INDIRECT("'"&amp;Data!$I$7&amp;"'!"&amp;CELL("address",Z$16)))</f>
        <v>#REF!</v>
      </c>
      <c r="AC37" s="608" t="e">
        <f ca="1">IF(INDIRECT("'"&amp;Data!$I$7&amp;"'!"&amp;CELL("address",AA16))="","NA",INDIRECT("'"&amp;Data!$I$7&amp;"'!"&amp;CELL("address",AA$16)))</f>
        <v>#REF!</v>
      </c>
      <c r="AD37" s="609" t="e">
        <f ca="1">IF(INDIRECT("'"&amp;Data!$I$7&amp;"'!"&amp;CELL("address",AB16))="","NA",INDIRECT("'"&amp;Data!$I$7&amp;"'!"&amp;CELL("address",AB$16)))</f>
        <v>#REF!</v>
      </c>
      <c r="AE37" s="608" t="e">
        <f ca="1">IF(INDIRECT("'"&amp;Data!$I$7&amp;"'!"&amp;CELL("address",AC16))="","NA",INDIRECT("'"&amp;Data!$I$7&amp;"'!"&amp;CELL("address",AC$16)))</f>
        <v>#REF!</v>
      </c>
      <c r="AF37" s="608" t="e">
        <f ca="1">IF(INDIRECT("'"&amp;Data!$I$7&amp;"'!"&amp;CELL("address",AD16))="","NA",INDIRECT("'"&amp;Data!$I$7&amp;"'!"&amp;CELL("address",AD$16)))</f>
        <v>#REF!</v>
      </c>
      <c r="AG37" s="608" t="e">
        <f ca="1">IF(INDIRECT("'"&amp;Data!$I$7&amp;"'!"&amp;CELL("address",AE16))="","NA",INDIRECT("'"&amp;Data!$I$7&amp;"'!"&amp;CELL("address",AE$16)))</f>
        <v>#REF!</v>
      </c>
      <c r="AH37" s="608" t="e">
        <f ca="1">IF(INDIRECT("'"&amp;Data!$I$7&amp;"'!"&amp;CELL("address",AF16))="","NA",INDIRECT("'"&amp;Data!$I$7&amp;"'!"&amp;CELL("address",AF$16)))</f>
        <v>#REF!</v>
      </c>
      <c r="AI37" s="608" t="e">
        <f ca="1">IF(INDIRECT("'"&amp;Data!$I$7&amp;"'!"&amp;CELL("address",AG16))="","NA",INDIRECT("'"&amp;Data!$I$7&amp;"'!"&amp;CELL("address",AG$16)))</f>
        <v>#REF!</v>
      </c>
      <c r="AJ37" s="608" t="e">
        <f ca="1">IF(INDIRECT("'"&amp;Data!$I$7&amp;"'!"&amp;CELL("address",AH16))="","NA",INDIRECT("'"&amp;Data!$I$7&amp;"'!"&amp;CELL("address",AH$16)))</f>
        <v>#REF!</v>
      </c>
      <c r="AK37" s="608"/>
      <c r="AL37" s="587"/>
      <c r="AM37" s="587"/>
    </row>
    <row r="38" spans="1:39" ht="21" customHeight="1">
      <c r="A38" s="786" t="s">
        <v>338</v>
      </c>
      <c r="B38" s="561">
        <v>0.35</v>
      </c>
      <c r="D38" s="588" t="str">
        <f ca="1">INDIRECT("'"&amp;Cover!$E$4&amp;"'!"&amp;CELL("address",B78))</f>
        <v>Testing coverage *</v>
      </c>
      <c r="E38" s="588"/>
      <c r="F38" s="588"/>
      <c r="G38" s="589"/>
      <c r="H38" s="590"/>
      <c r="I38" s="590"/>
      <c r="J38" s="590"/>
      <c r="K38" s="590"/>
      <c r="L38" s="590"/>
      <c r="M38" s="590"/>
      <c r="N38" s="726"/>
      <c r="O38" s="726"/>
      <c r="P38" s="726"/>
      <c r="Q38" s="726"/>
      <c r="R38" s="726"/>
      <c r="S38" s="590"/>
      <c r="T38" s="590"/>
      <c r="Z38" s="591"/>
      <c r="AA38" s="591"/>
      <c r="AB38" s="591"/>
      <c r="AC38" s="591"/>
      <c r="AD38" s="592"/>
      <c r="AE38" s="591"/>
      <c r="AF38" s="591"/>
      <c r="AG38" s="591"/>
      <c r="AH38" s="591"/>
      <c r="AI38" s="591"/>
      <c r="AJ38" s="591"/>
      <c r="AK38" s="591"/>
      <c r="AL38" s="587"/>
      <c r="AM38" s="587"/>
    </row>
    <row r="39" spans="1:39" ht="18" customHeight="1">
      <c r="A39" s="786" t="s">
        <v>130</v>
      </c>
      <c r="B39" s="561">
        <v>0.36</v>
      </c>
      <c r="D39" s="593" t="str">
        <f ca="1">INDIRECT("'"&amp;Cover!$E$4&amp;"'!"&amp;CELL("address",E70))</f>
        <v>Data to view</v>
      </c>
      <c r="E39" s="593"/>
      <c r="F39" s="593" t="str">
        <f ca="1">INDIRECT("'"&amp;Cover!$E$4&amp;"'!"&amp;CELL("address",E71))</f>
        <v>Use these estimates?</v>
      </c>
      <c r="G39" s="596"/>
      <c r="N39" s="725"/>
      <c r="O39" s="725"/>
      <c r="P39" s="725"/>
      <c r="Q39" s="725"/>
      <c r="R39" s="587" t="str">
        <f>IF(VLOOKUP($I$7&amp;Data!$D$40,Testing!1:308,MATCH(R18,Testing!1:1,0),0)="","NA",VLOOKUP($I$7&amp;Data!$D$40,Testing!1:308,MATCH(R18,Testing!1:1,0),0))</f>
        <v>NA</v>
      </c>
      <c r="Z39" s="591"/>
      <c r="AA39" s="591"/>
      <c r="AB39" s="591"/>
      <c r="AC39" s="591"/>
      <c r="AD39" s="592"/>
      <c r="AE39" s="591"/>
      <c r="AF39" s="591"/>
      <c r="AG39" s="591"/>
      <c r="AH39" s="591"/>
      <c r="AI39" s="591"/>
      <c r="AJ39" s="591"/>
      <c r="AK39" s="591"/>
      <c r="AL39" s="587"/>
      <c r="AM39" s="587"/>
    </row>
    <row r="40" spans="1:39" ht="21" customHeight="1" thickBot="1">
      <c r="A40" s="786" t="s">
        <v>173</v>
      </c>
      <c r="B40" s="561">
        <v>0.37</v>
      </c>
      <c r="D40" s="714" t="s">
        <v>873</v>
      </c>
      <c r="E40" s="607"/>
      <c r="F40" s="716" t="s">
        <v>814</v>
      </c>
      <c r="G40" s="594" t="str">
        <f ca="1">INDIRECT("'"&amp;Cover!$E$4&amp;"'!"&amp;CELL("address",B71))</f>
        <v>Loaded estimate</v>
      </c>
      <c r="H40" s="818" t="str">
        <f>IF(VLOOKUP($I$7&amp;Data!$D$40,Testing!1:308,MATCH(H18,Testing!1:1,0),0)="","NA",VLOOKUP($I$7&amp;Data!$D$40,Testing!1:308,MATCH(H18,Testing!1:1,0),0))</f>
        <v>NA</v>
      </c>
      <c r="I40" s="818">
        <f>IF(VLOOKUP($I$7&amp;Data!$D$40,Testing!1:308,MATCH(I18,Testing!1:1,0),0)="","NA",VLOOKUP($I$7&amp;Data!$D$40,Testing!1:308,MATCH(I18,Testing!1:1,0),0))</f>
        <v>0.65400000000000003</v>
      </c>
      <c r="J40" s="818">
        <f>IF(VLOOKUP($I$7&amp;Data!$D$40,Testing!1:308,MATCH(J18,Testing!1:1,0),0)="","NA",VLOOKUP($I$7&amp;Data!$D$40,Testing!1:308,MATCH(J18,Testing!1:1,0),0))</f>
        <v>0.69199999999999995</v>
      </c>
      <c r="K40" s="818">
        <f>IF(VLOOKUP($I$7&amp;Data!$D$40,Testing!1:308,MATCH(K18,Testing!1:1,0),0)="","NA",VLOOKUP($I$7&amp;Data!$D$40,Testing!1:308,MATCH(K18,Testing!1:1,0),0))</f>
        <v>0.63600000000000001</v>
      </c>
      <c r="L40" s="818">
        <f>IF(VLOOKUP($I$7&amp;Data!$D$40,Testing!1:308,MATCH(L18,Testing!1:1,0),0)="","NA",VLOOKUP($I$7&amp;Data!$D$40,Testing!1:308,MATCH(L18,Testing!1:1,0),0))</f>
        <v>0.65100000000000002</v>
      </c>
      <c r="M40" s="818">
        <f>IF(VLOOKUP($I$7&amp;Data!$D$40,Testing!1:308,MATCH(M18,Testing!1:1,0),0)="","NA",VLOOKUP($I$7&amp;Data!$D$40,Testing!1:308,MATCH(M18,Testing!1:1,0),0))</f>
        <v>0.65300000000000002</v>
      </c>
      <c r="N40" s="819">
        <f>IF(VLOOKUP($I$7&amp;Data!$D$40,Testing!1:308,MATCH(N18,Testing!1:1,0),0)="","NA",VLOOKUP($I$7&amp;Data!$D$40,Testing!1:308,MATCH(N18,Testing!1:1,0),0))</f>
        <v>0.82099999999999995</v>
      </c>
      <c r="O40" s="819">
        <f>IF(VLOOKUP($I$7&amp;Data!$D$40,Testing!1:308,MATCH(O18,Testing!1:1,0),0)="","NA",VLOOKUP($I$7&amp;Data!$D$40,Testing!1:308,MATCH(O18,Testing!1:1,0),0))</f>
        <v>0.19829186734824533</v>
      </c>
      <c r="P40" s="819" t="str">
        <f>IF(VLOOKUP($I$7&amp;Data!$D$40,Testing!1:308,MATCH(P18,Testing!1:1,0),0)="","NA",VLOOKUP($I$7&amp;Data!$D$40,Testing!1:308,MATCH(P18,Testing!1:1,0),0))</f>
        <v>NA</v>
      </c>
      <c r="Q40" s="819">
        <f>IF(VLOOKUP($I$7&amp;Data!$D$40,Testing!1:308,MATCH(Q18,Testing!1:1,0),0)="","NA",VLOOKUP($I$7&amp;Data!$D$40,Testing!1:308,MATCH(Q18,Testing!1:1,0),0))</f>
        <v>0.33850000000000002</v>
      </c>
      <c r="R40" s="819">
        <f>IF(R39="NA",Q40,R39)</f>
        <v>0.33850000000000002</v>
      </c>
      <c r="T40" s="593" t="str">
        <f ca="1">INDIRECT("'"&amp;Cover!$E$4&amp;"'!"&amp;CELL("address",E72))</f>
        <v>The true values are within</v>
      </c>
      <c r="Z40" s="577"/>
      <c r="AA40" s="577"/>
      <c r="AB40" s="577"/>
      <c r="AC40" s="577"/>
      <c r="AD40" s="586"/>
      <c r="AE40" s="577"/>
      <c r="AF40" s="577"/>
      <c r="AG40" s="577"/>
      <c r="AH40" s="577"/>
      <c r="AI40" s="577"/>
      <c r="AJ40" s="577"/>
      <c r="AK40" s="577"/>
      <c r="AL40" s="587"/>
      <c r="AM40" s="587"/>
    </row>
    <row r="41" spans="1:39" ht="21" customHeight="1" thickBot="1">
      <c r="A41" s="786" t="s">
        <v>131</v>
      </c>
      <c r="B41" s="561">
        <v>0.38</v>
      </c>
      <c r="D41" s="602"/>
      <c r="E41" s="602"/>
      <c r="F41" s="602"/>
      <c r="G41" s="594" t="str">
        <f ca="1">INDIRECT("'"&amp;Cover!$E$4&amp;"'!"&amp;CELL("address",B72))</f>
        <v>User estimate</v>
      </c>
      <c r="H41" s="817"/>
      <c r="I41" s="817"/>
      <c r="J41" s="817"/>
      <c r="K41" s="817"/>
      <c r="L41" s="817"/>
      <c r="M41" s="817"/>
      <c r="N41" s="817"/>
      <c r="O41" s="817"/>
      <c r="P41" s="817"/>
      <c r="Q41" s="817"/>
      <c r="R41" s="817"/>
      <c r="T41" s="718">
        <v>0.05</v>
      </c>
      <c r="U41" s="593" t="str">
        <f ca="1">INDIRECT("'"&amp;Cover!$E$4&amp;"'!"&amp;CELL("address",E73))</f>
        <v>of the values used</v>
      </c>
      <c r="Z41" s="577"/>
      <c r="AA41" s="577"/>
      <c r="AB41" s="577"/>
      <c r="AC41" s="577"/>
      <c r="AD41" s="586"/>
      <c r="AE41" s="577"/>
      <c r="AF41" s="577"/>
      <c r="AG41" s="577"/>
      <c r="AH41" s="577"/>
      <c r="AI41" s="577"/>
      <c r="AJ41" s="577"/>
      <c r="AK41" s="577"/>
      <c r="AL41" s="587"/>
      <c r="AM41" s="587"/>
    </row>
    <row r="42" spans="1:39" ht="21" customHeight="1">
      <c r="A42" s="786" t="s">
        <v>354</v>
      </c>
      <c r="B42" s="561">
        <v>0.39</v>
      </c>
      <c r="G42" s="596"/>
      <c r="N42" s="725"/>
      <c r="O42" s="725"/>
      <c r="P42" s="725"/>
      <c r="Q42" s="725"/>
      <c r="R42" s="725"/>
      <c r="Z42" s="608" t="e">
        <f ca="1">IF(INDIRECT("'"&amp;Data!$I$7&amp;"'!"&amp;CELL("address",P19))="","NA",INDIRECT("'"&amp;Data!$I$7&amp;"'!"&amp;CELL("address",P$19)))</f>
        <v>#REF!</v>
      </c>
      <c r="AA42" s="608" t="e">
        <f ca="1">IF(INDIRECT("'"&amp;Data!$I$7&amp;"'!"&amp;CELL("address",#REF!))="","NA",INDIRECT("'"&amp;Data!$I$7&amp;"'!"&amp;CELL("address",#REF!)))</f>
        <v>#REF!</v>
      </c>
      <c r="AB42" s="608" t="e">
        <f ca="1">IF(INDIRECT("'"&amp;Data!$I$7&amp;"'!"&amp;CELL("address",#REF!))="","NA",INDIRECT("'"&amp;Data!$I$7&amp;"'!"&amp;CELL("address",#REF!)))</f>
        <v>#REF!</v>
      </c>
      <c r="AC42" s="608" t="e">
        <f ca="1">IF(INDIRECT("'"&amp;Data!$I$7&amp;"'!"&amp;CELL("address",#REF!))="","NA",INDIRECT("'"&amp;Data!$I$7&amp;"'!"&amp;CELL("address",#REF!)))</f>
        <v>#REF!</v>
      </c>
      <c r="AD42" s="609" t="e">
        <f ca="1">IF(INDIRECT("'"&amp;Data!$I$7&amp;"'!"&amp;CELL("address",AB19))="","NA",INDIRECT("'"&amp;Data!$I$7&amp;"'!"&amp;CELL("address",AB$19)))</f>
        <v>#REF!</v>
      </c>
      <c r="AE42" s="608" t="e">
        <f ca="1">IF(INDIRECT("'"&amp;Data!$I$7&amp;"'!"&amp;CELL("address",AC19))="","NA",INDIRECT("'"&amp;Data!$I$7&amp;"'!"&amp;CELL("address",AC$19)))</f>
        <v>#REF!</v>
      </c>
      <c r="AF42" s="608" t="e">
        <f ca="1">IF(INDIRECT("'"&amp;Data!$I$7&amp;"'!"&amp;CELL("address",AD19))="","NA",INDIRECT("'"&amp;Data!$I$7&amp;"'!"&amp;CELL("address",AD$19)))</f>
        <v>#REF!</v>
      </c>
      <c r="AG42" s="608" t="e">
        <f ca="1">IF(INDIRECT("'"&amp;Data!$I$7&amp;"'!"&amp;CELL("address",AE19))="","NA",INDIRECT("'"&amp;Data!$I$7&amp;"'!"&amp;CELL("address",AE$19)))</f>
        <v>#REF!</v>
      </c>
      <c r="AH42" s="608" t="e">
        <f ca="1">IF(INDIRECT("'"&amp;Data!$I$7&amp;"'!"&amp;CELL("address",AF19))="","NA",INDIRECT("'"&amp;Data!$I$7&amp;"'!"&amp;CELL("address",AF$19)))</f>
        <v>#REF!</v>
      </c>
      <c r="AI42" s="608" t="e">
        <f ca="1">IF(INDIRECT("'"&amp;Data!$I$7&amp;"'!"&amp;CELL("address",AG19))="","NA",INDIRECT("'"&amp;Data!$I$7&amp;"'!"&amp;CELL("address",AG$19)))</f>
        <v>#REF!</v>
      </c>
      <c r="AJ42" s="608" t="e">
        <f ca="1">IF(INDIRECT("'"&amp;Data!$I$7&amp;"'!"&amp;CELL("address",AH19))="","NA",INDIRECT("'"&amp;Data!$I$7&amp;"'!"&amp;CELL("address",AH$19)))</f>
        <v>#REF!</v>
      </c>
      <c r="AK42" s="608"/>
      <c r="AL42" s="587"/>
      <c r="AM42" s="587"/>
    </row>
    <row r="43" spans="1:39" ht="21" customHeight="1">
      <c r="A43" s="786" t="s">
        <v>355</v>
      </c>
      <c r="B43" s="561">
        <v>0.4</v>
      </c>
      <c r="D43" s="588" t="str">
        <f ca="1">INDIRECT("'"&amp;Cover!$E$4&amp;"'!"&amp;CELL("address",B79))</f>
        <v>Treatment coverage *</v>
      </c>
      <c r="E43" s="588"/>
      <c r="F43" s="588"/>
      <c r="G43" s="589"/>
      <c r="H43" s="590"/>
      <c r="I43" s="590"/>
      <c r="J43" s="590"/>
      <c r="K43" s="590"/>
      <c r="L43" s="590"/>
      <c r="M43" s="590"/>
      <c r="N43" s="726"/>
      <c r="O43" s="726"/>
      <c r="P43" s="726"/>
      <c r="Q43" s="726"/>
      <c r="R43" s="726"/>
      <c r="S43" s="590"/>
      <c r="T43" s="590"/>
      <c r="Z43" s="591"/>
      <c r="AA43" s="591"/>
      <c r="AB43" s="591"/>
      <c r="AC43" s="591"/>
      <c r="AD43" s="592"/>
      <c r="AE43" s="591"/>
      <c r="AF43" s="591"/>
      <c r="AG43" s="591"/>
      <c r="AH43" s="591"/>
      <c r="AI43" s="591"/>
      <c r="AJ43" s="591"/>
      <c r="AK43" s="587"/>
      <c r="AL43" s="587"/>
      <c r="AM43" s="587"/>
    </row>
    <row r="44" spans="1:39" ht="21" customHeight="1">
      <c r="A44" s="786" t="s">
        <v>132</v>
      </c>
      <c r="B44" s="561">
        <v>0.41</v>
      </c>
      <c r="D44" s="593" t="str">
        <f ca="1">INDIRECT("'"&amp;Cover!$E$4&amp;"'!"&amp;CELL("address",E70))</f>
        <v>Data to view</v>
      </c>
      <c r="E44" s="593"/>
      <c r="F44" s="593" t="str">
        <f ca="1">INDIRECT("'"&amp;Cover!$E$4&amp;"'!"&amp;CELL("address",E71))</f>
        <v>Use these estimates?</v>
      </c>
      <c r="G44" s="596"/>
      <c r="N44" s="725"/>
      <c r="O44" s="725"/>
      <c r="P44" s="725"/>
      <c r="Q44" s="725"/>
      <c r="R44" s="587" t="str">
        <f>IF(VLOOKUP($I$7&amp;Data!$D$45,Treatment!1:308,MATCH(R18,Treatment!1:1,0),0)="","NA",VLOOKUP($I$7&amp;Data!$D$45,Treatment!1:308,MATCH(R18,Treatment!1:1,0),0))</f>
        <v>NA</v>
      </c>
      <c r="Z44" s="591"/>
      <c r="AA44" s="591"/>
      <c r="AB44" s="591"/>
      <c r="AC44" s="591"/>
      <c r="AD44" s="592"/>
      <c r="AE44" s="591"/>
      <c r="AF44" s="591"/>
      <c r="AG44" s="591"/>
      <c r="AH44" s="591"/>
      <c r="AI44" s="591"/>
      <c r="AJ44" s="591"/>
      <c r="AK44" s="587"/>
      <c r="AL44" s="587"/>
      <c r="AM44" s="587"/>
    </row>
    <row r="45" spans="1:39" ht="21" customHeight="1" thickBot="1">
      <c r="A45" s="786" t="s">
        <v>357</v>
      </c>
      <c r="B45" s="561">
        <v>0.42</v>
      </c>
      <c r="D45" s="714" t="s">
        <v>873</v>
      </c>
      <c r="E45" s="607"/>
      <c r="F45" s="716" t="s">
        <v>814</v>
      </c>
      <c r="G45" s="594" t="str">
        <f ca="1">INDIRECT("'"&amp;Cover!$E$4&amp;"'!"&amp;CELL("address",B71))</f>
        <v>Loaded estimate</v>
      </c>
      <c r="H45" s="585">
        <f>IF(VLOOKUP($I$7&amp;Data!$D$45,Treatment!1:308,MATCH(H18,Treatment!1:1,0),0)="","NA",VLOOKUP($I$7&amp;Data!$D$45,Treatment!1:308,MATCH(H18,Treatment!1:1,0),0))</f>
        <v>0.86199999999999999</v>
      </c>
      <c r="I45" s="585">
        <f>IF(VLOOKUP($I$7&amp;Data!$D$45,Treatment!1:308,MATCH(I18,Treatment!1:1,0),0)="","NA",VLOOKUP($I$7&amp;Data!$D$45,Treatment!1:308,MATCH(I18,Treatment!1:1,0),0))</f>
        <v>0.89</v>
      </c>
      <c r="J45" s="585">
        <f>IF(VLOOKUP($I$7&amp;Data!$D$45,Treatment!1:308,MATCH(J18,Treatment!1:1,0),0)="","NA",VLOOKUP($I$7&amp;Data!$D$45,Treatment!1:308,MATCH(J18,Treatment!1:1,0),0))</f>
        <v>0.92600000000000005</v>
      </c>
      <c r="K45" s="585">
        <f>IF(VLOOKUP($I$7&amp;Data!$D$45,Treatment!1:308,MATCH(K18,Treatment!1:1,0),0)="","NA",VLOOKUP($I$7&amp;Data!$D$45,Treatment!1:308,MATCH(K18,Treatment!1:1,0),0))</f>
        <v>0.92600000000000005</v>
      </c>
      <c r="L45" s="585">
        <f>IF(VLOOKUP($I$7&amp;Data!$D$45,Treatment!1:308,MATCH(L18,Treatment!1:1,0),0)="","NA",VLOOKUP($I$7&amp;Data!$D$45,Treatment!1:308,MATCH(L18,Treatment!1:1,0),0))</f>
        <v>0.20899999999999999</v>
      </c>
      <c r="M45" s="585">
        <f>IF(VLOOKUP($I$7&amp;Data!$D$45,Treatment!1:308,MATCH(M18,Treatment!1:1,0),0)="","NA",VLOOKUP($I$7&amp;Data!$D$45,Treatment!1:308,MATCH(M18,Treatment!1:1,0),0))</f>
        <v>0.23699999999999999</v>
      </c>
      <c r="N45" s="728">
        <f>IF(VLOOKUP($I$7&amp;Data!$D$45,Treatment!1:308,MATCH(N18,Treatment!1:1,0),0)="","NA",VLOOKUP($I$7&amp;Data!$D$45,Treatment!1:308,MATCH(N18,Treatment!1:1,0),0))</f>
        <v>0.747</v>
      </c>
      <c r="O45" s="728">
        <f>IF(VLOOKUP($I$7&amp;Data!$D$45,Treatment!1:308,MATCH(O18,Treatment!1:1,0),0)="","NA",VLOOKUP($I$7&amp;Data!$D$45,Treatment!1:308,MATCH(O18,Treatment!1:1,0),0))</f>
        <v>0.47599999999999998</v>
      </c>
      <c r="P45" s="728" t="str">
        <f>IF(VLOOKUP($I$7&amp;Data!$D$45,Treatment!1:308,MATCH(P18,Treatment!1:1,0),0)="","NA",VLOOKUP($I$7&amp;Data!$D$45,Treatment!1:308,MATCH(P18,Treatment!1:1,0),0))</f>
        <v>NA</v>
      </c>
      <c r="Q45" s="728">
        <f>IF(VLOOKUP($I$7&amp;Data!$D$45,Treatment!1:308,MATCH(Q18,Treatment!1:1,0),0)="","NA",VLOOKUP($I$7&amp;Data!$D$45,Treatment!1:308,MATCH(Q18,Treatment!1:1,0),0))</f>
        <v>0.69932685115931192</v>
      </c>
      <c r="R45" s="728">
        <f>IF(R44="NA",Q45,R44)</f>
        <v>0.69932685115931192</v>
      </c>
      <c r="T45" s="593" t="str">
        <f ca="1">INDIRECT("'"&amp;Cover!$E$4&amp;"'!"&amp;CELL("address",E72))</f>
        <v>The true values are within</v>
      </c>
      <c r="Z45" s="610"/>
      <c r="AA45" s="610"/>
      <c r="AB45" s="610"/>
      <c r="AC45" s="610"/>
      <c r="AD45" s="586"/>
      <c r="AE45" s="610"/>
      <c r="AF45" s="610"/>
      <c r="AG45" s="610"/>
      <c r="AH45" s="610"/>
      <c r="AI45" s="610"/>
      <c r="AJ45" s="610"/>
      <c r="AK45" s="587"/>
      <c r="AL45" s="587"/>
      <c r="AM45" s="587"/>
    </row>
    <row r="46" spans="1:39" ht="21" customHeight="1" thickBot="1">
      <c r="A46" s="786" t="s">
        <v>174</v>
      </c>
      <c r="B46" s="561">
        <v>0.43</v>
      </c>
      <c r="D46" s="602"/>
      <c r="E46" s="602"/>
      <c r="F46" s="602"/>
      <c r="G46" s="594" t="str">
        <f ca="1">INDIRECT("'"&amp;Cover!$E$4&amp;"'!"&amp;CELL("address",B72))</f>
        <v>User estimate</v>
      </c>
      <c r="H46" s="817"/>
      <c r="I46" s="817"/>
      <c r="J46" s="817"/>
      <c r="K46" s="817"/>
      <c r="L46" s="817"/>
      <c r="M46" s="817"/>
      <c r="N46" s="817"/>
      <c r="O46" s="817"/>
      <c r="P46" s="817"/>
      <c r="Q46" s="817"/>
      <c r="R46" s="817"/>
      <c r="T46" s="718">
        <v>0.05</v>
      </c>
      <c r="U46" s="593" t="str">
        <f ca="1">INDIRECT("'"&amp;Cover!$E$4&amp;"'!"&amp;CELL("address",E73))</f>
        <v>of the values used</v>
      </c>
      <c r="Z46" s="577"/>
      <c r="AA46" s="577"/>
      <c r="AB46" s="577"/>
      <c r="AC46" s="577"/>
      <c r="AD46" s="586"/>
      <c r="AE46" s="586"/>
      <c r="AF46" s="586"/>
      <c r="AG46" s="586"/>
      <c r="AH46" s="586"/>
      <c r="AI46" s="586"/>
      <c r="AJ46" s="577"/>
      <c r="AK46" s="587"/>
      <c r="AL46" s="587"/>
      <c r="AM46" s="587"/>
    </row>
    <row r="47" spans="1:39" ht="21" customHeight="1">
      <c r="A47" s="786" t="s">
        <v>358</v>
      </c>
      <c r="B47" s="561">
        <v>0.44</v>
      </c>
      <c r="G47" s="596"/>
      <c r="N47" s="725"/>
      <c r="O47" s="725"/>
      <c r="P47" s="725"/>
      <c r="Q47" s="725"/>
      <c r="R47" s="725"/>
      <c r="Z47" s="608" t="e">
        <f ca="1">IF(INDIRECT("'"&amp;Data!$I$7&amp;"'!"&amp;CELL("address",P26))="","NA",INDIRECT("'"&amp;Data!$I$7&amp;"'!"&amp;CELL("address",P$26)))</f>
        <v>#REF!</v>
      </c>
      <c r="AA47" s="608" t="e">
        <f ca="1">IF(INDIRECT("'"&amp;Data!$I$7&amp;"'!"&amp;CELL("address",Q26))="","NA",INDIRECT("'"&amp;Data!$I$7&amp;"'!"&amp;CELL("address",Q$26)))</f>
        <v>#REF!</v>
      </c>
      <c r="AB47" s="608" t="e">
        <f ca="1">IF(INDIRECT("'"&amp;Data!$I$7&amp;"'!"&amp;CELL("address",Z22))="","NA",INDIRECT("'"&amp;Data!$I$7&amp;"'!"&amp;CELL("address",Z$22)))</f>
        <v>#REF!</v>
      </c>
      <c r="AC47" s="608" t="e">
        <f ca="1">IF(INDIRECT("'"&amp;Data!$I$7&amp;"'!"&amp;CELL("address",AA22))="","NA",INDIRECT("'"&amp;Data!$I$7&amp;"'!"&amp;CELL("address",AA$22)))</f>
        <v>#REF!</v>
      </c>
      <c r="AD47" s="608" t="e">
        <f ca="1">IF(INDIRECT("'"&amp;Data!$I$7&amp;"'!"&amp;CELL("address",AB22))="","NA",INDIRECT("'"&amp;Data!$I$7&amp;"'!"&amp;CELL("address",AB$22)))</f>
        <v>#REF!</v>
      </c>
      <c r="AE47" s="608" t="e">
        <f ca="1">IF(INDIRECT("'"&amp;Data!$I$7&amp;"'!"&amp;CELL("address",AC22))="","NA",INDIRECT("'"&amp;Data!$I$7&amp;"'!"&amp;CELL("address",AC$22)))</f>
        <v>#REF!</v>
      </c>
      <c r="AF47" s="608" t="e">
        <f ca="1">IF(INDIRECT("'"&amp;Data!$I$7&amp;"'!"&amp;CELL("address",AD22))="","NA",INDIRECT("'"&amp;Data!$I$7&amp;"'!"&amp;CELL("address",AD$22)))</f>
        <v>#REF!</v>
      </c>
      <c r="AG47" s="608" t="e">
        <f ca="1">IF(INDIRECT("'"&amp;Data!$I$7&amp;"'!"&amp;CELL("address",AE22))="","NA",INDIRECT("'"&amp;Data!$I$7&amp;"'!"&amp;CELL("address",AE$22)))</f>
        <v>#REF!</v>
      </c>
      <c r="AH47" s="608" t="e">
        <f ca="1">IF(INDIRECT("'"&amp;Data!$I$7&amp;"'!"&amp;CELL("address",AF22))="","NA",INDIRECT("'"&amp;Data!$I$7&amp;"'!"&amp;CELL("address",AF$22)))</f>
        <v>#REF!</v>
      </c>
      <c r="AI47" s="608" t="e">
        <f ca="1">IF(INDIRECT("'"&amp;Data!$I$7&amp;"'!"&amp;CELL("address",AG22))="","NA",INDIRECT("'"&amp;Data!$I$7&amp;"'!"&amp;CELL("address",AG$22)))</f>
        <v>#REF!</v>
      </c>
      <c r="AJ47" s="608" t="e">
        <f ca="1">IF(INDIRECT("'"&amp;Data!$I$7&amp;"'!"&amp;CELL("address",AH22))="","NA",INDIRECT("'"&amp;Data!$I$7&amp;"'!"&amp;CELL("address",AH$22)))</f>
        <v>#REF!</v>
      </c>
      <c r="AK47" s="587"/>
      <c r="AL47" s="587"/>
      <c r="AM47" s="587"/>
    </row>
    <row r="48" spans="1:39" ht="21" customHeight="1">
      <c r="A48" s="786" t="s">
        <v>175</v>
      </c>
      <c r="B48" s="561">
        <v>0.45</v>
      </c>
      <c r="D48" s="588" t="str">
        <f ca="1">INDIRECT("'"&amp;Cover!$E$4&amp;"'!"&amp;CELL("address",B76))</f>
        <v>Average gestational week of first treatment</v>
      </c>
      <c r="E48" s="588"/>
      <c r="F48" s="588"/>
      <c r="G48" s="589"/>
      <c r="H48" s="590"/>
      <c r="I48" s="590"/>
      <c r="J48" s="590"/>
      <c r="K48" s="590"/>
      <c r="L48" s="590"/>
      <c r="M48" s="590"/>
      <c r="N48" s="590"/>
      <c r="O48" s="590"/>
      <c r="P48" s="590"/>
      <c r="Q48" s="590"/>
      <c r="R48" s="590"/>
      <c r="S48" s="590"/>
      <c r="T48" s="590"/>
      <c r="Z48" s="591"/>
      <c r="AA48" s="591"/>
      <c r="AB48" s="591"/>
      <c r="AC48" s="591"/>
      <c r="AD48" s="592"/>
      <c r="AE48" s="592"/>
      <c r="AF48" s="592"/>
      <c r="AG48" s="592"/>
      <c r="AH48" s="592"/>
      <c r="AI48" s="592"/>
      <c r="AJ48" s="591"/>
      <c r="AK48" s="587"/>
      <c r="AL48" s="587"/>
      <c r="AM48" s="587"/>
    </row>
    <row r="49" spans="1:39" ht="21" customHeight="1">
      <c r="A49" s="786" t="s">
        <v>866</v>
      </c>
      <c r="B49" s="561">
        <v>0.46</v>
      </c>
      <c r="D49" s="593" t="str">
        <f ca="1">INDIRECT("'"&amp;Cover!$E$4&amp;"'!"&amp;CELL("address",E70))</f>
        <v>Data to view</v>
      </c>
      <c r="E49" s="593"/>
      <c r="F49" s="593" t="str">
        <f ca="1">INDIRECT("'"&amp;Cover!$E$4&amp;"'!"&amp;CELL("address",E71))</f>
        <v>Use these estimates?</v>
      </c>
      <c r="G49" s="596"/>
      <c r="Q49" s="587">
        <f>IF(VLOOKUP($I$7&amp;Data!$D$50,Week!1:300,MATCH(Q18,Week!1:1,0),0)="","NA",VLOOKUP($I$7&amp;Data!$D$50,Week!1:300,MATCH(Q18,Week!1:1,0),0))</f>
        <v>19.477499999999999</v>
      </c>
      <c r="R49" s="587" t="str">
        <f>IF(VLOOKUP($I$7&amp;Data!$D$50,Week!1:300,MATCH(R18,Week!1:1,0),0)="","NA",VLOOKUP($I$7&amp;Data!$D$50,Week!1:300,MATCH(R18,Week!1:1,0),0))</f>
        <v>NA</v>
      </c>
      <c r="Z49" s="591"/>
      <c r="AA49" s="591"/>
      <c r="AB49" s="591"/>
      <c r="AC49" s="591"/>
      <c r="AD49" s="592"/>
      <c r="AE49" s="592"/>
      <c r="AF49" s="592"/>
      <c r="AG49" s="592"/>
      <c r="AH49" s="592"/>
      <c r="AI49" s="592"/>
      <c r="AJ49" s="591"/>
      <c r="AK49" s="587"/>
      <c r="AL49" s="587"/>
      <c r="AM49" s="587"/>
    </row>
    <row r="50" spans="1:39" ht="21" customHeight="1" thickBot="1">
      <c r="A50" s="786" t="s">
        <v>176</v>
      </c>
      <c r="B50" s="561">
        <v>0.47</v>
      </c>
      <c r="D50" s="714" t="s">
        <v>889</v>
      </c>
      <c r="E50" s="607"/>
      <c r="F50" s="716" t="s">
        <v>814</v>
      </c>
      <c r="G50" s="594" t="str">
        <f ca="1">INDIRECT("'"&amp;Cover!$E$4&amp;"'!"&amp;CELL("address",B71))</f>
        <v>Loaded estimate</v>
      </c>
      <c r="H50" s="788">
        <f>IF(VLOOKUP($I$7&amp;Data!$D$50,Week!1:300,MATCH(H18,Week!1:1,0),0)="","NA",VLOOKUP($I$7&amp;Data!$D$50,Week!1:300,MATCH(H18,Week!1:1,0),0))</f>
        <v>19.477499999999999</v>
      </c>
      <c r="I50" s="788">
        <f>IF(VLOOKUP($I$7&amp;Data!$D$50,Week!1:300,MATCH(I18,Week!1:1,0),0)="","NA",VLOOKUP($I$7&amp;Data!$D$50,Week!1:300,MATCH(I18,Week!1:1,0),0))</f>
        <v>19.477499999999999</v>
      </c>
      <c r="J50" s="788">
        <f>IF(VLOOKUP($I$7&amp;Data!$D$50,Week!1:300,MATCH(J18,Week!1:1,0),0)="","NA",VLOOKUP($I$7&amp;Data!$D$50,Week!1:300,MATCH(J18,Week!1:1,0),0))</f>
        <v>19.477499999999999</v>
      </c>
      <c r="K50" s="788">
        <f>IF(VLOOKUP($I$7&amp;Data!$D$50,Week!1:300,MATCH(K18,Week!1:1,0),0)="","NA",VLOOKUP($I$7&amp;Data!$D$50,Week!1:300,MATCH(K18,Week!1:1,0),0))</f>
        <v>19.477499999999999</v>
      </c>
      <c r="L50" s="788">
        <f>IF(VLOOKUP($I$7&amp;Data!$D$50,Week!1:300,MATCH(L18,Week!1:1,0),0)="","NA",VLOOKUP($I$7&amp;Data!$D$50,Week!1:300,MATCH(L18,Week!1:1,0),0))</f>
        <v>19.477499999999999</v>
      </c>
      <c r="M50" s="788">
        <f>IF(VLOOKUP($I$7&amp;Data!$D$50,Week!1:300,MATCH(M18,Week!1:1,0),0)="","NA",VLOOKUP($I$7&amp;Data!$D$50,Week!1:300,MATCH(M18,Week!1:1,0),0))</f>
        <v>19.477499999999999</v>
      </c>
      <c r="N50" s="788">
        <f>IF(VLOOKUP($I$7&amp;Data!$D$50,Week!1:300,MATCH(N18,Week!1:1,0),0)="","NA",VLOOKUP($I$7&amp;Data!$D$50,Week!1:300,MATCH(N18,Week!1:1,0),0))</f>
        <v>19.477499999999999</v>
      </c>
      <c r="O50" s="788">
        <f>IF(VLOOKUP($I$7&amp;Data!$D$50,Week!1:300,MATCH(O18,Week!1:1,0),0)="","NA",VLOOKUP($I$7&amp;Data!$D$50,Week!1:300,MATCH(O18,Week!1:1,0),0))</f>
        <v>19.477499999999999</v>
      </c>
      <c r="P50" s="788">
        <f>IF(VLOOKUP($I$7&amp;Data!$D$50,Week!1:300,MATCH(P18,Week!1:1,0),0)="","NA",VLOOKUP($I$7&amp;Data!$D$50,Week!1:300,MATCH(P18,Week!1:1,0),0))</f>
        <v>19.477499999999999</v>
      </c>
      <c r="Q50" s="788">
        <f>IF(Q49="NA",P50,Q49)</f>
        <v>19.477499999999999</v>
      </c>
      <c r="R50" s="788">
        <f>IF(R49="NA",Q50,R49)</f>
        <v>19.477499999999999</v>
      </c>
      <c r="T50" s="593"/>
      <c r="Z50" s="577"/>
      <c r="AA50" s="577"/>
      <c r="AB50" s="577"/>
      <c r="AC50" s="577"/>
      <c r="AD50" s="586"/>
      <c r="AE50" s="586"/>
      <c r="AF50" s="586"/>
      <c r="AG50" s="586"/>
      <c r="AH50" s="586"/>
      <c r="AI50" s="586"/>
      <c r="AJ50" s="577"/>
      <c r="AK50" s="587"/>
      <c r="AL50" s="587"/>
    </row>
    <row r="51" spans="1:39" ht="21" customHeight="1" thickBot="1">
      <c r="A51" s="786" t="s">
        <v>133</v>
      </c>
      <c r="B51" s="561">
        <v>0.48</v>
      </c>
      <c r="D51" s="602"/>
      <c r="E51" s="602"/>
      <c r="F51" s="602"/>
      <c r="G51" s="594" t="str">
        <f ca="1">INDIRECT("'"&amp;Cover!$E$4&amp;"'!"&amp;CELL("address",B72))</f>
        <v>User estimate</v>
      </c>
      <c r="H51" s="721"/>
      <c r="I51" s="721"/>
      <c r="J51" s="721"/>
      <c r="K51" s="721"/>
      <c r="L51" s="721"/>
      <c r="M51" s="721"/>
      <c r="N51" s="721"/>
      <c r="O51" s="721"/>
      <c r="P51" s="721"/>
      <c r="Q51" s="721"/>
      <c r="R51" s="721"/>
      <c r="T51" s="720"/>
      <c r="U51" s="719"/>
      <c r="Z51" s="577"/>
      <c r="AA51" s="577"/>
      <c r="AB51" s="577"/>
      <c r="AC51" s="577"/>
      <c r="AD51" s="586"/>
      <c r="AE51" s="586"/>
      <c r="AF51" s="586"/>
      <c r="AG51" s="586"/>
      <c r="AH51" s="586"/>
      <c r="AI51" s="586"/>
      <c r="AJ51" s="577"/>
      <c r="AK51" s="587"/>
      <c r="AL51" s="587"/>
    </row>
    <row r="52" spans="1:39" ht="21" customHeight="1">
      <c r="A52" s="786" t="s">
        <v>930</v>
      </c>
      <c r="B52" s="561">
        <v>0.49</v>
      </c>
      <c r="G52" s="596"/>
      <c r="H52" s="593"/>
      <c r="Z52" s="587"/>
      <c r="AA52" s="587"/>
      <c r="AB52" s="587"/>
      <c r="AC52" s="587"/>
      <c r="AE52" s="559"/>
      <c r="AF52" s="559"/>
      <c r="AG52" s="559"/>
      <c r="AH52" s="559"/>
      <c r="AI52" s="559"/>
      <c r="AJ52" s="587"/>
      <c r="AK52" s="587"/>
      <c r="AL52" s="587"/>
    </row>
    <row r="53" spans="1:39" ht="22" customHeight="1">
      <c r="A53" s="786" t="s">
        <v>134</v>
      </c>
      <c r="B53" s="561">
        <v>0.5</v>
      </c>
      <c r="D53" s="611" t="str">
        <f ca="1">INDIRECT("'"&amp;Cover!$E$4&amp;"'!"&amp;CELL("address",B81))</f>
        <v>Test type</v>
      </c>
      <c r="E53" s="611"/>
      <c r="F53" s="611"/>
      <c r="G53" s="589"/>
      <c r="H53" s="590"/>
      <c r="I53" s="590"/>
      <c r="J53" s="590"/>
      <c r="K53" s="590"/>
      <c r="L53" s="590"/>
      <c r="M53" s="590"/>
      <c r="N53" s="590"/>
      <c r="O53" s="590"/>
      <c r="P53" s="590"/>
      <c r="Q53" s="590"/>
      <c r="R53" s="590"/>
      <c r="S53" s="590"/>
      <c r="T53" s="590"/>
    </row>
    <row r="54" spans="1:39" ht="22" customHeight="1">
      <c r="A54" s="786" t="s">
        <v>135</v>
      </c>
      <c r="B54" s="561">
        <v>0.51</v>
      </c>
      <c r="D54" s="593" t="str">
        <f ca="1">INDIRECT("'"&amp;Cover!$E$4&amp;"'!"&amp;CELL("address",E70))</f>
        <v>Data to view</v>
      </c>
      <c r="E54" s="593"/>
      <c r="F54" s="593" t="str">
        <f ca="1">INDIRECT("'"&amp;Cover!$E$4&amp;"'!"&amp;CELL("address",E71))</f>
        <v>Use these estimates?</v>
      </c>
      <c r="G54" s="596"/>
      <c r="H54" s="587">
        <f>IF(VLOOKUP($I$7&amp;Data!$D$55,'Test type'!1:304,MATCH(H18,'Test type'!1:1,0),0)="","NA",VLOOKUP($I$7&amp;Data!$D$55,'Test type'!1:304,MATCH(H18,'Test type'!1:1,0),0))</f>
        <v>0.68600000000000005</v>
      </c>
      <c r="I54" s="587">
        <f>IF(VLOOKUP($I$7&amp;Data!$D$55,'Test type'!1:304,MATCH(I18,'Test type'!1:1,0),0)="","NA",VLOOKUP($I$7&amp;Data!$D$55,'Test type'!1:304,MATCH(I18,'Test type'!1:1,0),0))</f>
        <v>0.68600000000000005</v>
      </c>
      <c r="J54" s="587">
        <f>IF(VLOOKUP($I$7&amp;Data!$D$55,'Test type'!1:304,MATCH(J18,'Test type'!1:1,0),0)="","NA",VLOOKUP($I$7&amp;Data!$D$55,'Test type'!1:304,MATCH(J18,'Test type'!1:1,0),0))</f>
        <v>0.68600000000000005</v>
      </c>
      <c r="K54" s="587">
        <f>IF(VLOOKUP($I$7&amp;Data!$D$55,'Test type'!1:304,MATCH(K18,'Test type'!1:1,0),0)="","NA",VLOOKUP($I$7&amp;Data!$D$55,'Test type'!1:304,MATCH(K18,'Test type'!1:1,0),0))</f>
        <v>1</v>
      </c>
      <c r="L54" s="587">
        <f>IF(VLOOKUP($I$7&amp;Data!$D$55,'Test type'!1:304,MATCH(L18,'Test type'!1:1,0),0)="","NA",VLOOKUP($I$7&amp;Data!$D$55,'Test type'!1:304,MATCH(L18,'Test type'!1:1,0),0))</f>
        <v>0.52200000000000002</v>
      </c>
      <c r="M54" s="587">
        <f>IF(VLOOKUP($I$7&amp;Data!$D$55,'Test type'!1:304,MATCH(M18,'Test type'!1:1,0),0)="","NA",VLOOKUP($I$7&amp;Data!$D$55,'Test type'!1:304,MATCH(M18,'Test type'!1:1,0),0))</f>
        <v>0.68600000000000005</v>
      </c>
      <c r="N54" s="587">
        <f>IF(VLOOKUP($I$7&amp;Data!$D$55,'Test type'!1:304,MATCH(N18,'Test type'!1:1,0),0)="","NA",VLOOKUP($I$7&amp;Data!$D$55,'Test type'!1:304,MATCH(N18,'Test type'!1:1,0),0))</f>
        <v>0.52200000000000002</v>
      </c>
      <c r="O54" s="587">
        <f>IF(VLOOKUP($I$7&amp;Data!$D$55,'Test type'!1:304,MATCH(O18,'Test type'!1:1,0),0)="","NA",VLOOKUP($I$7&amp;Data!$D$55,'Test type'!1:304,MATCH(O18,'Test type'!1:1,0),0))</f>
        <v>0.68600000000000005</v>
      </c>
      <c r="P54" s="587" t="str">
        <f>IF(VLOOKUP($I$7&amp;Data!$D$55,'Test type'!1:304,MATCH(P18,'Test type'!1:1,0),0)="","NA",VLOOKUP($I$7&amp;Data!$D$55,'Test type'!1:304,MATCH(P18,'Test type'!1:1,0),0))</f>
        <v>NA</v>
      </c>
      <c r="Q54" s="587" t="str">
        <f>IF(VLOOKUP($I$7&amp;Data!$D$55,'Test type'!1:304,MATCH(Q18,'Test type'!1:1,0),0)="","NA",VLOOKUP($I$7&amp;Data!$D$55,'Test type'!1:304,MATCH(Q18,'Test type'!1:1,0),0))</f>
        <v>NA</v>
      </c>
    </row>
    <row r="55" spans="1:39" ht="32" customHeight="1" thickBot="1">
      <c r="A55" s="786" t="s">
        <v>136</v>
      </c>
      <c r="B55" s="561">
        <v>0.52</v>
      </c>
      <c r="C55" s="577"/>
      <c r="D55" s="714" t="s">
        <v>873</v>
      </c>
      <c r="E55" s="607"/>
      <c r="F55" s="716" t="s">
        <v>815</v>
      </c>
      <c r="G55" s="594" t="str">
        <f ca="1">INDIRECT("'"&amp;Cover!$E$4&amp;"'!"&amp;CELL("address",B71))</f>
        <v>Loaded estimate</v>
      </c>
      <c r="H55" s="558" t="str">
        <f>IF(H54=0.686,"Unknown",IF(H54=0.522,"Trep.",IF(H54=0.536,"Non-trep.",IF(H54=1,"Trep. &amp; non-trep.","Unknown"))))</f>
        <v>Unknown</v>
      </c>
      <c r="I55" s="558" t="str">
        <f t="shared" ref="I55:Q55" si="0">IF(I54=0.686,"Unknown",IF(I54=0.522,"Trep.",IF(I54=0.536,"Non-trep.",IF(I54=1,"Trep. &amp; non-trep.","Unknown"))))</f>
        <v>Unknown</v>
      </c>
      <c r="J55" s="558" t="str">
        <f t="shared" si="0"/>
        <v>Unknown</v>
      </c>
      <c r="K55" s="558" t="str">
        <f t="shared" si="0"/>
        <v>Trep. &amp; non-trep.</v>
      </c>
      <c r="L55" s="558" t="str">
        <f t="shared" si="0"/>
        <v>Trep.</v>
      </c>
      <c r="M55" s="558" t="str">
        <f t="shared" si="0"/>
        <v>Unknown</v>
      </c>
      <c r="N55" s="558" t="str">
        <f t="shared" si="0"/>
        <v>Trep.</v>
      </c>
      <c r="O55" s="558" t="str">
        <f t="shared" si="0"/>
        <v>Unknown</v>
      </c>
      <c r="P55" s="558" t="str">
        <f t="shared" si="0"/>
        <v>Unknown</v>
      </c>
      <c r="Q55" s="558" t="str">
        <f t="shared" si="0"/>
        <v>Unknown</v>
      </c>
      <c r="R55" s="558" t="str">
        <f t="shared" ref="R55" si="1">IF(R54=0.686,"Unknown",IF(R54=0.522,"Trep.",IF(R54=0.536,"Non-trep.",IF(R54=1,"Trep. &amp; non-trep.","Unknown"))))</f>
        <v>Unknown</v>
      </c>
    </row>
    <row r="56" spans="1:39" ht="36" customHeight="1" thickBot="1">
      <c r="A56" s="786" t="s">
        <v>177</v>
      </c>
      <c r="B56" s="561">
        <v>0.53</v>
      </c>
      <c r="C56" s="577"/>
      <c r="G56" s="583" t="str">
        <f ca="1">INDIRECT("'"&amp;Cover!$E$4&amp;"'!"&amp;CELL("address",B72))</f>
        <v>User estimate</v>
      </c>
      <c r="H56" s="612" t="s">
        <v>767</v>
      </c>
      <c r="I56" s="612" t="s">
        <v>767</v>
      </c>
      <c r="J56" s="612" t="s">
        <v>767</v>
      </c>
      <c r="K56" s="612" t="s">
        <v>767</v>
      </c>
      <c r="L56" s="612" t="s">
        <v>767</v>
      </c>
      <c r="M56" s="612" t="s">
        <v>767</v>
      </c>
      <c r="N56" s="612" t="s">
        <v>767</v>
      </c>
      <c r="O56" s="612" t="s">
        <v>767</v>
      </c>
      <c r="P56" s="612" t="s">
        <v>767</v>
      </c>
      <c r="Q56" s="612" t="s">
        <v>767</v>
      </c>
      <c r="R56" s="612" t="s">
        <v>767</v>
      </c>
    </row>
    <row r="57" spans="1:39" ht="14" customHeight="1">
      <c r="A57" s="786" t="s">
        <v>375</v>
      </c>
      <c r="B57" s="561">
        <v>0.54</v>
      </c>
      <c r="C57" s="577"/>
    </row>
    <row r="58" spans="1:39" ht="18">
      <c r="A58" s="786" t="s">
        <v>137</v>
      </c>
      <c r="B58" s="561">
        <v>0.55000000000000004</v>
      </c>
      <c r="C58" s="577"/>
      <c r="D58" s="611"/>
      <c r="E58" s="611"/>
      <c r="F58" s="611"/>
      <c r="G58" s="589"/>
      <c r="H58" s="590"/>
      <c r="I58" s="590"/>
      <c r="J58" s="590"/>
      <c r="K58" s="590"/>
      <c r="L58" s="590"/>
      <c r="M58" s="590"/>
      <c r="N58" s="590"/>
      <c r="O58" s="590"/>
      <c r="P58" s="590"/>
      <c r="Q58" s="590"/>
      <c r="R58" s="590"/>
      <c r="S58" s="590"/>
      <c r="T58" s="590"/>
    </row>
    <row r="59" spans="1:39" ht="37" customHeight="1">
      <c r="A59" s="786" t="s">
        <v>150</v>
      </c>
      <c r="B59" s="561">
        <v>0.56000000000000005</v>
      </c>
      <c r="C59" s="577"/>
      <c r="D59" s="613"/>
      <c r="E59" s="613"/>
      <c r="F59" s="613"/>
      <c r="P59" s="575"/>
    </row>
    <row r="60" spans="1:39" ht="20" customHeight="1">
      <c r="A60" s="786" t="s">
        <v>761</v>
      </c>
      <c r="B60" s="561">
        <v>0.56999999999999995</v>
      </c>
      <c r="C60" s="577"/>
      <c r="D60" s="593"/>
      <c r="E60" s="593"/>
      <c r="F60" s="593"/>
      <c r="P60" s="575"/>
    </row>
    <row r="61" spans="1:39" ht="18">
      <c r="A61" s="786" t="s">
        <v>230</v>
      </c>
      <c r="B61" s="561">
        <v>0.57999999999999996</v>
      </c>
      <c r="C61" s="577"/>
      <c r="D61" s="731" t="str">
        <f ca="1">INDIRECT("'"&amp;Cover!$E$4&amp;"'!"&amp;CELL("address",B84))</f>
        <v>Number of reported cases</v>
      </c>
      <c r="E61" s="614"/>
      <c r="F61" s="614"/>
      <c r="G61" s="614"/>
      <c r="H61" s="614"/>
      <c r="I61" s="614"/>
      <c r="J61" s="614"/>
      <c r="K61" s="614"/>
      <c r="L61" s="614"/>
      <c r="M61" s="614"/>
      <c r="N61" s="614"/>
      <c r="O61" s="614"/>
      <c r="P61" s="614"/>
      <c r="Q61" s="614"/>
      <c r="R61" s="614"/>
      <c r="S61" s="614"/>
      <c r="T61" s="614"/>
    </row>
    <row r="62" spans="1:39" ht="17" thickBot="1">
      <c r="A62" s="786" t="s">
        <v>178</v>
      </c>
      <c r="B62" s="561">
        <v>0.59</v>
      </c>
      <c r="C62" s="577"/>
      <c r="D62" s="610"/>
      <c r="E62" s="610"/>
      <c r="F62" s="610"/>
      <c r="G62" s="610"/>
      <c r="H62" s="615"/>
      <c r="I62" s="615"/>
      <c r="J62" s="615"/>
      <c r="K62" s="615"/>
      <c r="L62" s="615"/>
      <c r="M62" s="615"/>
      <c r="N62" s="615"/>
      <c r="O62" s="615"/>
      <c r="P62" s="575"/>
    </row>
    <row r="63" spans="1:39" ht="24" customHeight="1" thickBot="1">
      <c r="A63" s="786" t="s">
        <v>931</v>
      </c>
      <c r="B63" s="561">
        <v>0.6</v>
      </c>
      <c r="C63" s="577"/>
      <c r="D63" s="616"/>
      <c r="E63" s="616"/>
      <c r="F63" s="616"/>
      <c r="G63" s="617" t="str">
        <f ca="1">INDIRECT("'"&amp;Cover!$E$4&amp;"'!"&amp;CELL("address",E34))</f>
        <v>User reported case number</v>
      </c>
      <c r="H63" s="595"/>
      <c r="I63" s="595"/>
      <c r="J63" s="595"/>
      <c r="K63" s="595"/>
      <c r="L63" s="595"/>
      <c r="M63" s="595"/>
      <c r="N63" s="595"/>
      <c r="O63" s="595"/>
      <c r="P63" s="595"/>
      <c r="Q63" s="595"/>
      <c r="R63" s="595"/>
    </row>
    <row r="64" spans="1:39" ht="19" customHeight="1">
      <c r="A64" s="786" t="s">
        <v>138</v>
      </c>
      <c r="B64" s="561">
        <v>0.61</v>
      </c>
      <c r="C64" s="577"/>
      <c r="G64" s="618" t="str">
        <f ca="1">INDIRECT("'"&amp;Cover!$E$4&amp;"'!"&amp;CELL("address",E33))</f>
        <v>User reported case rate</v>
      </c>
      <c r="H64" s="619" t="e">
        <f>IF(H63&gt;0,IF(H26&gt;0,(H63/H26)*100000,(H63/H24)*100000),#N/A)</f>
        <v>#N/A</v>
      </c>
      <c r="I64" s="619" t="e">
        <f t="shared" ref="I64:Q64" si="2">IF(I63&gt;0,IF(I26&gt;0,(I63/I26)*100000,(I63/I24)*100000),#N/A)</f>
        <v>#N/A</v>
      </c>
      <c r="J64" s="619" t="e">
        <f t="shared" si="2"/>
        <v>#N/A</v>
      </c>
      <c r="K64" s="619" t="e">
        <f t="shared" si="2"/>
        <v>#N/A</v>
      </c>
      <c r="L64" s="619" t="e">
        <f t="shared" si="2"/>
        <v>#N/A</v>
      </c>
      <c r="M64" s="619" t="e">
        <f t="shared" si="2"/>
        <v>#N/A</v>
      </c>
      <c r="N64" s="619" t="e">
        <f t="shared" si="2"/>
        <v>#N/A</v>
      </c>
      <c r="O64" s="619" t="e">
        <f t="shared" si="2"/>
        <v>#N/A</v>
      </c>
      <c r="P64" s="619" t="e">
        <f t="shared" si="2"/>
        <v>#N/A</v>
      </c>
      <c r="Q64" s="619" t="e">
        <f t="shared" si="2"/>
        <v>#N/A</v>
      </c>
      <c r="R64" s="619" t="e">
        <f t="shared" ref="R64" si="3">IF(R63&gt;0,IF(R26&gt;0,(R63/R26)*100000,(R63/R24)*100000),#N/A)</f>
        <v>#N/A</v>
      </c>
    </row>
    <row r="65" spans="1:47" ht="29" customHeight="1">
      <c r="A65" s="786" t="s">
        <v>932</v>
      </c>
      <c r="B65" s="561">
        <v>0.62</v>
      </c>
      <c r="C65" s="577"/>
      <c r="P65" s="575"/>
      <c r="Z65" s="615"/>
      <c r="AA65" s="615"/>
      <c r="AB65" s="587"/>
      <c r="AD65" s="558"/>
      <c r="AI65" s="615"/>
      <c r="AJ65" s="615"/>
    </row>
    <row r="66" spans="1:47" s="620" customFormat="1" ht="31" customHeight="1">
      <c r="A66" s="786" t="s">
        <v>179</v>
      </c>
      <c r="B66" s="561">
        <v>0.63</v>
      </c>
      <c r="C66" s="821"/>
      <c r="D66" s="614"/>
      <c r="E66" s="614"/>
      <c r="F66" s="614"/>
      <c r="G66" s="614"/>
      <c r="H66" s="614"/>
      <c r="I66" s="614"/>
      <c r="J66" s="614"/>
      <c r="K66" s="614"/>
      <c r="L66" s="614"/>
      <c r="M66" s="614"/>
      <c r="N66" s="614"/>
      <c r="O66" s="614"/>
      <c r="P66" s="614"/>
      <c r="Q66" s="614"/>
      <c r="R66" s="614"/>
      <c r="S66" s="614"/>
      <c r="T66" s="614"/>
      <c r="Z66" s="621"/>
      <c r="AA66" s="621"/>
      <c r="AB66" s="732" t="str">
        <f ca="1">INDIRECT("'"&amp;Cover!$E$4&amp;"'!"&amp;CELL("address",E76))</f>
        <v>Reported cases</v>
      </c>
      <c r="AI66" s="621"/>
      <c r="AJ66" s="621"/>
      <c r="AU66" s="732"/>
    </row>
    <row r="67" spans="1:47" ht="68">
      <c r="A67" s="786" t="s">
        <v>359</v>
      </c>
      <c r="B67" s="561">
        <v>0.64</v>
      </c>
      <c r="C67" s="577"/>
      <c r="H67" s="587">
        <f>'Data (Calculations)'!F50</f>
        <v>1</v>
      </c>
      <c r="I67" s="587">
        <f>'Data (Calculations)'!G50</f>
        <v>0</v>
      </c>
      <c r="J67" s="587">
        <f>'Data (Calculations)'!H50</f>
        <v>0</v>
      </c>
      <c r="K67" s="587">
        <f>'Data (Calculations)'!I50</f>
        <v>0</v>
      </c>
      <c r="L67" s="587">
        <f>'Data (Calculations)'!J50</f>
        <v>0</v>
      </c>
      <c r="M67" s="587">
        <f>'Data (Calculations)'!K50</f>
        <v>0</v>
      </c>
      <c r="N67" s="587">
        <f>'Data (Calculations)'!L50</f>
        <v>0</v>
      </c>
      <c r="O67" s="587">
        <f>'Data (Calculations)'!M50</f>
        <v>0</v>
      </c>
      <c r="P67" s="587">
        <f>'Data (Calculations)'!N50</f>
        <v>1</v>
      </c>
      <c r="Q67" s="587">
        <f>'Data (Calculations)'!O50</f>
        <v>0</v>
      </c>
      <c r="R67" s="587">
        <f>'Data (Calculations)'!P50</f>
        <v>0</v>
      </c>
      <c r="S67" s="587"/>
      <c r="T67" s="587">
        <f>'Data (Calculations)'!Q50</f>
        <v>0</v>
      </c>
      <c r="AB67" s="587" t="str">
        <f ca="1">INDIRECT("'"&amp;Cover!$E$4&amp;"'!"&amp;CELL("address",E27))</f>
        <v>WHO elimination target</v>
      </c>
      <c r="AD67" s="558"/>
    </row>
    <row r="68" spans="1:47">
      <c r="A68" s="786" t="s">
        <v>139</v>
      </c>
      <c r="B68" s="561">
        <v>0.65</v>
      </c>
      <c r="C68" s="577"/>
      <c r="D68" s="620"/>
      <c r="E68" s="620"/>
      <c r="F68" s="620"/>
      <c r="G68" s="620"/>
      <c r="Z68" s="615"/>
      <c r="AA68" s="615"/>
      <c r="AB68" s="587"/>
      <c r="AD68" s="558"/>
      <c r="AE68" s="733"/>
      <c r="AI68" s="615"/>
      <c r="AJ68" s="615"/>
    </row>
    <row r="69" spans="1:47" ht="19">
      <c r="A69" s="786" t="s">
        <v>140</v>
      </c>
      <c r="B69" s="561">
        <v>0.66</v>
      </c>
      <c r="C69" s="577"/>
      <c r="D69" s="797" t="str">
        <f ca="1">INDIRECT("'"&amp;Cover!$E$4&amp;"'!"&amp;CELL("address",B88))</f>
        <v>Your country is set to:</v>
      </c>
      <c r="E69" s="797"/>
      <c r="F69" s="797"/>
      <c r="G69" s="797"/>
      <c r="H69" s="797"/>
      <c r="I69" s="797"/>
      <c r="J69" s="797"/>
      <c r="K69" s="797"/>
      <c r="L69" s="797"/>
      <c r="M69" s="797"/>
      <c r="N69" s="797"/>
      <c r="O69" s="797"/>
      <c r="P69" s="797"/>
      <c r="Q69" s="797"/>
      <c r="R69" s="797"/>
      <c r="S69" s="797"/>
      <c r="T69" s="797"/>
      <c r="U69" s="797"/>
      <c r="V69" s="797"/>
      <c r="W69" s="797"/>
      <c r="X69" s="797"/>
      <c r="Y69" s="797"/>
      <c r="Z69" s="615"/>
      <c r="AA69" s="615"/>
      <c r="AD69" s="558"/>
      <c r="AE69" s="734"/>
      <c r="AI69" s="615"/>
      <c r="AJ69" s="615"/>
    </row>
    <row r="70" spans="1:47">
      <c r="A70" s="786" t="s">
        <v>933</v>
      </c>
      <c r="B70" s="561">
        <v>0.67</v>
      </c>
      <c r="C70" s="577"/>
      <c r="D70" s="577"/>
      <c r="E70" s="577"/>
      <c r="F70" s="577"/>
      <c r="G70" s="711"/>
      <c r="H70" s="712"/>
      <c r="I70" s="577"/>
      <c r="J70" s="587">
        <v>50</v>
      </c>
      <c r="K70" s="587">
        <v>50</v>
      </c>
      <c r="L70" s="587">
        <v>50</v>
      </c>
      <c r="M70" s="587">
        <v>50</v>
      </c>
      <c r="N70" s="587">
        <v>50</v>
      </c>
      <c r="O70" s="587">
        <v>50</v>
      </c>
      <c r="P70" s="587">
        <v>50</v>
      </c>
      <c r="Q70" s="587">
        <v>50</v>
      </c>
      <c r="R70" s="587">
        <v>50</v>
      </c>
      <c r="S70" s="587"/>
      <c r="T70" s="587"/>
      <c r="U70" s="587"/>
      <c r="V70" s="587"/>
      <c r="W70" s="587"/>
      <c r="X70" s="587"/>
      <c r="Y70" s="587"/>
      <c r="Z70" s="615"/>
      <c r="AA70" s="615"/>
      <c r="AD70" s="558"/>
      <c r="AI70" s="615"/>
      <c r="AJ70" s="615"/>
    </row>
    <row r="71" spans="1:47">
      <c r="A71" s="786" t="s">
        <v>180</v>
      </c>
      <c r="B71" s="561">
        <v>0.68</v>
      </c>
      <c r="C71" s="577"/>
      <c r="D71" s="587"/>
      <c r="E71" s="587"/>
      <c r="F71" s="587"/>
      <c r="G71" s="587"/>
      <c r="H71" s="587"/>
      <c r="I71" s="587"/>
      <c r="J71" s="587"/>
      <c r="K71" s="587"/>
      <c r="L71" s="587"/>
      <c r="M71" s="587"/>
      <c r="N71" s="587"/>
      <c r="O71" s="587"/>
      <c r="P71" s="587"/>
      <c r="Q71" s="587"/>
      <c r="R71" s="587"/>
      <c r="S71" s="587"/>
      <c r="T71" s="587"/>
      <c r="U71" s="587"/>
      <c r="V71" s="587"/>
      <c r="W71" s="587"/>
      <c r="X71" s="587"/>
      <c r="Y71" s="587"/>
      <c r="AD71" s="558"/>
    </row>
    <row r="72" spans="1:47" ht="21" customHeight="1">
      <c r="A72" s="786" t="s">
        <v>181</v>
      </c>
      <c r="B72" s="561">
        <v>0.69</v>
      </c>
      <c r="C72" s="577"/>
      <c r="D72" s="610"/>
      <c r="E72" s="610"/>
      <c r="F72" s="610"/>
      <c r="G72" s="623"/>
      <c r="H72" s="622"/>
      <c r="I72" s="610"/>
      <c r="J72" s="610"/>
      <c r="K72" s="615"/>
      <c r="L72" s="615"/>
      <c r="M72" s="615"/>
      <c r="N72" s="615"/>
      <c r="O72" s="615"/>
      <c r="Z72" s="615"/>
      <c r="AA72" s="615"/>
      <c r="AD72" s="558"/>
      <c r="AI72" s="615"/>
      <c r="AJ72" s="615"/>
    </row>
    <row r="73" spans="1:47" ht="19">
      <c r="A73" s="786" t="s">
        <v>182</v>
      </c>
      <c r="B73" s="561">
        <v>0.7</v>
      </c>
      <c r="C73" s="577"/>
      <c r="D73" s="798"/>
      <c r="E73" s="798"/>
      <c r="F73" s="798"/>
      <c r="G73" s="798"/>
      <c r="H73" s="798"/>
      <c r="I73" s="798"/>
      <c r="J73" s="798"/>
      <c r="K73" s="798"/>
      <c r="L73" s="798"/>
      <c r="M73" s="798"/>
      <c r="N73" s="798"/>
      <c r="O73" s="798"/>
      <c r="P73" s="798"/>
      <c r="Q73" s="798"/>
      <c r="R73" s="798"/>
      <c r="S73" s="798"/>
      <c r="T73" s="798"/>
      <c r="U73" s="798"/>
      <c r="V73" s="798"/>
      <c r="W73" s="798"/>
      <c r="X73" s="798"/>
      <c r="Y73" s="798"/>
      <c r="Z73" s="798"/>
      <c r="AA73" s="798"/>
      <c r="AB73" s="798"/>
      <c r="AC73" s="798"/>
      <c r="AD73" s="798"/>
      <c r="AE73" s="798"/>
      <c r="AF73" s="798"/>
      <c r="AG73" s="798"/>
      <c r="AH73" s="798"/>
      <c r="AI73" s="798"/>
      <c r="AJ73" s="798"/>
    </row>
    <row r="74" spans="1:47">
      <c r="A74" s="786" t="s">
        <v>360</v>
      </c>
      <c r="B74" s="561">
        <v>0.71</v>
      </c>
      <c r="C74" s="577"/>
      <c r="D74" s="610"/>
      <c r="E74" s="610"/>
      <c r="F74" s="610"/>
      <c r="G74" s="623"/>
      <c r="H74" s="622"/>
      <c r="I74" s="624"/>
      <c r="J74" s="624"/>
      <c r="K74" s="625"/>
      <c r="L74" s="615"/>
      <c r="M74" s="615"/>
      <c r="N74" s="615"/>
      <c r="O74" s="615"/>
      <c r="Z74" s="615"/>
      <c r="AA74" s="615"/>
      <c r="AB74" s="615"/>
      <c r="AC74" s="615"/>
      <c r="AD74" s="615"/>
      <c r="AE74" s="615"/>
      <c r="AF74" s="615"/>
      <c r="AG74" s="615"/>
      <c r="AH74" s="615"/>
      <c r="AI74" s="615"/>
      <c r="AJ74" s="615"/>
    </row>
    <row r="75" spans="1:47">
      <c r="A75" s="786" t="s">
        <v>934</v>
      </c>
      <c r="B75" s="561">
        <v>0.72</v>
      </c>
      <c r="C75" s="577"/>
      <c r="D75" s="610"/>
      <c r="E75" s="610"/>
      <c r="F75" s="610"/>
      <c r="G75" s="610"/>
      <c r="H75" s="626"/>
      <c r="I75" s="626"/>
      <c r="J75" s="626"/>
      <c r="K75" s="626"/>
      <c r="L75" s="615"/>
      <c r="M75" s="615"/>
      <c r="N75" s="615"/>
      <c r="O75" s="615"/>
      <c r="Z75" s="615"/>
      <c r="AA75" s="615"/>
      <c r="AB75" s="615"/>
      <c r="AC75" s="615"/>
      <c r="AD75" s="615"/>
      <c r="AE75" s="615"/>
      <c r="AF75" s="615"/>
      <c r="AG75" s="615"/>
      <c r="AH75" s="615"/>
      <c r="AI75" s="615"/>
      <c r="AJ75" s="615"/>
    </row>
    <row r="76" spans="1:47">
      <c r="A76" s="557" t="s">
        <v>953</v>
      </c>
      <c r="B76" s="561">
        <v>0.73</v>
      </c>
      <c r="C76" s="577"/>
      <c r="D76" s="610"/>
      <c r="E76" s="610"/>
      <c r="F76" s="610"/>
      <c r="G76" s="610"/>
      <c r="H76" s="626"/>
      <c r="I76" s="610"/>
      <c r="J76" s="610"/>
      <c r="K76" s="627"/>
      <c r="L76" s="615"/>
      <c r="M76" s="615"/>
      <c r="N76" s="615"/>
      <c r="O76" s="615"/>
      <c r="Z76" s="615"/>
      <c r="AA76" s="615"/>
      <c r="AB76" s="615"/>
      <c r="AC76" s="615"/>
      <c r="AD76" s="615"/>
      <c r="AE76" s="615"/>
      <c r="AF76" s="615"/>
      <c r="AG76" s="615"/>
      <c r="AH76" s="615"/>
      <c r="AI76" s="615"/>
      <c r="AJ76" s="615"/>
    </row>
    <row r="77" spans="1:47" ht="24" customHeight="1">
      <c r="A77" s="786" t="s">
        <v>361</v>
      </c>
      <c r="B77" s="561">
        <v>0.74</v>
      </c>
      <c r="C77" s="577"/>
      <c r="D77" s="628"/>
      <c r="E77" s="628"/>
      <c r="F77" s="628"/>
      <c r="G77" s="610"/>
      <c r="H77" s="626"/>
      <c r="I77" s="610"/>
      <c r="J77" s="610"/>
      <c r="K77" s="627"/>
      <c r="L77" s="615"/>
      <c r="M77" s="615"/>
      <c r="N77" s="615"/>
      <c r="O77" s="615"/>
      <c r="Z77" s="615"/>
      <c r="AA77" s="615"/>
      <c r="AB77" s="615"/>
      <c r="AC77" s="615"/>
      <c r="AD77" s="615"/>
      <c r="AE77" s="615"/>
      <c r="AF77" s="615"/>
      <c r="AG77" s="615"/>
      <c r="AH77" s="615"/>
      <c r="AI77" s="615"/>
      <c r="AJ77" s="615"/>
    </row>
    <row r="78" spans="1:47">
      <c r="A78" s="786" t="s">
        <v>362</v>
      </c>
      <c r="B78" s="561">
        <v>0.75</v>
      </c>
      <c r="C78" s="577"/>
      <c r="D78" s="610"/>
      <c r="E78" s="610"/>
      <c r="F78" s="610"/>
      <c r="G78" s="610"/>
      <c r="H78" s="626"/>
      <c r="I78" s="610"/>
      <c r="J78" s="610"/>
      <c r="K78" s="627"/>
      <c r="L78" s="627"/>
      <c r="M78" s="610"/>
      <c r="N78" s="629"/>
      <c r="O78" s="629"/>
      <c r="P78" s="630"/>
      <c r="Q78" s="630"/>
      <c r="R78" s="630"/>
      <c r="S78" s="630"/>
      <c r="T78" s="630"/>
      <c r="U78" s="630"/>
      <c r="V78" s="630"/>
      <c r="W78" s="630"/>
      <c r="X78" s="630"/>
      <c r="Y78" s="630"/>
      <c r="Z78" s="629"/>
      <c r="AA78" s="629"/>
      <c r="AB78" s="629"/>
      <c r="AC78" s="610"/>
      <c r="AD78" s="615"/>
      <c r="AE78" s="615"/>
      <c r="AF78" s="615"/>
      <c r="AG78" s="615"/>
      <c r="AH78" s="615"/>
      <c r="AI78" s="615"/>
      <c r="AJ78" s="615"/>
    </row>
    <row r="79" spans="1:47" ht="18">
      <c r="A79" s="786" t="s">
        <v>363</v>
      </c>
      <c r="B79" s="561">
        <v>0.76</v>
      </c>
      <c r="C79" s="577"/>
      <c r="D79" s="631"/>
      <c r="E79" s="631"/>
      <c r="F79" s="631"/>
      <c r="G79" s="632"/>
      <c r="H79" s="633"/>
      <c r="I79" s="610"/>
      <c r="J79" s="610"/>
      <c r="K79" s="627"/>
      <c r="L79" s="627"/>
      <c r="M79" s="634"/>
      <c r="N79" s="634"/>
      <c r="O79" s="610"/>
      <c r="P79" s="575"/>
      <c r="Q79" s="575"/>
      <c r="R79" s="575"/>
      <c r="S79" s="575"/>
      <c r="T79" s="575"/>
      <c r="U79" s="575"/>
      <c r="V79" s="575"/>
      <c r="W79" s="575"/>
      <c r="X79" s="575"/>
      <c r="Y79" s="575"/>
      <c r="Z79" s="610"/>
      <c r="AA79" s="610"/>
      <c r="AB79" s="610"/>
      <c r="AC79" s="610"/>
      <c r="AD79" s="615"/>
      <c r="AE79" s="615"/>
      <c r="AF79" s="615"/>
      <c r="AG79" s="615"/>
      <c r="AH79" s="615"/>
      <c r="AI79" s="615"/>
      <c r="AJ79" s="615"/>
    </row>
    <row r="80" spans="1:47">
      <c r="A80" s="786" t="s">
        <v>183</v>
      </c>
      <c r="B80" s="561">
        <v>0.77</v>
      </c>
      <c r="C80" s="577"/>
      <c r="D80" s="575"/>
      <c r="E80" s="575"/>
      <c r="F80" s="575"/>
      <c r="G80" s="635"/>
      <c r="H80" s="636"/>
      <c r="I80" s="575"/>
      <c r="J80" s="575"/>
      <c r="K80" s="574"/>
      <c r="L80" s="574"/>
      <c r="M80" s="637"/>
      <c r="N80" s="575"/>
      <c r="O80" s="575"/>
      <c r="P80" s="575"/>
      <c r="Q80" s="575"/>
      <c r="R80" s="575"/>
      <c r="S80" s="575"/>
      <c r="T80" s="575"/>
      <c r="U80" s="575"/>
      <c r="V80" s="575"/>
      <c r="W80" s="575"/>
      <c r="X80" s="575"/>
      <c r="Y80" s="575"/>
      <c r="Z80" s="575"/>
      <c r="AA80" s="575"/>
      <c r="AB80" s="575"/>
      <c r="AC80" s="575"/>
      <c r="AD80" s="586"/>
    </row>
    <row r="81" spans="1:31">
      <c r="A81" s="786" t="s">
        <v>364</v>
      </c>
      <c r="B81" s="561">
        <v>0.78</v>
      </c>
      <c r="C81" s="577"/>
      <c r="D81" s="575"/>
      <c r="E81" s="575"/>
      <c r="F81" s="575"/>
      <c r="G81" s="635"/>
      <c r="H81" s="636"/>
      <c r="I81" s="575"/>
      <c r="J81" s="575"/>
      <c r="K81" s="574"/>
      <c r="L81" s="574"/>
      <c r="M81" s="575"/>
      <c r="N81" s="575"/>
      <c r="O81" s="575"/>
      <c r="P81" s="575"/>
      <c r="Q81" s="575"/>
      <c r="R81" s="575"/>
      <c r="S81" s="575"/>
      <c r="T81" s="575"/>
      <c r="U81" s="575"/>
      <c r="V81" s="575"/>
      <c r="W81" s="575"/>
      <c r="X81" s="575"/>
      <c r="Y81" s="575"/>
      <c r="Z81" s="575"/>
      <c r="AA81" s="575"/>
      <c r="AB81" s="575"/>
      <c r="AC81" s="575"/>
      <c r="AD81" s="586"/>
    </row>
    <row r="82" spans="1:31">
      <c r="A82" s="786" t="s">
        <v>935</v>
      </c>
      <c r="B82" s="561">
        <v>0.79</v>
      </c>
      <c r="C82" s="577"/>
      <c r="D82" s="575"/>
      <c r="E82" s="575"/>
      <c r="F82" s="575"/>
      <c r="G82" s="635"/>
      <c r="H82" s="636"/>
      <c r="I82" s="575"/>
      <c r="J82" s="575"/>
      <c r="K82" s="574"/>
      <c r="M82" s="575"/>
      <c r="N82" s="575"/>
      <c r="O82" s="638"/>
      <c r="P82" s="638"/>
      <c r="Q82" s="638"/>
      <c r="R82" s="638"/>
      <c r="S82" s="638"/>
      <c r="T82" s="638"/>
      <c r="U82" s="638"/>
      <c r="V82" s="638"/>
      <c r="W82" s="638"/>
      <c r="X82" s="638"/>
      <c r="Y82" s="638"/>
      <c r="Z82" s="638"/>
      <c r="AA82" s="638"/>
      <c r="AB82" s="638"/>
      <c r="AC82" s="638"/>
      <c r="AD82" s="586"/>
    </row>
    <row r="83" spans="1:31">
      <c r="A83" s="786" t="s">
        <v>141</v>
      </c>
      <c r="B83" s="561">
        <v>0.8</v>
      </c>
      <c r="C83" s="577"/>
      <c r="D83" s="575"/>
      <c r="E83" s="575"/>
      <c r="F83" s="575"/>
      <c r="G83" s="635"/>
      <c r="H83" s="636"/>
      <c r="I83" s="575"/>
      <c r="J83" s="575"/>
      <c r="K83" s="574"/>
      <c r="M83" s="575"/>
      <c r="N83" s="575"/>
      <c r="O83" s="635"/>
      <c r="P83" s="635"/>
      <c r="Q83" s="635"/>
      <c r="R83" s="635"/>
      <c r="S83" s="635"/>
      <c r="T83" s="635"/>
      <c r="U83" s="635"/>
      <c r="V83" s="635"/>
      <c r="W83" s="635"/>
      <c r="X83" s="635"/>
      <c r="Y83" s="635"/>
      <c r="Z83" s="635"/>
      <c r="AA83" s="635"/>
      <c r="AB83" s="635"/>
      <c r="AC83" s="635"/>
      <c r="AD83" s="586"/>
    </row>
    <row r="84" spans="1:31">
      <c r="A84" s="786" t="s">
        <v>151</v>
      </c>
      <c r="B84" s="561">
        <v>0.81</v>
      </c>
      <c r="C84" s="577"/>
      <c r="D84" s="575"/>
      <c r="E84" s="575"/>
      <c r="F84" s="575"/>
      <c r="G84" s="635"/>
      <c r="H84" s="636"/>
      <c r="I84" s="575"/>
      <c r="J84" s="575"/>
      <c r="K84" s="574"/>
      <c r="M84" s="639"/>
      <c r="N84" s="575"/>
      <c r="O84" s="635"/>
      <c r="P84" s="635"/>
      <c r="Q84" s="635"/>
      <c r="R84" s="635"/>
      <c r="S84" s="635"/>
      <c r="T84" s="635"/>
      <c r="U84" s="635"/>
      <c r="V84" s="635"/>
      <c r="W84" s="635"/>
      <c r="X84" s="635"/>
      <c r="Y84" s="635"/>
      <c r="Z84" s="635"/>
      <c r="AA84" s="635"/>
      <c r="AB84" s="635"/>
      <c r="AC84" s="635"/>
      <c r="AD84" s="586"/>
    </row>
    <row r="85" spans="1:31" ht="19" customHeight="1">
      <c r="A85" s="436" t="s">
        <v>936</v>
      </c>
      <c r="B85" s="561">
        <v>0.82</v>
      </c>
      <c r="C85" s="577"/>
      <c r="D85" s="575"/>
      <c r="E85" s="575"/>
      <c r="F85" s="575"/>
      <c r="G85" s="635"/>
      <c r="H85" s="640"/>
      <c r="I85" s="575"/>
      <c r="J85" s="575"/>
      <c r="K85" s="574"/>
      <c r="M85" s="575"/>
      <c r="N85" s="575"/>
      <c r="O85" s="635"/>
      <c r="P85" s="635"/>
      <c r="Q85" s="635"/>
      <c r="R85" s="635"/>
      <c r="S85" s="635"/>
      <c r="T85" s="635"/>
      <c r="U85" s="635"/>
      <c r="V85" s="635"/>
      <c r="W85" s="635"/>
      <c r="X85" s="635"/>
      <c r="Y85" s="635"/>
      <c r="Z85" s="635"/>
      <c r="AA85" s="635"/>
      <c r="AB85" s="635"/>
      <c r="AC85" s="635"/>
      <c r="AD85" s="586"/>
    </row>
    <row r="86" spans="1:31" ht="28" customHeight="1">
      <c r="A86" s="786" t="s">
        <v>937</v>
      </c>
      <c r="B86" s="561">
        <v>0.83</v>
      </c>
      <c r="C86" s="577"/>
      <c r="D86" s="575"/>
      <c r="E86" s="575"/>
      <c r="F86" s="575"/>
      <c r="G86" s="575"/>
      <c r="H86" s="640"/>
      <c r="I86" s="575"/>
      <c r="J86" s="575"/>
      <c r="K86" s="574"/>
      <c r="M86" s="575"/>
      <c r="N86" s="575"/>
      <c r="O86" s="635"/>
      <c r="P86" s="635"/>
      <c r="Q86" s="635"/>
      <c r="R86" s="635"/>
      <c r="S86" s="635"/>
      <c r="T86" s="635"/>
      <c r="U86" s="635"/>
      <c r="V86" s="635"/>
      <c r="W86" s="635"/>
      <c r="X86" s="635"/>
      <c r="Y86" s="635"/>
      <c r="Z86" s="635"/>
      <c r="AA86" s="635"/>
      <c r="AB86" s="635"/>
      <c r="AC86" s="635"/>
      <c r="AD86" s="586"/>
    </row>
    <row r="87" spans="1:31" ht="17" customHeight="1">
      <c r="A87" s="786" t="s">
        <v>0</v>
      </c>
      <c r="B87" s="561">
        <v>0.84</v>
      </c>
      <c r="C87" s="577"/>
      <c r="D87" s="575"/>
      <c r="E87" s="575"/>
      <c r="F87" s="575"/>
      <c r="G87" s="635"/>
      <c r="H87" s="640"/>
      <c r="I87" s="575"/>
      <c r="J87" s="575"/>
      <c r="K87" s="574"/>
      <c r="M87" s="575"/>
      <c r="N87" s="575"/>
      <c r="O87" s="575"/>
      <c r="P87" s="575"/>
      <c r="Q87" s="575"/>
      <c r="R87" s="575"/>
      <c r="S87" s="575"/>
      <c r="T87" s="575"/>
      <c r="U87" s="575"/>
      <c r="V87" s="575"/>
      <c r="W87" s="575"/>
      <c r="X87" s="575"/>
      <c r="Y87" s="575"/>
      <c r="Z87" s="641"/>
      <c r="AA87" s="575"/>
      <c r="AB87" s="575"/>
      <c r="AC87" s="575"/>
      <c r="AD87" s="586"/>
    </row>
    <row r="88" spans="1:31" ht="19" customHeight="1">
      <c r="A88" s="786" t="s">
        <v>938</v>
      </c>
      <c r="B88" s="561">
        <v>0.85</v>
      </c>
      <c r="C88" s="577"/>
      <c r="D88" s="642"/>
      <c r="E88" s="642"/>
      <c r="F88" s="642"/>
      <c r="G88" s="635"/>
      <c r="H88" s="640"/>
      <c r="I88" s="575"/>
      <c r="J88" s="575"/>
      <c r="K88" s="574"/>
      <c r="M88" s="565"/>
      <c r="N88" s="565"/>
      <c r="O88" s="565"/>
      <c r="P88" s="565"/>
      <c r="Q88" s="565"/>
      <c r="R88" s="565"/>
      <c r="S88" s="565"/>
      <c r="T88" s="565"/>
      <c r="U88" s="565"/>
      <c r="V88" s="565"/>
      <c r="W88" s="565"/>
      <c r="X88" s="565"/>
      <c r="Y88" s="565"/>
      <c r="AB88" s="574"/>
    </row>
    <row r="89" spans="1:31" ht="30" customHeight="1">
      <c r="A89" s="557" t="s">
        <v>950</v>
      </c>
      <c r="B89" s="561">
        <v>0.86</v>
      </c>
      <c r="C89" s="577"/>
      <c r="D89" s="575"/>
      <c r="E89" s="575"/>
      <c r="F89" s="575"/>
      <c r="G89" s="575"/>
      <c r="H89" s="575"/>
      <c r="I89" s="575"/>
      <c r="J89" s="575"/>
      <c r="K89" s="574"/>
      <c r="L89" s="574"/>
      <c r="M89" s="565"/>
      <c r="N89" s="565"/>
      <c r="O89" s="565"/>
      <c r="P89" s="565"/>
      <c r="Q89" s="565"/>
      <c r="R89" s="565"/>
      <c r="S89" s="565"/>
      <c r="T89" s="565"/>
      <c r="U89" s="565"/>
      <c r="V89" s="565"/>
      <c r="W89" s="565"/>
      <c r="X89" s="565"/>
      <c r="Y89" s="643"/>
      <c r="AB89" s="574"/>
    </row>
    <row r="90" spans="1:31" ht="19" customHeight="1">
      <c r="A90" s="786" t="s">
        <v>374</v>
      </c>
      <c r="B90" s="561">
        <v>0.87</v>
      </c>
      <c r="J90" s="574"/>
      <c r="K90" s="574"/>
      <c r="L90" s="574"/>
      <c r="M90" s="644"/>
      <c r="N90" s="645"/>
      <c r="O90" s="574"/>
      <c r="P90" s="574"/>
      <c r="Q90" s="574"/>
      <c r="R90" s="574"/>
      <c r="S90" s="574"/>
      <c r="T90" s="574"/>
      <c r="U90" s="574"/>
      <c r="V90" s="574"/>
      <c r="W90" s="574"/>
      <c r="X90" s="574"/>
      <c r="Y90" s="643"/>
    </row>
    <row r="91" spans="1:31" ht="14" customHeight="1">
      <c r="A91" s="786" t="s">
        <v>365</v>
      </c>
      <c r="B91" s="561">
        <v>0.88</v>
      </c>
      <c r="C91" s="577"/>
      <c r="D91" s="575"/>
      <c r="E91" s="575"/>
      <c r="F91" s="575"/>
      <c r="G91" s="575"/>
      <c r="H91" s="575"/>
      <c r="I91" s="575"/>
      <c r="J91" s="575"/>
      <c r="K91" s="575"/>
      <c r="L91" s="575"/>
      <c r="M91" s="575"/>
      <c r="N91" s="646"/>
      <c r="O91" s="641"/>
      <c r="P91" s="647"/>
      <c r="Q91" s="641"/>
      <c r="R91" s="641"/>
      <c r="S91" s="641"/>
      <c r="T91" s="641"/>
      <c r="U91" s="641"/>
      <c r="V91" s="641"/>
      <c r="W91" s="641"/>
      <c r="X91" s="641"/>
      <c r="Y91" s="575"/>
      <c r="Z91" s="575"/>
      <c r="AA91" s="575"/>
      <c r="AB91" s="575"/>
      <c r="AC91" s="575"/>
    </row>
    <row r="92" spans="1:31" ht="17" customHeight="1">
      <c r="A92" s="786" t="s">
        <v>143</v>
      </c>
      <c r="B92" s="561">
        <v>0.89</v>
      </c>
      <c r="C92" s="577"/>
      <c r="D92" s="575"/>
      <c r="E92" s="575"/>
      <c r="F92" s="575"/>
      <c r="G92" s="575"/>
      <c r="H92" s="575"/>
      <c r="I92" s="575"/>
      <c r="J92" s="575"/>
      <c r="K92" s="575"/>
      <c r="L92" s="575"/>
      <c r="M92" s="575"/>
      <c r="N92" s="575"/>
      <c r="O92" s="575"/>
      <c r="P92" s="575"/>
      <c r="Q92" s="575"/>
      <c r="R92" s="575"/>
      <c r="S92" s="575"/>
      <c r="T92" s="575"/>
      <c r="U92" s="575"/>
      <c r="V92" s="575"/>
      <c r="W92" s="575"/>
      <c r="X92" s="575"/>
      <c r="Y92" s="575"/>
      <c r="Z92" s="575"/>
      <c r="AA92" s="575"/>
      <c r="AB92" s="575"/>
      <c r="AC92" s="575"/>
    </row>
    <row r="93" spans="1:31" ht="28" customHeight="1">
      <c r="A93" s="786" t="s">
        <v>185</v>
      </c>
      <c r="B93" s="561">
        <v>0.9</v>
      </c>
      <c r="C93" s="577"/>
      <c r="D93" s="575"/>
      <c r="E93" s="575"/>
      <c r="F93" s="575"/>
      <c r="G93" s="575"/>
      <c r="H93" s="575"/>
      <c r="I93" s="575"/>
      <c r="J93" s="575"/>
      <c r="K93" s="575"/>
      <c r="L93" s="575"/>
      <c r="M93" s="575"/>
      <c r="N93" s="575"/>
      <c r="O93" s="575"/>
      <c r="P93" s="575"/>
      <c r="Q93" s="575"/>
      <c r="R93" s="575"/>
      <c r="S93" s="575"/>
      <c r="T93" s="575"/>
      <c r="U93" s="575"/>
      <c r="V93" s="575"/>
      <c r="W93" s="575"/>
      <c r="X93" s="575"/>
      <c r="Y93" s="575"/>
      <c r="Z93" s="575"/>
      <c r="AA93" s="575"/>
      <c r="AB93" s="575"/>
      <c r="AC93" s="575"/>
      <c r="AD93" s="648"/>
      <c r="AE93" s="565"/>
    </row>
    <row r="94" spans="1:31" ht="17" customHeight="1">
      <c r="A94" s="786" t="s">
        <v>142</v>
      </c>
      <c r="B94" s="561">
        <v>0.91</v>
      </c>
      <c r="C94" s="577"/>
      <c r="D94" s="575"/>
      <c r="E94" s="575"/>
      <c r="F94" s="575"/>
      <c r="G94" s="575"/>
      <c r="H94" s="575"/>
      <c r="I94" s="575"/>
      <c r="J94" s="575"/>
      <c r="K94" s="575"/>
      <c r="L94" s="575"/>
      <c r="M94" s="575"/>
      <c r="N94" s="649"/>
      <c r="O94" s="575"/>
      <c r="P94" s="575"/>
      <c r="Q94" s="575"/>
      <c r="R94" s="575"/>
      <c r="S94" s="575"/>
      <c r="T94" s="575"/>
      <c r="U94" s="575"/>
      <c r="V94" s="575"/>
      <c r="W94" s="575"/>
      <c r="X94" s="575"/>
      <c r="Y94" s="575"/>
      <c r="Z94" s="575"/>
      <c r="AA94" s="575"/>
      <c r="AB94" s="575"/>
      <c r="AC94" s="575"/>
      <c r="AD94" s="648"/>
      <c r="AE94" s="565"/>
    </row>
    <row r="95" spans="1:31" ht="16" customHeight="1">
      <c r="A95" s="786" t="s">
        <v>366</v>
      </c>
      <c r="B95" s="561">
        <v>0.92</v>
      </c>
      <c r="C95" s="577"/>
      <c r="D95" s="575"/>
      <c r="E95" s="575"/>
      <c r="F95" s="575"/>
      <c r="G95" s="575"/>
      <c r="H95" s="575"/>
      <c r="I95" s="575"/>
      <c r="J95" s="575"/>
      <c r="K95" s="575"/>
      <c r="L95" s="575"/>
      <c r="M95" s="575"/>
      <c r="N95" s="575"/>
      <c r="O95" s="650"/>
      <c r="P95" s="651"/>
      <c r="Q95" s="651"/>
      <c r="R95" s="651"/>
      <c r="S95" s="651"/>
      <c r="T95" s="651"/>
      <c r="U95" s="651"/>
      <c r="V95" s="651"/>
      <c r="W95" s="651"/>
      <c r="X95" s="651"/>
      <c r="Y95" s="651"/>
      <c r="Z95" s="650"/>
      <c r="AA95" s="650"/>
      <c r="AB95" s="650"/>
      <c r="AC95" s="650"/>
      <c r="AD95" s="648"/>
      <c r="AE95" s="565"/>
    </row>
    <row r="96" spans="1:31" ht="18">
      <c r="A96" s="786" t="s">
        <v>144</v>
      </c>
      <c r="B96" s="561">
        <v>0.93</v>
      </c>
      <c r="C96" s="822"/>
      <c r="D96" s="575"/>
      <c r="E96" s="575"/>
      <c r="F96" s="575"/>
      <c r="G96" s="575"/>
      <c r="H96" s="575"/>
      <c r="I96" s="575"/>
      <c r="J96" s="575"/>
      <c r="K96" s="575"/>
      <c r="L96" s="575"/>
      <c r="M96" s="575"/>
      <c r="N96" s="652"/>
      <c r="O96" s="653"/>
      <c r="P96" s="654"/>
      <c r="Q96" s="654"/>
      <c r="R96" s="654"/>
      <c r="S96" s="654"/>
      <c r="T96" s="654"/>
      <c r="U96" s="654"/>
      <c r="V96" s="654"/>
      <c r="W96" s="654"/>
      <c r="X96" s="654"/>
      <c r="Y96" s="654"/>
      <c r="Z96" s="653"/>
      <c r="AA96" s="653"/>
      <c r="AB96" s="653"/>
      <c r="AC96" s="575"/>
      <c r="AD96" s="648"/>
      <c r="AE96" s="565"/>
    </row>
    <row r="97" spans="1:31" ht="25">
      <c r="A97" s="786" t="s">
        <v>186</v>
      </c>
      <c r="B97" s="561">
        <v>0.94</v>
      </c>
      <c r="C97" s="577"/>
      <c r="D97" s="655"/>
      <c r="E97" s="655"/>
      <c r="F97" s="655"/>
      <c r="G97" s="656"/>
      <c r="H97" s="575"/>
      <c r="I97" s="575"/>
      <c r="J97" s="575"/>
      <c r="K97" s="575"/>
      <c r="L97" s="575"/>
      <c r="M97" s="575"/>
      <c r="N97" s="657"/>
      <c r="O97" s="650"/>
      <c r="P97" s="651"/>
      <c r="Q97" s="651"/>
      <c r="R97" s="651"/>
      <c r="S97" s="651"/>
      <c r="T97" s="651"/>
      <c r="U97" s="651"/>
      <c r="V97" s="651"/>
      <c r="W97" s="651"/>
      <c r="X97" s="651"/>
      <c r="Y97" s="651"/>
      <c r="Z97" s="650"/>
      <c r="AA97" s="650"/>
      <c r="AB97" s="650"/>
      <c r="AC97" s="650"/>
      <c r="AD97" s="648"/>
      <c r="AE97" s="565"/>
    </row>
    <row r="98" spans="1:31">
      <c r="A98" s="786" t="s">
        <v>187</v>
      </c>
      <c r="B98" s="561">
        <v>0.95</v>
      </c>
      <c r="C98" s="577"/>
      <c r="D98" s="575"/>
      <c r="E98" s="575"/>
      <c r="F98" s="575"/>
      <c r="G98" s="575"/>
      <c r="H98" s="575"/>
      <c r="I98" s="575"/>
      <c r="J98" s="575"/>
      <c r="K98" s="575"/>
      <c r="L98" s="575"/>
      <c r="M98" s="575"/>
      <c r="N98" s="575"/>
      <c r="O98" s="575"/>
      <c r="P98" s="575"/>
      <c r="Q98" s="575"/>
      <c r="R98" s="575"/>
      <c r="S98" s="575"/>
      <c r="T98" s="575"/>
      <c r="U98" s="575"/>
      <c r="V98" s="575"/>
      <c r="W98" s="575"/>
      <c r="X98" s="575"/>
      <c r="Y98" s="575"/>
      <c r="Z98" s="575"/>
      <c r="AA98" s="575"/>
      <c r="AB98" s="575"/>
      <c r="AC98" s="575"/>
      <c r="AD98" s="648"/>
      <c r="AE98" s="565"/>
    </row>
    <row r="99" spans="1:31" ht="18">
      <c r="A99" s="786" t="s">
        <v>188</v>
      </c>
      <c r="B99" s="561">
        <v>0.96</v>
      </c>
      <c r="C99" s="577"/>
      <c r="D99" s="658"/>
      <c r="E99" s="658"/>
      <c r="F99" s="658"/>
      <c r="G99" s="658"/>
      <c r="H99" s="658"/>
      <c r="I99" s="658"/>
      <c r="J99" s="575"/>
      <c r="K99" s="575"/>
      <c r="L99" s="575"/>
      <c r="M99" s="575"/>
      <c r="N99" s="658"/>
      <c r="O99" s="575"/>
      <c r="P99" s="575"/>
      <c r="Q99" s="575"/>
      <c r="R99" s="575"/>
      <c r="S99" s="575"/>
      <c r="T99" s="575"/>
      <c r="U99" s="575"/>
      <c r="V99" s="575"/>
      <c r="W99" s="575"/>
      <c r="X99" s="575"/>
      <c r="Y99" s="575"/>
      <c r="Z99" s="575"/>
      <c r="AA99" s="575"/>
      <c r="AB99" s="575"/>
      <c r="AC99" s="575"/>
      <c r="AD99" s="648"/>
      <c r="AE99" s="565"/>
    </row>
    <row r="100" spans="1:31">
      <c r="A100" s="786" t="s">
        <v>124</v>
      </c>
      <c r="B100" s="561">
        <v>0.97</v>
      </c>
      <c r="C100" s="577"/>
      <c r="D100" s="575"/>
      <c r="E100" s="575"/>
      <c r="F100" s="575"/>
      <c r="G100" s="659"/>
      <c r="H100" s="659"/>
      <c r="I100" s="660"/>
      <c r="J100" s="575"/>
      <c r="K100" s="575"/>
      <c r="L100" s="575"/>
      <c r="M100" s="575"/>
      <c r="N100" s="661"/>
      <c r="O100" s="638"/>
      <c r="P100" s="662"/>
      <c r="Q100" s="662"/>
      <c r="R100" s="662"/>
      <c r="S100" s="662"/>
      <c r="T100" s="662"/>
      <c r="U100" s="662"/>
      <c r="V100" s="662"/>
      <c r="W100" s="662"/>
      <c r="X100" s="662"/>
      <c r="Y100" s="662"/>
      <c r="Z100" s="662"/>
      <c r="AA100" s="662"/>
      <c r="AB100" s="662"/>
      <c r="AC100" s="662"/>
      <c r="AD100" s="648"/>
      <c r="AE100" s="565"/>
    </row>
    <row r="101" spans="1:31">
      <c r="A101" s="786" t="s">
        <v>125</v>
      </c>
      <c r="B101" s="561">
        <v>0.98</v>
      </c>
      <c r="C101" s="577"/>
      <c r="D101" s="575"/>
      <c r="E101" s="575"/>
      <c r="F101" s="575"/>
      <c r="G101" s="575"/>
      <c r="H101" s="575"/>
      <c r="I101" s="660"/>
      <c r="J101" s="575"/>
      <c r="K101" s="575"/>
      <c r="L101" s="575"/>
      <c r="M101" s="575"/>
      <c r="N101" s="575"/>
      <c r="O101" s="575"/>
      <c r="P101" s="575"/>
      <c r="Q101" s="575"/>
      <c r="R101" s="575"/>
      <c r="S101" s="575"/>
      <c r="T101" s="575"/>
      <c r="U101" s="575"/>
      <c r="V101" s="575"/>
      <c r="W101" s="575"/>
      <c r="X101" s="575"/>
      <c r="Y101" s="575"/>
      <c r="Z101" s="575"/>
      <c r="AA101" s="575"/>
      <c r="AB101" s="575"/>
      <c r="AC101" s="575"/>
      <c r="AD101" s="648"/>
      <c r="AE101" s="565"/>
    </row>
    <row r="102" spans="1:31">
      <c r="B102" s="561">
        <v>0.99</v>
      </c>
      <c r="C102" s="577"/>
      <c r="D102" s="575"/>
      <c r="E102" s="575"/>
      <c r="F102" s="575"/>
      <c r="G102" s="575"/>
      <c r="H102" s="575"/>
      <c r="I102" s="660"/>
      <c r="J102" s="575"/>
      <c r="K102" s="575"/>
      <c r="L102" s="575"/>
      <c r="M102" s="575"/>
      <c r="N102" s="575"/>
      <c r="O102" s="575"/>
      <c r="P102" s="575"/>
      <c r="Q102" s="575"/>
      <c r="R102" s="575"/>
      <c r="S102" s="575"/>
      <c r="T102" s="575"/>
      <c r="U102" s="575"/>
      <c r="V102" s="575"/>
      <c r="W102" s="575"/>
      <c r="X102" s="575"/>
      <c r="Y102" s="575"/>
      <c r="Z102" s="575"/>
      <c r="AA102" s="575"/>
      <c r="AB102" s="575"/>
      <c r="AC102" s="575"/>
      <c r="AD102" s="648"/>
      <c r="AE102" s="565"/>
    </row>
    <row r="103" spans="1:31" ht="25">
      <c r="B103" s="561">
        <v>1</v>
      </c>
      <c r="C103" s="577"/>
      <c r="D103" s="642"/>
      <c r="E103" s="642"/>
      <c r="F103" s="642"/>
      <c r="G103" s="575"/>
      <c r="H103" s="575"/>
      <c r="I103" s="660"/>
      <c r="J103" s="575"/>
      <c r="K103" s="575"/>
      <c r="L103" s="575"/>
      <c r="M103" s="575"/>
      <c r="N103" s="575"/>
      <c r="O103" s="575"/>
      <c r="P103" s="575"/>
      <c r="Q103" s="575"/>
      <c r="R103" s="575"/>
      <c r="S103" s="575"/>
      <c r="T103" s="575"/>
      <c r="U103" s="575"/>
      <c r="V103" s="575"/>
      <c r="W103" s="575"/>
      <c r="X103" s="575"/>
      <c r="Y103" s="575"/>
      <c r="Z103" s="575"/>
      <c r="AA103" s="575"/>
      <c r="AB103" s="575"/>
      <c r="AC103" s="575"/>
      <c r="AD103" s="648"/>
      <c r="AE103" s="565"/>
    </row>
    <row r="104" spans="1:31">
      <c r="B104" s="561"/>
      <c r="C104" s="577"/>
      <c r="D104" s="575"/>
      <c r="E104" s="575"/>
      <c r="F104" s="575"/>
      <c r="G104" s="575"/>
      <c r="H104" s="575"/>
      <c r="I104" s="660"/>
      <c r="J104" s="575"/>
      <c r="K104" s="575"/>
      <c r="L104" s="575"/>
      <c r="M104" s="575"/>
      <c r="N104" s="575"/>
      <c r="O104" s="575"/>
      <c r="P104" s="575"/>
      <c r="Q104" s="575"/>
      <c r="R104" s="575"/>
      <c r="S104" s="575"/>
      <c r="T104" s="575"/>
      <c r="U104" s="575"/>
      <c r="V104" s="575"/>
      <c r="W104" s="575"/>
      <c r="X104" s="575"/>
      <c r="Y104" s="575"/>
      <c r="Z104" s="575"/>
      <c r="AA104" s="575"/>
      <c r="AB104" s="575"/>
      <c r="AC104" s="575"/>
      <c r="AD104" s="648"/>
      <c r="AE104" s="565"/>
    </row>
    <row r="105" spans="1:31" ht="18">
      <c r="B105" s="561"/>
      <c r="C105" s="577"/>
      <c r="D105" s="663"/>
      <c r="E105" s="663"/>
      <c r="F105" s="663"/>
      <c r="G105" s="652"/>
      <c r="H105" s="652"/>
      <c r="I105" s="664"/>
      <c r="J105" s="575"/>
      <c r="K105" s="575"/>
      <c r="L105" s="575"/>
      <c r="M105" s="575"/>
      <c r="N105" s="665"/>
      <c r="O105" s="652"/>
      <c r="P105" s="666"/>
      <c r="Q105" s="666"/>
      <c r="R105" s="666"/>
      <c r="S105" s="666"/>
      <c r="T105" s="666"/>
      <c r="U105" s="666"/>
      <c r="V105" s="666"/>
      <c r="W105" s="666"/>
      <c r="X105" s="666"/>
      <c r="Y105" s="666"/>
      <c r="Z105" s="652"/>
      <c r="AA105" s="652"/>
      <c r="AB105" s="652"/>
      <c r="AC105" s="652"/>
      <c r="AD105" s="648"/>
      <c r="AE105" s="565"/>
    </row>
    <row r="106" spans="1:31">
      <c r="B106" s="561"/>
      <c r="C106" s="577"/>
      <c r="D106" s="575"/>
      <c r="E106" s="575"/>
      <c r="F106" s="575"/>
      <c r="G106" s="659"/>
      <c r="H106" s="575"/>
      <c r="I106" s="660"/>
      <c r="J106" s="575"/>
      <c r="K106" s="575"/>
      <c r="L106" s="575"/>
      <c r="M106" s="575"/>
      <c r="N106" s="661"/>
      <c r="O106" s="635"/>
      <c r="P106" s="635"/>
      <c r="Q106" s="635"/>
      <c r="R106" s="635"/>
      <c r="S106" s="635"/>
      <c r="T106" s="635"/>
      <c r="U106" s="635"/>
      <c r="V106" s="635"/>
      <c r="W106" s="635"/>
      <c r="X106" s="635"/>
      <c r="Y106" s="635"/>
      <c r="Z106" s="635"/>
      <c r="AA106" s="635"/>
      <c r="AB106" s="635"/>
      <c r="AC106" s="635"/>
      <c r="AD106" s="648"/>
      <c r="AE106" s="565"/>
    </row>
    <row r="107" spans="1:31">
      <c r="C107" s="577"/>
      <c r="D107" s="575"/>
      <c r="E107" s="575"/>
      <c r="F107" s="575"/>
      <c r="G107" s="659"/>
      <c r="H107" s="667"/>
      <c r="I107" s="660"/>
      <c r="J107" s="575"/>
      <c r="K107" s="575"/>
      <c r="L107" s="575"/>
      <c r="M107" s="575"/>
      <c r="N107" s="661"/>
      <c r="O107" s="635"/>
      <c r="P107" s="635"/>
      <c r="Q107" s="635"/>
      <c r="R107" s="635"/>
      <c r="S107" s="635"/>
      <c r="T107" s="635"/>
      <c r="U107" s="635"/>
      <c r="V107" s="635"/>
      <c r="W107" s="635"/>
      <c r="X107" s="635"/>
      <c r="Y107" s="635"/>
      <c r="Z107" s="635"/>
      <c r="AA107" s="635"/>
      <c r="AB107" s="635"/>
      <c r="AC107" s="635"/>
      <c r="AD107" s="648"/>
      <c r="AE107" s="565"/>
    </row>
    <row r="108" spans="1:31">
      <c r="C108" s="577"/>
      <c r="D108" s="668"/>
      <c r="E108" s="668"/>
      <c r="F108" s="668"/>
      <c r="G108" s="669"/>
      <c r="H108" s="575"/>
      <c r="I108" s="660"/>
      <c r="J108" s="575"/>
      <c r="K108" s="575"/>
      <c r="L108" s="575"/>
      <c r="M108" s="575"/>
      <c r="N108" s="575"/>
      <c r="O108" s="575"/>
      <c r="P108" s="575"/>
      <c r="Q108" s="575"/>
      <c r="R108" s="575"/>
      <c r="S108" s="575"/>
      <c r="T108" s="575"/>
      <c r="U108" s="575"/>
      <c r="V108" s="575"/>
      <c r="W108" s="575"/>
      <c r="X108" s="575"/>
      <c r="Y108" s="575"/>
      <c r="Z108" s="575"/>
      <c r="AA108" s="575"/>
      <c r="AB108" s="575"/>
      <c r="AC108" s="575"/>
      <c r="AD108" s="648"/>
      <c r="AE108" s="565"/>
    </row>
    <row r="109" spans="1:31">
      <c r="A109" s="557">
        <v>1</v>
      </c>
      <c r="C109" s="577"/>
      <c r="D109" s="668"/>
      <c r="E109" s="668"/>
      <c r="F109" s="668"/>
      <c r="G109" s="669"/>
      <c r="H109" s="575"/>
      <c r="I109" s="660"/>
      <c r="J109" s="575"/>
      <c r="K109" s="575"/>
      <c r="L109" s="575"/>
      <c r="M109" s="575"/>
      <c r="N109" s="575"/>
      <c r="O109" s="575"/>
      <c r="P109" s="575"/>
      <c r="Q109" s="575"/>
      <c r="R109" s="575"/>
      <c r="S109" s="575"/>
      <c r="T109" s="575"/>
      <c r="U109" s="575"/>
      <c r="V109" s="575"/>
      <c r="W109" s="575"/>
      <c r="X109" s="575"/>
      <c r="Y109" s="575"/>
      <c r="Z109" s="575"/>
      <c r="AA109" s="575"/>
      <c r="AB109" s="575"/>
      <c r="AC109" s="575"/>
      <c r="AD109" s="648"/>
      <c r="AE109" s="565"/>
    </row>
    <row r="110" spans="1:31" ht="25">
      <c r="A110" s="557">
        <v>2</v>
      </c>
      <c r="B110" s="557" t="s">
        <v>766</v>
      </c>
      <c r="C110" s="577"/>
      <c r="D110" s="655"/>
      <c r="E110" s="655"/>
      <c r="F110" s="655"/>
      <c r="G110" s="575"/>
      <c r="H110" s="575"/>
      <c r="I110" s="660"/>
      <c r="J110" s="575"/>
      <c r="K110" s="575"/>
      <c r="L110" s="575"/>
      <c r="M110" s="575"/>
      <c r="N110" s="670"/>
      <c r="O110" s="641"/>
      <c r="P110" s="641"/>
      <c r="Q110" s="641"/>
      <c r="R110" s="641"/>
      <c r="S110" s="641"/>
      <c r="T110" s="641"/>
      <c r="U110" s="641"/>
      <c r="V110" s="641"/>
      <c r="W110" s="641"/>
      <c r="X110" s="641"/>
      <c r="Y110" s="641"/>
      <c r="Z110" s="641"/>
      <c r="AA110" s="641"/>
      <c r="AB110" s="641"/>
      <c r="AC110" s="641"/>
      <c r="AD110" s="671"/>
      <c r="AE110" s="565"/>
    </row>
    <row r="111" spans="1:31">
      <c r="A111" s="557">
        <v>3</v>
      </c>
      <c r="B111" s="557" t="s">
        <v>765</v>
      </c>
      <c r="C111" s="577"/>
      <c r="D111" s="575"/>
      <c r="E111" s="575"/>
      <c r="F111" s="575"/>
      <c r="G111" s="575"/>
      <c r="H111" s="575"/>
      <c r="I111" s="660"/>
      <c r="J111" s="575"/>
      <c r="K111" s="575"/>
      <c r="L111" s="575"/>
      <c r="M111" s="575"/>
      <c r="N111" s="646"/>
      <c r="O111" s="641"/>
      <c r="P111" s="641"/>
      <c r="Q111" s="641"/>
      <c r="R111" s="641"/>
      <c r="S111" s="641"/>
      <c r="T111" s="641"/>
      <c r="U111" s="641"/>
      <c r="V111" s="641"/>
      <c r="W111" s="641"/>
      <c r="X111" s="641"/>
      <c r="Y111" s="641"/>
      <c r="Z111" s="641"/>
      <c r="AA111" s="641"/>
      <c r="AB111" s="641"/>
      <c r="AC111" s="641"/>
      <c r="AD111" s="671"/>
      <c r="AE111" s="565"/>
    </row>
    <row r="112" spans="1:31" ht="18">
      <c r="A112" s="557">
        <v>4</v>
      </c>
      <c r="B112" s="557" t="s">
        <v>801</v>
      </c>
      <c r="C112" s="577"/>
      <c r="D112" s="658"/>
      <c r="E112" s="658"/>
      <c r="F112" s="658"/>
      <c r="G112" s="666"/>
      <c r="H112" s="666"/>
      <c r="I112" s="672"/>
      <c r="J112" s="575"/>
      <c r="K112" s="575"/>
      <c r="L112" s="575"/>
      <c r="M112" s="575"/>
      <c r="N112" s="575"/>
      <c r="O112" s="575"/>
      <c r="P112" s="575"/>
      <c r="Q112" s="575"/>
      <c r="R112" s="575"/>
      <c r="S112" s="575"/>
      <c r="T112" s="575"/>
      <c r="U112" s="575"/>
      <c r="V112" s="575"/>
      <c r="W112" s="575"/>
      <c r="X112" s="575"/>
      <c r="Y112" s="575"/>
      <c r="Z112" s="575"/>
      <c r="AA112" s="575"/>
      <c r="AB112" s="575"/>
      <c r="AC112" s="575"/>
      <c r="AD112" s="671"/>
      <c r="AE112" s="565"/>
    </row>
    <row r="113" spans="1:31" ht="18">
      <c r="A113" s="557">
        <v>5</v>
      </c>
      <c r="B113" s="557" t="s">
        <v>767</v>
      </c>
      <c r="C113" s="577"/>
      <c r="D113" s="575"/>
      <c r="E113" s="575"/>
      <c r="F113" s="575"/>
      <c r="G113" s="575"/>
      <c r="H113" s="673"/>
      <c r="I113" s="674"/>
      <c r="J113" s="575"/>
      <c r="K113" s="575"/>
      <c r="L113" s="575"/>
      <c r="M113" s="575"/>
      <c r="N113" s="675"/>
      <c r="O113" s="676"/>
      <c r="P113" s="677"/>
      <c r="Q113" s="677"/>
      <c r="R113" s="677"/>
      <c r="S113" s="677"/>
      <c r="T113" s="677"/>
      <c r="U113" s="677"/>
      <c r="V113" s="677"/>
      <c r="W113" s="677"/>
      <c r="X113" s="677"/>
      <c r="Y113" s="677"/>
      <c r="Z113" s="676"/>
      <c r="AA113" s="676"/>
      <c r="AB113" s="676"/>
      <c r="AC113" s="676"/>
      <c r="AD113" s="671"/>
      <c r="AE113" s="565"/>
    </row>
    <row r="114" spans="1:31" ht="18">
      <c r="A114" s="557">
        <v>6</v>
      </c>
      <c r="C114" s="577"/>
      <c r="D114" s="575"/>
      <c r="E114" s="575"/>
      <c r="F114" s="575"/>
      <c r="G114" s="673"/>
      <c r="H114" s="673"/>
      <c r="I114" s="674"/>
      <c r="J114" s="575"/>
      <c r="K114" s="575"/>
      <c r="L114" s="575"/>
      <c r="M114" s="575"/>
      <c r="N114" s="675"/>
      <c r="O114" s="676"/>
      <c r="P114" s="677"/>
      <c r="Q114" s="677"/>
      <c r="R114" s="677"/>
      <c r="S114" s="677"/>
      <c r="T114" s="677"/>
      <c r="U114" s="677"/>
      <c r="V114" s="677"/>
      <c r="W114" s="677"/>
      <c r="X114" s="677"/>
      <c r="Y114" s="677"/>
      <c r="Z114" s="676"/>
      <c r="AA114" s="676"/>
      <c r="AB114" s="676"/>
      <c r="AC114" s="676"/>
      <c r="AD114" s="671"/>
      <c r="AE114" s="565"/>
    </row>
    <row r="115" spans="1:31" ht="25">
      <c r="A115" s="557">
        <v>7</v>
      </c>
      <c r="C115" s="577"/>
      <c r="D115" s="655"/>
      <c r="E115" s="655"/>
      <c r="F115" s="655"/>
      <c r="G115" s="575"/>
      <c r="H115" s="575"/>
      <c r="I115" s="660"/>
      <c r="J115" s="575"/>
      <c r="K115" s="575"/>
      <c r="L115" s="575"/>
      <c r="M115" s="575"/>
      <c r="N115" s="675"/>
      <c r="O115" s="676"/>
      <c r="P115" s="677"/>
      <c r="Q115" s="677"/>
      <c r="R115" s="677"/>
      <c r="S115" s="677"/>
      <c r="T115" s="677"/>
      <c r="U115" s="677"/>
      <c r="V115" s="677"/>
      <c r="W115" s="677"/>
      <c r="X115" s="677"/>
      <c r="Y115" s="677"/>
      <c r="Z115" s="676"/>
      <c r="AA115" s="676"/>
      <c r="AB115" s="676"/>
      <c r="AC115" s="676"/>
      <c r="AD115" s="671"/>
      <c r="AE115" s="565"/>
    </row>
    <row r="116" spans="1:31" ht="18">
      <c r="A116" s="557">
        <v>8</v>
      </c>
      <c r="C116" s="577"/>
      <c r="D116" s="575"/>
      <c r="E116" s="575"/>
      <c r="F116" s="575"/>
      <c r="G116" s="575"/>
      <c r="H116" s="575"/>
      <c r="I116" s="660"/>
      <c r="J116" s="575"/>
      <c r="K116" s="575"/>
      <c r="L116" s="575"/>
      <c r="M116" s="575"/>
      <c r="N116" s="675"/>
      <c r="O116" s="676"/>
      <c r="P116" s="677"/>
      <c r="Q116" s="677"/>
      <c r="R116" s="677"/>
      <c r="S116" s="677"/>
      <c r="T116" s="677"/>
      <c r="U116" s="677"/>
      <c r="V116" s="677"/>
      <c r="W116" s="677"/>
      <c r="X116" s="677"/>
      <c r="Y116" s="677"/>
      <c r="Z116" s="676"/>
      <c r="AA116" s="676"/>
      <c r="AB116" s="676"/>
      <c r="AC116" s="676"/>
      <c r="AD116" s="671"/>
      <c r="AE116" s="565"/>
    </row>
    <row r="117" spans="1:31" ht="18">
      <c r="A117" s="557">
        <v>9</v>
      </c>
      <c r="C117" s="577"/>
      <c r="D117" s="658"/>
      <c r="E117" s="658"/>
      <c r="F117" s="658"/>
      <c r="G117" s="666"/>
      <c r="H117" s="666"/>
      <c r="I117" s="672"/>
      <c r="J117" s="575"/>
      <c r="K117" s="575"/>
      <c r="L117" s="575"/>
      <c r="M117" s="575"/>
      <c r="N117" s="678"/>
      <c r="O117" s="652"/>
      <c r="P117" s="666"/>
      <c r="Q117" s="666"/>
      <c r="R117" s="666"/>
      <c r="S117" s="666"/>
      <c r="T117" s="666"/>
      <c r="U117" s="666"/>
      <c r="V117" s="666"/>
      <c r="W117" s="666"/>
      <c r="X117" s="666"/>
      <c r="Y117" s="666"/>
      <c r="Z117" s="652"/>
      <c r="AA117" s="652"/>
      <c r="AB117" s="652"/>
      <c r="AC117" s="652"/>
      <c r="AD117" s="671"/>
      <c r="AE117" s="565"/>
    </row>
    <row r="118" spans="1:31">
      <c r="A118" s="557">
        <v>10</v>
      </c>
      <c r="C118" s="577"/>
      <c r="D118" s="575"/>
      <c r="E118" s="575"/>
      <c r="F118" s="575"/>
      <c r="G118" s="575"/>
      <c r="H118" s="673"/>
      <c r="I118" s="674"/>
      <c r="J118" s="575"/>
      <c r="K118" s="575"/>
      <c r="L118" s="575"/>
      <c r="M118" s="575"/>
      <c r="N118" s="679"/>
      <c r="O118" s="647"/>
      <c r="P118" s="680"/>
      <c r="Q118" s="680"/>
      <c r="R118" s="680"/>
      <c r="S118" s="680"/>
      <c r="T118" s="680"/>
      <c r="U118" s="680"/>
      <c r="V118" s="680"/>
      <c r="W118" s="680"/>
      <c r="X118" s="680"/>
      <c r="Y118" s="680"/>
      <c r="Z118" s="680"/>
      <c r="AA118" s="680"/>
      <c r="AB118" s="680"/>
      <c r="AC118" s="680"/>
      <c r="AD118" s="671"/>
      <c r="AE118" s="565"/>
    </row>
    <row r="119" spans="1:31" ht="18">
      <c r="A119" s="557">
        <v>11</v>
      </c>
      <c r="C119" s="577"/>
      <c r="D119" s="575"/>
      <c r="E119" s="575"/>
      <c r="F119" s="575"/>
      <c r="G119" s="673"/>
      <c r="H119" s="673"/>
      <c r="I119" s="674"/>
      <c r="J119" s="575"/>
      <c r="K119" s="575"/>
      <c r="L119" s="575"/>
      <c r="M119" s="661"/>
      <c r="N119" s="635"/>
      <c r="O119" s="635"/>
      <c r="P119" s="635"/>
      <c r="Q119" s="635"/>
      <c r="R119" s="635"/>
      <c r="S119" s="635"/>
      <c r="T119" s="635"/>
      <c r="U119" s="635"/>
      <c r="V119" s="635"/>
      <c r="W119" s="635"/>
      <c r="X119" s="635"/>
      <c r="Y119" s="635"/>
      <c r="Z119" s="635"/>
      <c r="AA119" s="635"/>
      <c r="AB119" s="635"/>
      <c r="AC119" s="676"/>
      <c r="AD119" s="671"/>
      <c r="AE119" s="565"/>
    </row>
    <row r="120" spans="1:31">
      <c r="A120" s="557">
        <v>12</v>
      </c>
      <c r="C120" s="577"/>
      <c r="D120" s="575"/>
      <c r="E120" s="575"/>
      <c r="F120" s="575"/>
      <c r="G120" s="656"/>
      <c r="H120" s="575"/>
      <c r="I120" s="575"/>
      <c r="J120" s="575"/>
      <c r="K120" s="575"/>
      <c r="L120" s="575"/>
      <c r="M120" s="575"/>
      <c r="N120" s="670"/>
      <c r="O120" s="641"/>
      <c r="P120" s="641"/>
      <c r="Q120" s="641"/>
      <c r="R120" s="641"/>
      <c r="S120" s="641"/>
      <c r="T120" s="641"/>
      <c r="U120" s="641"/>
      <c r="V120" s="641"/>
      <c r="W120" s="641"/>
      <c r="X120" s="641"/>
      <c r="Y120" s="641"/>
      <c r="Z120" s="641"/>
      <c r="AA120" s="641"/>
      <c r="AB120" s="641"/>
      <c r="AC120" s="641"/>
      <c r="AD120" s="671"/>
      <c r="AE120" s="565"/>
    </row>
    <row r="121" spans="1:31" ht="19" customHeight="1">
      <c r="A121" s="557">
        <v>13</v>
      </c>
      <c r="C121" s="577"/>
      <c r="D121" s="575"/>
      <c r="E121" s="575"/>
      <c r="F121" s="575"/>
      <c r="G121" s="656"/>
      <c r="H121" s="575"/>
      <c r="I121" s="575"/>
      <c r="J121" s="575"/>
      <c r="K121" s="575"/>
      <c r="L121" s="575"/>
      <c r="M121" s="575"/>
      <c r="N121" s="670"/>
      <c r="O121" s="641"/>
      <c r="P121" s="641"/>
      <c r="Q121" s="641"/>
      <c r="R121" s="641"/>
      <c r="S121" s="641"/>
      <c r="T121" s="641"/>
      <c r="U121" s="641"/>
      <c r="V121" s="641"/>
      <c r="W121" s="641"/>
      <c r="X121" s="641"/>
      <c r="Y121" s="641"/>
      <c r="Z121" s="641"/>
      <c r="AA121" s="641"/>
      <c r="AB121" s="641"/>
      <c r="AC121" s="641"/>
      <c r="AD121" s="671"/>
      <c r="AE121" s="565"/>
    </row>
    <row r="122" spans="1:31" ht="80" customHeight="1">
      <c r="A122" s="557">
        <v>14</v>
      </c>
      <c r="C122" s="577"/>
      <c r="D122" s="794"/>
      <c r="E122" s="794"/>
      <c r="F122" s="794"/>
      <c r="G122" s="794"/>
      <c r="H122" s="794"/>
      <c r="I122" s="794"/>
      <c r="J122" s="575"/>
      <c r="K122" s="575"/>
      <c r="L122" s="575"/>
      <c r="M122" s="575"/>
      <c r="N122" s="670"/>
      <c r="O122" s="641"/>
      <c r="P122" s="641"/>
      <c r="Q122" s="641"/>
      <c r="R122" s="641"/>
      <c r="S122" s="641"/>
      <c r="T122" s="641"/>
      <c r="U122" s="641"/>
      <c r="V122" s="641"/>
      <c r="W122" s="641"/>
      <c r="X122" s="641"/>
      <c r="Y122" s="641"/>
      <c r="Z122" s="641"/>
      <c r="AA122" s="575"/>
      <c r="AB122" s="575"/>
      <c r="AC122" s="575"/>
      <c r="AD122" s="648"/>
      <c r="AE122" s="565"/>
    </row>
    <row r="123" spans="1:31" ht="50" customHeight="1">
      <c r="A123" s="557">
        <v>15</v>
      </c>
      <c r="C123" s="577"/>
      <c r="D123" s="794"/>
      <c r="E123" s="794"/>
      <c r="F123" s="794"/>
      <c r="G123" s="794"/>
      <c r="H123" s="794"/>
      <c r="I123" s="794"/>
      <c r="J123" s="575"/>
      <c r="K123" s="575"/>
      <c r="L123" s="575"/>
      <c r="M123" s="575"/>
      <c r="N123" s="670"/>
      <c r="O123" s="641"/>
      <c r="P123" s="641"/>
      <c r="Q123" s="641"/>
      <c r="R123" s="641"/>
      <c r="S123" s="641"/>
      <c r="T123" s="641"/>
      <c r="U123" s="641"/>
      <c r="V123" s="641"/>
      <c r="W123" s="641"/>
      <c r="X123" s="641"/>
      <c r="Y123" s="641"/>
      <c r="Z123" s="641"/>
      <c r="AA123" s="575"/>
      <c r="AB123" s="575"/>
      <c r="AC123" s="575"/>
    </row>
    <row r="124" spans="1:31">
      <c r="A124" s="557">
        <v>16</v>
      </c>
      <c r="C124" s="577"/>
      <c r="D124" s="794"/>
      <c r="E124" s="794"/>
      <c r="F124" s="794"/>
      <c r="G124" s="794"/>
      <c r="H124" s="794"/>
      <c r="I124" s="794"/>
      <c r="J124" s="575"/>
      <c r="K124" s="575"/>
      <c r="L124" s="575"/>
      <c r="M124" s="575"/>
      <c r="N124" s="670"/>
      <c r="O124" s="641"/>
      <c r="P124" s="641"/>
      <c r="Q124" s="641"/>
      <c r="R124" s="641"/>
      <c r="S124" s="641"/>
      <c r="T124" s="641"/>
      <c r="U124" s="641"/>
      <c r="V124" s="641"/>
      <c r="W124" s="641"/>
      <c r="X124" s="641"/>
      <c r="Y124" s="641"/>
      <c r="Z124" s="641"/>
      <c r="AA124" s="575"/>
      <c r="AB124" s="575"/>
      <c r="AC124" s="575"/>
    </row>
    <row r="125" spans="1:31">
      <c r="A125" s="557">
        <v>17</v>
      </c>
      <c r="K125" s="565"/>
    </row>
    <row r="126" spans="1:31">
      <c r="A126" s="557">
        <v>18</v>
      </c>
      <c r="C126" s="577"/>
      <c r="D126" s="575"/>
      <c r="E126" s="575"/>
      <c r="F126" s="575"/>
      <c r="G126" s="575"/>
      <c r="H126" s="575"/>
      <c r="I126" s="575"/>
      <c r="J126" s="575"/>
      <c r="K126" s="574"/>
      <c r="L126" s="574"/>
      <c r="M126" s="565"/>
    </row>
    <row r="127" spans="1:31">
      <c r="A127" s="557">
        <v>19</v>
      </c>
      <c r="C127" s="577"/>
      <c r="D127" s="575"/>
      <c r="E127" s="575"/>
      <c r="F127" s="575"/>
      <c r="G127" s="575"/>
      <c r="H127" s="575"/>
      <c r="I127" s="575"/>
      <c r="J127" s="575"/>
      <c r="K127" s="574"/>
      <c r="L127" s="574"/>
      <c r="M127" s="565"/>
    </row>
    <row r="128" spans="1:31">
      <c r="A128" s="557">
        <v>20</v>
      </c>
      <c r="C128" s="820"/>
      <c r="D128" s="574"/>
      <c r="E128" s="574"/>
      <c r="F128" s="574"/>
      <c r="G128" s="574"/>
      <c r="H128" s="574"/>
      <c r="I128" s="574"/>
      <c r="J128" s="574"/>
      <c r="K128" s="574"/>
      <c r="L128" s="574"/>
      <c r="M128" s="565"/>
    </row>
    <row r="129" spans="1:30" ht="25">
      <c r="A129" s="557">
        <v>21</v>
      </c>
      <c r="C129" s="820"/>
      <c r="D129" s="681"/>
      <c r="E129" s="681"/>
      <c r="F129" s="681"/>
      <c r="G129" s="574"/>
      <c r="H129" s="574"/>
      <c r="I129" s="574"/>
      <c r="J129" s="574"/>
      <c r="K129" s="574"/>
      <c r="L129" s="574"/>
      <c r="M129" s="565"/>
    </row>
    <row r="130" spans="1:30">
      <c r="A130" s="557">
        <v>22</v>
      </c>
      <c r="C130" s="820"/>
      <c r="D130" s="574"/>
      <c r="E130" s="574"/>
      <c r="F130" s="574"/>
      <c r="G130" s="574"/>
      <c r="H130" s="574"/>
      <c r="I130" s="574"/>
      <c r="J130" s="574"/>
      <c r="K130" s="574"/>
      <c r="L130" s="574"/>
      <c r="M130" s="565"/>
    </row>
    <row r="131" spans="1:30" ht="18">
      <c r="A131" s="557">
        <v>23</v>
      </c>
      <c r="C131" s="820"/>
      <c r="D131" s="682"/>
      <c r="E131" s="682"/>
      <c r="F131" s="682"/>
      <c r="G131" s="683"/>
      <c r="H131" s="574"/>
      <c r="I131" s="574"/>
      <c r="J131" s="574"/>
      <c r="K131" s="574"/>
      <c r="L131" s="574"/>
      <c r="M131" s="565"/>
    </row>
    <row r="132" spans="1:30">
      <c r="A132" s="557">
        <v>24</v>
      </c>
      <c r="C132" s="820"/>
      <c r="D132" s="574"/>
      <c r="E132" s="574"/>
      <c r="F132" s="574"/>
      <c r="G132" s="684"/>
      <c r="H132" s="574"/>
      <c r="I132" s="574"/>
      <c r="J132" s="574"/>
      <c r="K132" s="574"/>
      <c r="L132" s="574"/>
      <c r="M132" s="565"/>
    </row>
    <row r="133" spans="1:30">
      <c r="A133" s="557">
        <v>25</v>
      </c>
      <c r="C133" s="820"/>
      <c r="D133" s="574"/>
      <c r="E133" s="574"/>
      <c r="F133" s="574"/>
      <c r="G133" s="684"/>
      <c r="H133" s="574"/>
      <c r="I133" s="574"/>
      <c r="J133" s="574"/>
      <c r="K133" s="574"/>
      <c r="L133" s="574"/>
      <c r="M133" s="565"/>
    </row>
    <row r="134" spans="1:30">
      <c r="A134" s="557">
        <v>26</v>
      </c>
      <c r="C134" s="820"/>
      <c r="D134" s="574"/>
      <c r="E134" s="574"/>
      <c r="F134" s="574"/>
      <c r="G134" s="684"/>
      <c r="H134" s="574"/>
      <c r="I134" s="574"/>
      <c r="J134" s="574"/>
      <c r="K134" s="574"/>
      <c r="L134" s="574"/>
      <c r="M134" s="565"/>
    </row>
    <row r="135" spans="1:30">
      <c r="A135" s="557">
        <v>27</v>
      </c>
      <c r="C135" s="820"/>
      <c r="D135" s="574"/>
      <c r="E135" s="574"/>
      <c r="F135" s="574"/>
      <c r="G135" s="684"/>
      <c r="H135" s="574"/>
      <c r="I135" s="574"/>
      <c r="J135" s="574"/>
      <c r="K135" s="574"/>
      <c r="L135" s="574"/>
      <c r="M135" s="565"/>
    </row>
    <row r="136" spans="1:30">
      <c r="A136" s="557">
        <v>28</v>
      </c>
      <c r="C136" s="820"/>
      <c r="D136" s="574"/>
      <c r="E136" s="574"/>
      <c r="F136" s="574"/>
      <c r="G136" s="684"/>
      <c r="H136" s="574"/>
      <c r="I136" s="574"/>
      <c r="J136" s="574"/>
      <c r="K136" s="574"/>
      <c r="L136" s="574"/>
      <c r="M136" s="565"/>
    </row>
    <row r="137" spans="1:30">
      <c r="A137" s="557">
        <v>29</v>
      </c>
      <c r="C137" s="820"/>
      <c r="D137" s="574"/>
      <c r="E137" s="574"/>
      <c r="F137" s="574"/>
      <c r="G137" s="684"/>
      <c r="H137" s="574"/>
      <c r="I137" s="574"/>
      <c r="J137" s="574"/>
      <c r="K137" s="574"/>
      <c r="L137" s="574"/>
      <c r="M137" s="565"/>
      <c r="AD137" s="558"/>
    </row>
    <row r="138" spans="1:30">
      <c r="A138" s="557">
        <v>30</v>
      </c>
      <c r="C138" s="820"/>
      <c r="D138" s="574"/>
      <c r="E138" s="574"/>
      <c r="F138" s="574"/>
      <c r="G138" s="684"/>
      <c r="H138" s="574"/>
      <c r="I138" s="574"/>
      <c r="J138" s="574"/>
      <c r="K138" s="574"/>
      <c r="L138" s="574"/>
      <c r="M138" s="565"/>
      <c r="AD138" s="558"/>
    </row>
    <row r="139" spans="1:30" ht="19" customHeight="1">
      <c r="A139" s="557">
        <v>31</v>
      </c>
      <c r="C139" s="820"/>
      <c r="D139" s="574"/>
      <c r="E139" s="574"/>
      <c r="F139" s="574"/>
      <c r="G139" s="684"/>
      <c r="H139" s="574"/>
      <c r="I139" s="574"/>
      <c r="J139" s="574"/>
      <c r="K139" s="574"/>
      <c r="L139" s="574"/>
      <c r="M139" s="565"/>
      <c r="AD139" s="558"/>
    </row>
    <row r="140" spans="1:30">
      <c r="A140" s="557">
        <v>32</v>
      </c>
      <c r="C140" s="820"/>
      <c r="D140" s="574"/>
      <c r="E140" s="574"/>
      <c r="F140" s="574"/>
      <c r="G140" s="574"/>
      <c r="H140" s="574"/>
      <c r="I140" s="574"/>
      <c r="J140" s="574"/>
      <c r="K140" s="574"/>
      <c r="L140" s="574"/>
      <c r="M140" s="565"/>
      <c r="AD140" s="558"/>
    </row>
    <row r="141" spans="1:30" ht="18">
      <c r="A141" s="557">
        <v>33</v>
      </c>
      <c r="C141" s="820"/>
      <c r="D141" s="574"/>
      <c r="E141" s="574"/>
      <c r="F141" s="574"/>
      <c r="G141" s="685"/>
      <c r="H141" s="686"/>
      <c r="I141" s="687"/>
      <c r="J141" s="574"/>
      <c r="K141" s="574"/>
      <c r="L141" s="574"/>
      <c r="M141" s="565"/>
      <c r="AD141" s="558"/>
    </row>
    <row r="142" spans="1:30" ht="18">
      <c r="A142" s="557">
        <v>34</v>
      </c>
      <c r="C142" s="820"/>
      <c r="D142" s="682"/>
      <c r="E142" s="682"/>
      <c r="F142" s="682"/>
      <c r="G142" s="682"/>
      <c r="H142" s="682"/>
      <c r="I142" s="682"/>
      <c r="J142" s="688"/>
      <c r="K142" s="574"/>
      <c r="L142" s="689"/>
      <c r="M142" s="565"/>
      <c r="AD142" s="558"/>
    </row>
    <row r="143" spans="1:30" ht="18">
      <c r="A143" s="557">
        <v>35</v>
      </c>
      <c r="C143" s="820"/>
      <c r="D143" s="574"/>
      <c r="E143" s="574"/>
      <c r="F143" s="574"/>
      <c r="G143" s="684"/>
      <c r="H143" s="684"/>
      <c r="I143" s="684"/>
      <c r="J143" s="682"/>
      <c r="K143" s="574"/>
      <c r="L143" s="689"/>
      <c r="M143" s="565"/>
      <c r="AD143" s="558"/>
    </row>
    <row r="144" spans="1:30">
      <c r="A144" s="557">
        <v>36</v>
      </c>
      <c r="C144" s="820"/>
      <c r="D144" s="574"/>
      <c r="E144" s="574"/>
      <c r="F144" s="574"/>
      <c r="G144" s="684"/>
      <c r="H144" s="684"/>
      <c r="I144" s="684"/>
      <c r="J144" s="684"/>
      <c r="K144" s="574"/>
      <c r="L144" s="574"/>
      <c r="M144" s="565"/>
      <c r="AD144" s="558"/>
    </row>
    <row r="145" spans="1:30">
      <c r="A145" s="557">
        <v>37</v>
      </c>
      <c r="C145" s="820"/>
      <c r="D145" s="574"/>
      <c r="E145" s="574"/>
      <c r="F145" s="574"/>
      <c r="G145" s="684"/>
      <c r="H145" s="684"/>
      <c r="I145" s="684"/>
      <c r="J145" s="684"/>
      <c r="K145" s="689"/>
      <c r="L145" s="574"/>
      <c r="M145" s="565"/>
      <c r="AD145" s="558"/>
    </row>
    <row r="146" spans="1:30">
      <c r="A146" s="557">
        <v>38</v>
      </c>
      <c r="C146" s="820"/>
      <c r="D146" s="574"/>
      <c r="E146" s="574"/>
      <c r="F146" s="574"/>
      <c r="G146" s="684"/>
      <c r="H146" s="684"/>
      <c r="I146" s="684"/>
      <c r="J146" s="684"/>
      <c r="K146" s="689"/>
      <c r="L146" s="574"/>
      <c r="M146" s="565"/>
      <c r="AD146" s="558"/>
    </row>
    <row r="147" spans="1:30">
      <c r="A147" s="557">
        <v>39</v>
      </c>
      <c r="C147" s="820"/>
      <c r="D147" s="574"/>
      <c r="E147" s="574"/>
      <c r="F147" s="574"/>
      <c r="G147" s="684"/>
      <c r="H147" s="684"/>
      <c r="I147" s="684"/>
      <c r="J147" s="684"/>
      <c r="K147" s="574"/>
      <c r="L147" s="574"/>
      <c r="M147" s="565"/>
      <c r="AD147" s="558"/>
    </row>
    <row r="148" spans="1:30" ht="14" customHeight="1">
      <c r="C148" s="820"/>
      <c r="D148" s="574"/>
      <c r="E148" s="574"/>
      <c r="F148" s="574"/>
      <c r="G148" s="684"/>
      <c r="H148" s="684"/>
      <c r="I148" s="684"/>
      <c r="J148" s="684"/>
      <c r="K148" s="574"/>
      <c r="L148" s="574"/>
      <c r="M148" s="565"/>
      <c r="AD148" s="558"/>
    </row>
    <row r="149" spans="1:30">
      <c r="C149" s="820"/>
      <c r="D149" s="574"/>
      <c r="E149" s="574"/>
      <c r="F149" s="574"/>
      <c r="G149" s="684"/>
      <c r="H149" s="684"/>
      <c r="I149" s="684"/>
      <c r="J149" s="684"/>
      <c r="K149" s="574"/>
      <c r="L149" s="574"/>
      <c r="M149" s="565"/>
      <c r="AD149" s="558"/>
    </row>
    <row r="150" spans="1:30">
      <c r="A150" s="787">
        <v>1E-3</v>
      </c>
      <c r="C150" s="820"/>
      <c r="D150" s="574"/>
      <c r="E150" s="574"/>
      <c r="F150" s="574"/>
      <c r="G150" s="684"/>
      <c r="H150" s="684"/>
      <c r="I150" s="684"/>
      <c r="J150" s="684"/>
      <c r="K150" s="574"/>
      <c r="L150" s="574"/>
      <c r="M150" s="565"/>
      <c r="AD150" s="558"/>
    </row>
    <row r="151" spans="1:30">
      <c r="A151" s="787">
        <v>2E-3</v>
      </c>
      <c r="C151" s="820"/>
      <c r="D151" s="574"/>
      <c r="E151" s="574"/>
      <c r="F151" s="574"/>
      <c r="G151" s="684"/>
      <c r="H151" s="684"/>
      <c r="I151" s="684"/>
      <c r="J151" s="684"/>
      <c r="K151" s="574"/>
      <c r="L151" s="574"/>
      <c r="M151" s="565"/>
      <c r="AD151" s="558"/>
    </row>
    <row r="152" spans="1:30">
      <c r="A152" s="787">
        <v>3.0000000000000001E-3</v>
      </c>
      <c r="C152" s="820"/>
      <c r="D152" s="574"/>
      <c r="E152" s="574"/>
      <c r="F152" s="574"/>
      <c r="G152" s="574"/>
      <c r="H152" s="574"/>
      <c r="I152" s="574"/>
      <c r="J152" s="684"/>
      <c r="K152" s="574"/>
      <c r="L152" s="574"/>
      <c r="M152" s="565"/>
      <c r="AD152" s="558"/>
    </row>
    <row r="153" spans="1:30">
      <c r="A153" s="787">
        <v>4.0000000000000001E-3</v>
      </c>
      <c r="C153" s="820"/>
      <c r="D153" s="574"/>
      <c r="E153" s="574"/>
      <c r="F153" s="574"/>
      <c r="G153" s="574"/>
      <c r="H153" s="574"/>
      <c r="I153" s="574"/>
      <c r="J153" s="574"/>
      <c r="K153" s="574"/>
      <c r="L153" s="574"/>
      <c r="M153" s="565"/>
      <c r="AD153" s="558"/>
    </row>
    <row r="154" spans="1:30">
      <c r="A154" s="787">
        <v>5.0000000000000001E-3</v>
      </c>
      <c r="C154" s="820"/>
      <c r="D154" s="574"/>
      <c r="E154" s="574"/>
      <c r="F154" s="574"/>
      <c r="G154" s="574"/>
      <c r="H154" s="574"/>
      <c r="I154" s="574"/>
      <c r="J154" s="574"/>
      <c r="K154" s="574"/>
      <c r="L154" s="574"/>
      <c r="M154" s="565"/>
      <c r="AD154" s="558"/>
    </row>
    <row r="155" spans="1:30">
      <c r="A155" s="787">
        <v>6.0000000000000001E-3</v>
      </c>
      <c r="J155" s="574"/>
      <c r="K155" s="574"/>
      <c r="L155" s="574"/>
      <c r="AD155" s="558"/>
    </row>
    <row r="156" spans="1:30">
      <c r="A156" s="787">
        <v>7.0000000000000001E-3</v>
      </c>
      <c r="K156" s="574"/>
      <c r="AD156" s="558"/>
    </row>
    <row r="157" spans="1:30">
      <c r="A157" s="787">
        <v>8.0000000000000002E-3</v>
      </c>
      <c r="K157" s="574"/>
      <c r="AD157" s="558"/>
    </row>
    <row r="158" spans="1:30">
      <c r="A158" s="787">
        <v>8.9999999999999993E-3</v>
      </c>
      <c r="K158" s="574"/>
      <c r="AD158" s="558"/>
    </row>
    <row r="159" spans="1:30">
      <c r="A159" s="787">
        <v>0.01</v>
      </c>
      <c r="AD159" s="558"/>
    </row>
    <row r="160" spans="1:30">
      <c r="A160" s="787">
        <v>1.0999999999999999E-2</v>
      </c>
      <c r="L160" s="565"/>
      <c r="M160" s="565"/>
      <c r="AD160" s="558"/>
    </row>
    <row r="161" spans="1:30">
      <c r="A161" s="787">
        <v>1.2E-2</v>
      </c>
      <c r="AD161" s="558"/>
    </row>
    <row r="162" spans="1:30">
      <c r="A162" s="787">
        <v>1.2999999999999999E-2</v>
      </c>
      <c r="AD162" s="558"/>
    </row>
    <row r="163" spans="1:30">
      <c r="A163" s="787">
        <v>1.4E-2</v>
      </c>
      <c r="AD163" s="558"/>
    </row>
    <row r="164" spans="1:30">
      <c r="A164" s="787">
        <v>1.4999999999999999E-2</v>
      </c>
      <c r="AD164" s="558"/>
    </row>
    <row r="165" spans="1:30">
      <c r="A165" s="787">
        <v>1.6E-2</v>
      </c>
      <c r="AD165" s="558"/>
    </row>
    <row r="166" spans="1:30">
      <c r="A166" s="787">
        <v>1.7000000000000001E-2</v>
      </c>
      <c r="AD166" s="558"/>
    </row>
    <row r="167" spans="1:30">
      <c r="A167" s="787">
        <v>1.7999999999999999E-2</v>
      </c>
      <c r="AD167" s="558"/>
    </row>
    <row r="168" spans="1:30">
      <c r="A168" s="787">
        <v>1.9E-2</v>
      </c>
      <c r="AD168" s="558"/>
    </row>
    <row r="169" spans="1:30">
      <c r="A169" s="787">
        <v>0.02</v>
      </c>
      <c r="B169" s="587"/>
      <c r="AD169" s="558"/>
    </row>
    <row r="170" spans="1:30">
      <c r="A170" s="787">
        <v>2.1000000000000001E-2</v>
      </c>
      <c r="B170" s="587"/>
      <c r="AD170" s="558"/>
    </row>
    <row r="171" spans="1:30">
      <c r="A171" s="787">
        <v>2.1999999999999999E-2</v>
      </c>
      <c r="B171" s="587"/>
      <c r="AD171" s="558"/>
    </row>
    <row r="172" spans="1:30">
      <c r="A172" s="787">
        <v>2.3E-2</v>
      </c>
      <c r="B172" s="587"/>
      <c r="AD172" s="558"/>
    </row>
    <row r="173" spans="1:30">
      <c r="A173" s="787">
        <v>2.4E-2</v>
      </c>
      <c r="B173" s="587"/>
      <c r="AD173" s="558"/>
    </row>
    <row r="174" spans="1:30">
      <c r="A174" s="787">
        <v>2.5000000000000001E-2</v>
      </c>
      <c r="B174" s="587"/>
      <c r="AD174" s="558"/>
    </row>
    <row r="175" spans="1:30">
      <c r="A175" s="787">
        <v>2.5999999999999999E-2</v>
      </c>
      <c r="B175" s="587"/>
      <c r="AD175" s="558"/>
    </row>
    <row r="176" spans="1:30">
      <c r="A176" s="787">
        <v>2.7E-2</v>
      </c>
      <c r="B176" s="587"/>
      <c r="AD176" s="558"/>
    </row>
    <row r="177" spans="1:30">
      <c r="A177" s="787">
        <v>2.8000000000000001E-2</v>
      </c>
      <c r="B177" s="587"/>
      <c r="AD177" s="558"/>
    </row>
    <row r="178" spans="1:30">
      <c r="A178" s="787">
        <v>2.9000000000000001E-2</v>
      </c>
      <c r="B178" s="587"/>
      <c r="AD178" s="558"/>
    </row>
    <row r="179" spans="1:30">
      <c r="A179" s="787">
        <v>0.03</v>
      </c>
      <c r="B179" s="587"/>
      <c r="AD179" s="558"/>
    </row>
    <row r="180" spans="1:30">
      <c r="A180" s="787">
        <v>3.1E-2</v>
      </c>
      <c r="B180" s="587"/>
      <c r="AD180" s="558"/>
    </row>
    <row r="181" spans="1:30">
      <c r="A181" s="787">
        <v>3.2000000000000001E-2</v>
      </c>
      <c r="B181" s="587"/>
      <c r="AD181" s="558"/>
    </row>
    <row r="182" spans="1:30">
      <c r="A182" s="787">
        <v>3.3000000000000002E-2</v>
      </c>
      <c r="B182" s="587"/>
      <c r="AD182" s="558"/>
    </row>
    <row r="183" spans="1:30">
      <c r="A183" s="787">
        <v>3.4000000000000002E-2</v>
      </c>
      <c r="B183" s="587"/>
      <c r="AD183" s="558"/>
    </row>
    <row r="184" spans="1:30">
      <c r="A184" s="787">
        <v>3.5000000000000003E-2</v>
      </c>
      <c r="B184" s="587"/>
      <c r="AD184" s="558"/>
    </row>
    <row r="185" spans="1:30">
      <c r="A185" s="787">
        <v>3.5999999999999997E-2</v>
      </c>
      <c r="B185" s="587"/>
      <c r="AD185" s="558"/>
    </row>
    <row r="186" spans="1:30">
      <c r="A186" s="787">
        <v>3.6999999999999998E-2</v>
      </c>
      <c r="B186" s="587"/>
      <c r="AD186" s="558"/>
    </row>
    <row r="187" spans="1:30">
      <c r="A187" s="787">
        <v>3.7999999999999999E-2</v>
      </c>
      <c r="B187" s="587"/>
      <c r="AD187" s="558"/>
    </row>
    <row r="188" spans="1:30">
      <c r="A188" s="787">
        <v>3.9E-2</v>
      </c>
      <c r="B188" s="587"/>
      <c r="AD188" s="558"/>
    </row>
    <row r="189" spans="1:30">
      <c r="A189" s="787">
        <v>0.04</v>
      </c>
      <c r="B189" s="587"/>
      <c r="AD189" s="558"/>
    </row>
    <row r="190" spans="1:30">
      <c r="A190" s="787">
        <v>4.1000000000000002E-2</v>
      </c>
      <c r="B190" s="587"/>
      <c r="AD190" s="558"/>
    </row>
    <row r="191" spans="1:30">
      <c r="A191" s="787">
        <v>4.2000000000000003E-2</v>
      </c>
      <c r="B191" s="587"/>
      <c r="AD191" s="558"/>
    </row>
    <row r="192" spans="1:30">
      <c r="A192" s="787">
        <v>4.2999999999999997E-2</v>
      </c>
      <c r="B192" s="587"/>
      <c r="AD192" s="558"/>
    </row>
    <row r="193" spans="1:30">
      <c r="A193" s="787">
        <v>4.3999999999999997E-2</v>
      </c>
      <c r="B193" s="587"/>
      <c r="AD193" s="558"/>
    </row>
    <row r="194" spans="1:30">
      <c r="A194" s="787">
        <v>4.4999999999999998E-2</v>
      </c>
      <c r="B194" s="587"/>
      <c r="AD194" s="558"/>
    </row>
    <row r="195" spans="1:30">
      <c r="A195" s="787">
        <v>4.5999999999999999E-2</v>
      </c>
      <c r="B195" s="587"/>
      <c r="AD195" s="558"/>
    </row>
    <row r="196" spans="1:30">
      <c r="A196" s="787">
        <v>4.7E-2</v>
      </c>
      <c r="B196" s="587"/>
      <c r="AD196" s="558"/>
    </row>
    <row r="197" spans="1:30">
      <c r="A197" s="787">
        <v>4.8000000000000001E-2</v>
      </c>
      <c r="B197" s="587"/>
      <c r="AD197" s="558"/>
    </row>
    <row r="198" spans="1:30">
      <c r="A198" s="787">
        <v>4.9000000000000002E-2</v>
      </c>
      <c r="B198" s="587"/>
      <c r="AD198" s="558"/>
    </row>
    <row r="199" spans="1:30">
      <c r="A199" s="787">
        <v>0.05</v>
      </c>
      <c r="B199" s="587"/>
      <c r="AD199" s="558"/>
    </row>
    <row r="200" spans="1:30">
      <c r="A200" s="787">
        <v>5.0999999999999997E-2</v>
      </c>
      <c r="B200" s="587"/>
      <c r="AD200" s="558"/>
    </row>
    <row r="201" spans="1:30">
      <c r="A201" s="787">
        <v>5.1999999999999998E-2</v>
      </c>
      <c r="B201" s="587"/>
      <c r="AD201" s="558"/>
    </row>
    <row r="202" spans="1:30">
      <c r="A202" s="787">
        <v>5.2999999999999999E-2</v>
      </c>
    </row>
    <row r="203" spans="1:30">
      <c r="A203" s="787">
        <v>5.3999999999999999E-2</v>
      </c>
    </row>
    <row r="204" spans="1:30">
      <c r="A204" s="787">
        <v>5.5E-2</v>
      </c>
    </row>
    <row r="205" spans="1:30">
      <c r="A205" s="787">
        <v>5.6000000000000001E-2</v>
      </c>
    </row>
    <row r="206" spans="1:30">
      <c r="A206" s="787">
        <v>5.7000000000000002E-2</v>
      </c>
    </row>
    <row r="207" spans="1:30">
      <c r="A207" s="787">
        <v>5.8000000000000003E-2</v>
      </c>
    </row>
    <row r="208" spans="1:30">
      <c r="A208" s="787">
        <v>5.8999999999999997E-2</v>
      </c>
    </row>
    <row r="209" spans="1:1">
      <c r="A209" s="787">
        <v>0.06</v>
      </c>
    </row>
  </sheetData>
  <sheetProtection sheet="1" selectLockedCells="1"/>
  <sortState xmlns:xlrd2="http://schemas.microsoft.com/office/spreadsheetml/2017/richdata2" ref="A3:A97">
    <sortCondition ref="A3"/>
  </sortState>
  <customSheetViews>
    <customSheetView guid="{8967CA62-3554-8A40-ACFF-3515F2B518C8}" scale="67" showGridLines="0" topLeftCell="G9">
      <selection activeCell="S31" sqref="S31"/>
      <colBreaks count="1" manualBreakCount="1">
        <brk id="30" max="1048575" man="1"/>
      </colBreaks>
      <pageMargins left="0.7" right="0.7" top="0.75" bottom="0.75" header="0.3" footer="0.3"/>
      <pageSetup paperSize="9" orientation="portrait" horizontalDpi="4294967292" verticalDpi="4294967292"/>
    </customSheetView>
    <customSheetView guid="{EB877D66-0749-4C48-89AA-FFA94A34014C}" scale="67" showGridLines="0">
      <selection activeCell="K13" sqref="K13"/>
      <colBreaks count="1" manualBreakCount="1">
        <brk id="30" max="1048575" man="1"/>
      </colBreaks>
      <pageMargins left="0.7" right="0.7" top="0.75" bottom="0.75" header="0.3" footer="0.3"/>
      <pageSetup paperSize="9" orientation="portrait" horizontalDpi="4294967292" verticalDpi="4294967292"/>
    </customSheetView>
  </customSheetViews>
  <mergeCells count="7">
    <mergeCell ref="D124:I124"/>
    <mergeCell ref="I7:J7"/>
    <mergeCell ref="Z19:AN19"/>
    <mergeCell ref="D69:Y69"/>
    <mergeCell ref="D73:AJ73"/>
    <mergeCell ref="D122:I122"/>
    <mergeCell ref="D123:I123"/>
  </mergeCells>
  <conditionalFormatting sqref="H20:R20">
    <cfRule type="expression" dxfId="1" priority="16">
      <formula>H67=0</formula>
    </cfRule>
    <cfRule type="expression" dxfId="0" priority="17">
      <formula>H67=1</formula>
    </cfRule>
  </conditionalFormatting>
  <dataValidations count="11">
    <dataValidation type="decimal" allowBlank="1" showInputMessage="1" showErrorMessage="1" sqref="H41:R41 H36:R36 H51:R51 H46:R46" xr:uid="{00000000-0002-0000-0200-000002000000}">
      <formula1>0</formula1>
      <formula2>100</formula2>
    </dataValidation>
    <dataValidation type="list" allowBlank="1" showInputMessage="1" showErrorMessage="1" sqref="D24" xr:uid="{00000000-0002-0000-0200-000003000000}">
      <formula1>$AP$8</formula1>
    </dataValidation>
    <dataValidation type="list" allowBlank="1" showInputMessage="1" showErrorMessage="1" sqref="F24 F30 F40 F35 F45 F50 F55" xr:uid="{00000000-0002-0000-0200-000004000000}">
      <formula1>$AR$8:$AR$9</formula1>
    </dataValidation>
    <dataValidation type="list" allowBlank="1" showInputMessage="1" showErrorMessage="1" sqref="D30" xr:uid="{00000000-0002-0000-0200-000005000000}">
      <formula1>$AQ$8:$AQ$10</formula1>
    </dataValidation>
    <dataValidation type="list" allowBlank="1" showInputMessage="1" showErrorMessage="1" sqref="D35 D40 D45 D55" xr:uid="{00000000-0002-0000-0200-000006000000}">
      <formula1>$AS$8:$AS$9</formula1>
    </dataValidation>
    <dataValidation type="list" allowBlank="1" showInputMessage="1" showErrorMessage="1" sqref="T46 T41 T36" xr:uid="{00000000-0002-0000-0200-000007000000}">
      <formula1>$AT$8:$AT$17</formula1>
    </dataValidation>
    <dataValidation type="list" allowBlank="1" showInputMessage="1" showErrorMessage="1" sqref="D50" xr:uid="{00000000-0002-0000-0200-000008000000}">
      <formula1>$AU$8:$AU$10</formula1>
    </dataValidation>
    <dataValidation type="list" allowBlank="1" showInputMessage="1" showErrorMessage="1" sqref="H56:R56" xr:uid="{00000000-0002-0000-0200-000009000000}">
      <formula1>$AR$13:$AR$17</formula1>
    </dataValidation>
    <dataValidation type="list" allowBlank="1" showInputMessage="1" showErrorMessage="1" sqref="Z28:AJ29" xr:uid="{00000000-0002-0000-0200-000001000000}">
      <formula1>$A$153:$A$209</formula1>
    </dataValidation>
    <dataValidation type="list" allowBlank="1" showInputMessage="1" showErrorMessage="1" sqref="I7:J7" xr:uid="{00000000-0002-0000-0200-00000B000000}">
      <formula1>$A$3:$A$101</formula1>
    </dataValidation>
    <dataValidation type="list" allowBlank="1" showInputMessage="1" showErrorMessage="1" sqref="Z33:AK34" xr:uid="{00000000-0002-0000-0200-00000A000000}">
      <formula1>$A$70:$A$152</formula1>
    </dataValidation>
  </dataValidations>
  <pageMargins left="0.7" right="0.7" top="0.75" bottom="0.75" header="0.3" footer="0.3"/>
  <pageSetup paperSize="9" orientation="portrait" horizontalDpi="4294967292" verticalDpi="4294967292"/>
  <colBreaks count="1" manualBreakCount="1">
    <brk id="30" max="1048575" man="1"/>
  </colBreaks>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A2:BT167"/>
  <sheetViews>
    <sheetView showGridLines="0" topLeftCell="D1" zoomScale="75" zoomScaleNormal="85" zoomScalePageLayoutView="85" workbookViewId="0">
      <selection activeCell="N48" sqref="N48"/>
    </sheetView>
  </sheetViews>
  <sheetFormatPr baseColWidth="10" defaultColWidth="10.83203125" defaultRowHeight="16"/>
  <cols>
    <col min="1" max="2" width="4.33203125" style="1" customWidth="1"/>
    <col min="3" max="3" width="2.1640625" style="1" customWidth="1"/>
    <col min="4" max="4" width="42.33203125" style="1" customWidth="1"/>
    <col min="5" max="5" width="12.83203125" style="1" customWidth="1"/>
    <col min="6" max="14" width="7.1640625" style="1" customWidth="1"/>
    <col min="15" max="15" width="9.1640625" style="1" customWidth="1"/>
    <col min="16" max="25" width="7.1640625" style="1" customWidth="1"/>
    <col min="26" max="26" width="7.6640625" style="1" customWidth="1"/>
    <col min="27" max="27" width="5.33203125" style="1" customWidth="1"/>
    <col min="28" max="49" width="7" style="1" customWidth="1"/>
    <col min="50" max="50" width="6" style="112" customWidth="1"/>
    <col min="51" max="51" width="5.6640625" style="112" customWidth="1"/>
    <col min="52" max="72" width="7.5" style="1" customWidth="1"/>
    <col min="73" max="16384" width="10.83203125" style="1"/>
  </cols>
  <sheetData>
    <row r="2" spans="2:72" ht="39">
      <c r="D2" s="12" t="s">
        <v>10</v>
      </c>
      <c r="E2" s="8"/>
      <c r="F2" s="65" t="str">
        <f>Data!I7</f>
        <v>India</v>
      </c>
    </row>
    <row r="5" spans="2:72">
      <c r="D5" s="267" t="s">
        <v>92</v>
      </c>
      <c r="I5" s="359"/>
      <c r="J5" s="359"/>
      <c r="K5" s="359"/>
      <c r="L5" s="359"/>
      <c r="M5" s="359"/>
      <c r="N5" s="359"/>
      <c r="O5" s="359"/>
      <c r="P5" s="359"/>
      <c r="Q5" s="359"/>
      <c r="R5" s="359"/>
      <c r="S5" s="359"/>
      <c r="T5" s="359"/>
      <c r="U5" s="359"/>
      <c r="V5" s="359"/>
      <c r="W5" s="359"/>
      <c r="X5" s="359"/>
      <c r="Y5" s="359"/>
      <c r="Z5" s="359"/>
      <c r="AA5" s="359"/>
      <c r="AB5" s="359"/>
      <c r="AC5" s="359"/>
    </row>
    <row r="6" spans="2:72" ht="31" customHeight="1">
      <c r="D6" s="267" t="s">
        <v>93</v>
      </c>
      <c r="I6" s="359"/>
      <c r="J6" s="389"/>
      <c r="K6" s="112"/>
      <c r="L6" s="112"/>
      <c r="M6" s="112"/>
      <c r="N6" s="112"/>
      <c r="O6" s="112"/>
      <c r="P6" s="112"/>
      <c r="Q6" s="112"/>
      <c r="R6" s="112"/>
      <c r="S6" s="112"/>
      <c r="T6" s="112"/>
      <c r="U6" s="112"/>
      <c r="V6" s="112"/>
      <c r="W6" s="112"/>
      <c r="X6" s="112"/>
      <c r="Y6" s="112"/>
      <c r="Z6" s="112"/>
      <c r="AA6" s="112"/>
      <c r="AB6" s="112"/>
      <c r="AC6" s="359"/>
    </row>
    <row r="7" spans="2:72">
      <c r="D7" s="267" t="s">
        <v>95</v>
      </c>
      <c r="I7" s="359"/>
      <c r="J7" s="112"/>
      <c r="K7" s="112"/>
      <c r="L7" s="112"/>
      <c r="M7" s="112"/>
      <c r="N7" s="112"/>
      <c r="O7" s="112"/>
      <c r="P7" s="112"/>
      <c r="Q7" s="112"/>
      <c r="R7" s="112"/>
      <c r="S7" s="112"/>
      <c r="T7" s="112"/>
      <c r="U7" s="112"/>
      <c r="V7" s="112"/>
      <c r="W7" s="112"/>
      <c r="X7" s="112"/>
      <c r="Y7" s="112"/>
      <c r="Z7" s="112"/>
      <c r="AA7" s="112"/>
      <c r="AB7" s="112"/>
      <c r="AC7" s="359"/>
    </row>
    <row r="8" spans="2:72">
      <c r="D8" s="267" t="s">
        <v>94</v>
      </c>
      <c r="I8" s="359"/>
      <c r="J8" s="112"/>
      <c r="K8" s="376"/>
      <c r="L8" s="112"/>
      <c r="M8" s="112"/>
      <c r="N8" s="112"/>
      <c r="O8" s="112"/>
      <c r="P8" s="112"/>
      <c r="Q8" s="112"/>
      <c r="R8" s="112"/>
      <c r="S8" s="112"/>
      <c r="T8" s="112"/>
      <c r="U8" s="112"/>
      <c r="V8" s="112"/>
      <c r="W8" s="112"/>
      <c r="X8" s="112"/>
      <c r="Y8" s="112"/>
      <c r="Z8" s="112"/>
      <c r="AA8" s="112"/>
      <c r="AB8" s="112"/>
      <c r="AC8" s="359"/>
    </row>
    <row r="9" spans="2:72" ht="15" customHeight="1">
      <c r="D9" s="267" t="s">
        <v>96</v>
      </c>
      <c r="I9" s="359"/>
      <c r="J9" s="112"/>
      <c r="K9" s="376"/>
      <c r="L9" s="112"/>
      <c r="M9" s="112"/>
      <c r="N9" s="112"/>
      <c r="O9" s="112"/>
      <c r="P9" s="112"/>
      <c r="Q9" s="112"/>
      <c r="R9" s="112"/>
      <c r="S9" s="112"/>
      <c r="T9" s="343"/>
      <c r="U9" s="112"/>
      <c r="V9" s="112"/>
      <c r="W9" s="112"/>
      <c r="X9" s="112"/>
      <c r="Y9" s="112"/>
      <c r="Z9" s="112"/>
      <c r="AA9" s="112"/>
      <c r="AB9" s="112"/>
      <c r="AC9" s="359"/>
    </row>
    <row r="10" spans="2:72">
      <c r="I10" s="359"/>
      <c r="J10" s="112"/>
      <c r="K10" s="112"/>
      <c r="L10" s="112"/>
      <c r="M10" s="112"/>
      <c r="N10" s="112"/>
      <c r="O10" s="112"/>
      <c r="P10" s="112"/>
      <c r="Q10" s="112"/>
      <c r="R10" s="112"/>
      <c r="S10" s="112"/>
      <c r="T10" s="345"/>
      <c r="U10" s="112"/>
      <c r="V10" s="112"/>
      <c r="W10" s="112"/>
      <c r="X10" s="112"/>
      <c r="Y10" s="112"/>
      <c r="Z10" s="112"/>
      <c r="AA10" s="112"/>
      <c r="AB10" s="112"/>
      <c r="AC10" s="359"/>
    </row>
    <row r="11" spans="2:72" s="112" customFormat="1" ht="17">
      <c r="L11" s="112" t="s">
        <v>874</v>
      </c>
      <c r="M11" s="112" t="s">
        <v>873</v>
      </c>
    </row>
    <row r="12" spans="2:72" s="112" customFormat="1">
      <c r="L12" s="343"/>
    </row>
    <row r="13" spans="2:72" s="112" customFormat="1" ht="16" customHeight="1">
      <c r="D13" s="1"/>
      <c r="E13" s="7" t="s">
        <v>2</v>
      </c>
      <c r="F13" s="7"/>
      <c r="G13" s="1"/>
      <c r="H13" s="1"/>
      <c r="I13" s="1"/>
      <c r="J13" s="1"/>
      <c r="K13" s="1"/>
      <c r="L13" s="1"/>
      <c r="M13" s="1"/>
      <c r="N13" s="1"/>
      <c r="O13" s="1"/>
      <c r="P13" s="1"/>
      <c r="Q13" s="1"/>
      <c r="R13" s="66"/>
      <c r="S13" s="1"/>
      <c r="T13" s="1"/>
      <c r="U13" s="1"/>
      <c r="V13" s="1"/>
      <c r="W13" s="1"/>
      <c r="X13" s="1"/>
      <c r="Y13" s="1"/>
      <c r="Z13" s="1"/>
      <c r="AA13" s="1"/>
      <c r="AB13" s="1"/>
      <c r="AC13" s="1"/>
      <c r="AD13" s="1"/>
      <c r="AE13" s="1"/>
      <c r="AF13" s="1"/>
      <c r="AG13" s="1"/>
    </row>
    <row r="14" spans="2:72" s="112" customFormat="1" ht="38" customHeight="1">
      <c r="D14" s="1"/>
      <c r="E14" s="1"/>
      <c r="F14" s="1"/>
      <c r="G14" s="1"/>
      <c r="H14" s="1"/>
      <c r="I14" s="1"/>
      <c r="J14" s="1"/>
      <c r="K14" s="1"/>
      <c r="L14" s="1"/>
      <c r="M14" s="1"/>
      <c r="N14" s="1"/>
      <c r="O14" s="1"/>
      <c r="P14" s="1"/>
      <c r="Q14" s="1"/>
      <c r="R14" s="66"/>
      <c r="T14" s="1"/>
      <c r="U14" s="1"/>
      <c r="V14" s="1"/>
      <c r="W14" s="1"/>
      <c r="X14" s="1"/>
      <c r="Y14" s="1"/>
      <c r="Z14" s="1"/>
      <c r="AA14" s="1"/>
      <c r="AB14" s="1"/>
      <c r="AC14" s="1" t="s">
        <v>887</v>
      </c>
      <c r="AD14" s="1"/>
      <c r="AE14" s="1"/>
      <c r="AF14" s="1"/>
      <c r="AG14" s="1"/>
      <c r="AZ14" s="112" t="s">
        <v>886</v>
      </c>
    </row>
    <row r="15" spans="2:72" s="112" customFormat="1" ht="19">
      <c r="D15" s="1"/>
      <c r="E15" s="1"/>
      <c r="F15" s="115" t="s">
        <v>389</v>
      </c>
      <c r="G15" s="115"/>
      <c r="H15" s="115"/>
      <c r="I15" s="115"/>
      <c r="J15" s="115"/>
      <c r="K15" s="115"/>
      <c r="L15" s="115"/>
      <c r="M15" s="115"/>
      <c r="N15" s="380"/>
      <c r="O15" s="380"/>
      <c r="P15" s="380"/>
      <c r="Q15" s="380"/>
      <c r="R15" s="380"/>
      <c r="S15" s="380"/>
      <c r="T15" s="380"/>
      <c r="U15" s="380"/>
      <c r="V15" s="380"/>
      <c r="W15" s="380"/>
      <c r="X15" s="380"/>
      <c r="Y15" s="380"/>
      <c r="Z15" s="380"/>
      <c r="AC15" s="115" t="s">
        <v>389</v>
      </c>
      <c r="AD15" s="115"/>
      <c r="AE15" s="115"/>
      <c r="AF15" s="115"/>
      <c r="AG15" s="115"/>
      <c r="AH15" s="115"/>
      <c r="AI15" s="115"/>
      <c r="AJ15" s="115"/>
      <c r="AK15" s="380"/>
      <c r="AL15" s="380"/>
      <c r="AM15" s="380"/>
      <c r="AN15" s="380"/>
      <c r="AO15" s="380"/>
      <c r="AP15" s="380"/>
      <c r="AQ15" s="380"/>
      <c r="AR15" s="380"/>
      <c r="AS15" s="380"/>
      <c r="AT15" s="380"/>
      <c r="AU15" s="380"/>
      <c r="AV15" s="380"/>
      <c r="AW15" s="380"/>
      <c r="AZ15" s="115" t="s">
        <v>389</v>
      </c>
      <c r="BA15" s="115"/>
      <c r="BB15" s="115"/>
      <c r="BC15" s="115"/>
      <c r="BD15" s="115"/>
      <c r="BE15" s="115"/>
      <c r="BF15" s="115"/>
      <c r="BG15" s="115"/>
      <c r="BH15" s="380"/>
      <c r="BI15" s="380"/>
      <c r="BJ15" s="380"/>
      <c r="BK15" s="380"/>
      <c r="BL15" s="380"/>
      <c r="BM15" s="380"/>
      <c r="BN15" s="380"/>
      <c r="BO15" s="380"/>
      <c r="BP15" s="380"/>
      <c r="BQ15" s="380"/>
      <c r="BR15" s="380"/>
      <c r="BS15" s="380"/>
      <c r="BT15" s="380"/>
    </row>
    <row r="16" spans="2:72" s="112" customFormat="1" ht="21" customHeight="1">
      <c r="B16" s="1"/>
      <c r="C16" s="1"/>
      <c r="D16" s="1"/>
      <c r="E16" s="1"/>
      <c r="F16" s="81">
        <v>2010</v>
      </c>
      <c r="G16" s="81">
        <v>2011</v>
      </c>
      <c r="H16" s="81">
        <v>2012</v>
      </c>
      <c r="I16" s="81">
        <v>2013</v>
      </c>
      <c r="J16" s="81">
        <v>2014</v>
      </c>
      <c r="K16" s="81">
        <v>2015</v>
      </c>
      <c r="L16" s="81">
        <v>2016</v>
      </c>
      <c r="M16" s="81">
        <v>2017</v>
      </c>
      <c r="N16" s="81">
        <v>2018</v>
      </c>
      <c r="O16" s="724">
        <v>2019</v>
      </c>
      <c r="P16" s="381">
        <v>2020</v>
      </c>
      <c r="Q16" s="381">
        <v>2021</v>
      </c>
      <c r="R16" s="381">
        <v>2022</v>
      </c>
      <c r="S16" s="381">
        <v>2023</v>
      </c>
      <c r="T16" s="381">
        <v>2024</v>
      </c>
      <c r="U16" s="381">
        <v>2025</v>
      </c>
      <c r="V16" s="381">
        <v>2026</v>
      </c>
      <c r="W16" s="381">
        <v>2027</v>
      </c>
      <c r="X16" s="381">
        <v>2028</v>
      </c>
      <c r="Y16" s="381">
        <v>2029</v>
      </c>
      <c r="Z16" s="381">
        <v>2030</v>
      </c>
      <c r="AC16" s="81">
        <v>2010</v>
      </c>
      <c r="AD16" s="81">
        <v>2011</v>
      </c>
      <c r="AE16" s="81">
        <v>2012</v>
      </c>
      <c r="AF16" s="81">
        <v>2013</v>
      </c>
      <c r="AG16" s="81">
        <v>2014</v>
      </c>
      <c r="AH16" s="81">
        <v>2015</v>
      </c>
      <c r="AI16" s="81">
        <v>2016</v>
      </c>
      <c r="AJ16" s="81">
        <v>2017</v>
      </c>
      <c r="AK16" s="81">
        <v>2018</v>
      </c>
      <c r="AL16" s="724">
        <v>2019</v>
      </c>
      <c r="AM16" s="381">
        <v>2020</v>
      </c>
      <c r="AN16" s="381">
        <v>2021</v>
      </c>
      <c r="AO16" s="381">
        <v>2022</v>
      </c>
      <c r="AP16" s="381">
        <v>2023</v>
      </c>
      <c r="AQ16" s="381">
        <v>2024</v>
      </c>
      <c r="AR16" s="381">
        <v>2025</v>
      </c>
      <c r="AS16" s="381">
        <v>2026</v>
      </c>
      <c r="AT16" s="381">
        <v>2027</v>
      </c>
      <c r="AU16" s="381">
        <v>2028</v>
      </c>
      <c r="AV16" s="381">
        <v>2029</v>
      </c>
      <c r="AW16" s="381">
        <v>2030</v>
      </c>
      <c r="AZ16" s="81">
        <v>2010</v>
      </c>
      <c r="BA16" s="81">
        <v>2011</v>
      </c>
      <c r="BB16" s="81">
        <v>2012</v>
      </c>
      <c r="BC16" s="81">
        <v>2013</v>
      </c>
      <c r="BD16" s="81">
        <v>2014</v>
      </c>
      <c r="BE16" s="81">
        <v>2015</v>
      </c>
      <c r="BF16" s="81">
        <v>2016</v>
      </c>
      <c r="BG16" s="81">
        <v>2017</v>
      </c>
      <c r="BH16" s="81">
        <v>2018</v>
      </c>
      <c r="BI16" s="381">
        <v>2019</v>
      </c>
      <c r="BJ16" s="381">
        <v>2020</v>
      </c>
      <c r="BK16" s="381">
        <v>2021</v>
      </c>
      <c r="BL16" s="381">
        <v>2022</v>
      </c>
      <c r="BM16" s="381">
        <v>2023</v>
      </c>
      <c r="BN16" s="381">
        <v>2024</v>
      </c>
      <c r="BO16" s="381">
        <v>2025</v>
      </c>
      <c r="BP16" s="381">
        <v>2026</v>
      </c>
      <c r="BQ16" s="381">
        <v>2027</v>
      </c>
      <c r="BR16" s="381">
        <v>2028</v>
      </c>
      <c r="BS16" s="381">
        <v>2029</v>
      </c>
      <c r="BT16" s="381">
        <v>2030</v>
      </c>
    </row>
    <row r="17" spans="2:72" s="112" customFormat="1">
      <c r="B17" s="1"/>
      <c r="C17" s="1"/>
      <c r="D17" s="1"/>
      <c r="E17" s="1"/>
      <c r="H17" s="1"/>
      <c r="I17" s="1"/>
      <c r="J17" s="1"/>
      <c r="K17" s="1"/>
      <c r="L17" s="1"/>
      <c r="M17" s="1"/>
      <c r="N17" s="382"/>
      <c r="O17" s="382"/>
      <c r="P17" s="382"/>
      <c r="Q17" s="382"/>
      <c r="R17" s="382"/>
      <c r="S17" s="382"/>
      <c r="T17" s="382"/>
      <c r="U17" s="382"/>
      <c r="V17" s="382"/>
      <c r="W17" s="382"/>
      <c r="X17" s="382"/>
      <c r="Y17" s="382"/>
      <c r="Z17" s="382"/>
      <c r="AH17" s="1"/>
      <c r="BE17" s="1"/>
    </row>
    <row r="18" spans="2:72" s="112" customFormat="1" ht="19">
      <c r="B18" s="1"/>
      <c r="C18" s="1"/>
      <c r="D18" s="54" t="s">
        <v>50</v>
      </c>
      <c r="E18" s="54" t="s">
        <v>7</v>
      </c>
      <c r="F18" s="55"/>
      <c r="G18" s="55"/>
      <c r="H18" s="55"/>
      <c r="I18" s="55"/>
      <c r="J18" s="55"/>
      <c r="K18" s="55"/>
      <c r="L18" s="55"/>
      <c r="M18" s="55"/>
      <c r="N18" s="383"/>
      <c r="O18" s="383"/>
      <c r="P18" s="383"/>
      <c r="Q18" s="383"/>
      <c r="R18" s="383"/>
      <c r="S18" s="383"/>
      <c r="T18" s="383"/>
      <c r="U18" s="383"/>
      <c r="V18" s="383"/>
      <c r="W18" s="383"/>
      <c r="X18" s="383"/>
      <c r="Y18" s="383"/>
      <c r="Z18" s="383"/>
      <c r="AC18" s="54" t="s">
        <v>50</v>
      </c>
      <c r="AD18" s="54" t="s">
        <v>7</v>
      </c>
      <c r="AE18" s="55"/>
      <c r="AF18" s="55"/>
      <c r="AG18" s="55"/>
      <c r="AH18" s="55"/>
      <c r="AI18" s="55"/>
      <c r="AJ18" s="55"/>
      <c r="AK18" s="55"/>
      <c r="AL18" s="55"/>
      <c r="AM18" s="383"/>
      <c r="AN18" s="383"/>
      <c r="AO18" s="383"/>
      <c r="AP18" s="383"/>
      <c r="AQ18" s="383"/>
      <c r="AR18" s="383"/>
      <c r="AS18" s="383"/>
      <c r="AT18" s="383"/>
      <c r="AU18" s="383"/>
      <c r="AV18" s="383"/>
      <c r="AW18" s="383"/>
      <c r="AX18" s="697"/>
      <c r="AY18" s="697"/>
      <c r="AZ18" s="54"/>
      <c r="BA18" s="54"/>
      <c r="BB18" s="55"/>
      <c r="BC18" s="55"/>
      <c r="BD18" s="55"/>
      <c r="BE18" s="55"/>
      <c r="BF18" s="55"/>
      <c r="BG18" s="55"/>
      <c r="BH18" s="55"/>
      <c r="BI18" s="55"/>
      <c r="BJ18" s="383"/>
      <c r="BK18" s="383"/>
      <c r="BL18" s="383"/>
      <c r="BM18" s="383"/>
      <c r="BN18" s="383"/>
      <c r="BO18" s="383"/>
      <c r="BP18" s="383"/>
      <c r="BQ18" s="383"/>
      <c r="BR18" s="383"/>
      <c r="BS18" s="383"/>
      <c r="BT18" s="383"/>
    </row>
    <row r="19" spans="2:72" s="112" customFormat="1" ht="28" customHeight="1">
      <c r="B19" s="1"/>
      <c r="C19" s="1"/>
      <c r="D19" s="96"/>
      <c r="E19" s="1"/>
      <c r="F19" s="1">
        <f>IF(Data!$F$24="Yes",Data!H24,Data!H26)</f>
        <v>26566075</v>
      </c>
      <c r="G19" s="1">
        <f>IF(Data!$F$24="Yes",Data!I24,Data!I26)</f>
        <v>26329745</v>
      </c>
      <c r="H19" s="1">
        <f>IF(Data!$F$24="Yes",Data!J24,Data!J26)</f>
        <v>26127686</v>
      </c>
      <c r="I19" s="1">
        <f>IF(Data!$F$24="Yes",Data!K24,Data!K26)</f>
        <v>25970276</v>
      </c>
      <c r="J19" s="1">
        <f>IF(Data!$F$24="Yes",Data!L24,Data!L26)</f>
        <v>25860462</v>
      </c>
      <c r="K19" s="1">
        <f>IF(Data!$F$24="Yes",Data!M24,Data!M26)</f>
        <v>25793674</v>
      </c>
      <c r="L19" s="1">
        <f>IF(Data!$F$24="Yes",Data!N24,Data!N26)</f>
        <v>25757827</v>
      </c>
      <c r="M19" s="1">
        <f>IF(Data!$F$24="Yes",Data!O24,Data!O26)</f>
        <v>25732835</v>
      </c>
      <c r="N19" s="1">
        <f>IF(Data!$F$24="Yes",Data!P24,Data!P26)</f>
        <v>25701683</v>
      </c>
      <c r="O19" s="1">
        <f>VLOOKUP($F$2&amp;Data!$D$24,'Live births'!1:154,MATCH('Data (Calculations)'!O16,'Live births'!1:1,0),0)</f>
        <v>25656209</v>
      </c>
      <c r="P19" s="1">
        <f>VLOOKUP($F$2&amp;Data!$D$24,'Live births'!1:154,MATCH('Data (Calculations)'!P16,'Live births'!1:1,0),0)</f>
        <v>25592063</v>
      </c>
      <c r="Q19" s="1">
        <f>VLOOKUP($F$2&amp;Data!$D$24,'Live births'!1:154,MATCH('Data (Calculations)'!Q16,'Live births'!1:1,0),0)</f>
        <v>25509804</v>
      </c>
      <c r="R19" s="1">
        <f>VLOOKUP($F$2&amp;Data!$D$24,'Live births'!1:154,MATCH('Data (Calculations)'!R16,'Live births'!1:1,0),0)</f>
        <v>25415752</v>
      </c>
      <c r="S19" s="1">
        <f>VLOOKUP($F$2&amp;Data!$D$24,'Live births'!1:154,MATCH('Data (Calculations)'!S16,'Live births'!1:1,0),0)</f>
        <v>25314517</v>
      </c>
      <c r="T19" s="1">
        <f>VLOOKUP($F$2&amp;Data!$D$24,'Live births'!1:154,MATCH('Data (Calculations)'!T16,'Live births'!1:1,0),0)</f>
        <v>25205935</v>
      </c>
      <c r="U19" s="1">
        <f>VLOOKUP($F$2&amp;Data!$D$24,'Live births'!1:154,MATCH('Data (Calculations)'!U16,'Live births'!1:1,0),0)</f>
        <v>25089023</v>
      </c>
      <c r="V19" s="1">
        <f>VLOOKUP($F$2&amp;Data!$D$24,'Live births'!1:154,MATCH('Data (Calculations)'!V16,'Live births'!1:1,0),0)</f>
        <v>24962370</v>
      </c>
      <c r="W19" s="1">
        <f>VLOOKUP($F$2&amp;Data!$D$24,'Live births'!1:154,MATCH('Data (Calculations)'!W16,'Live births'!1:1,0),0)</f>
        <v>24824987</v>
      </c>
      <c r="X19" s="1">
        <f>VLOOKUP($F$2&amp;Data!$D$24,'Live births'!1:154,MATCH('Data (Calculations)'!X16,'Live births'!1:1,0),0)</f>
        <v>24676554</v>
      </c>
      <c r="Y19" s="1">
        <f>VLOOKUP($F$2&amp;Data!$D$24,'Live births'!1:154,MATCH('Data (Calculations)'!Y16,'Live births'!1:1,0),0)</f>
        <v>24517496</v>
      </c>
      <c r="Z19" s="1">
        <f>VLOOKUP($F$2&amp;Data!$D$24,'Live births'!1:154,MATCH('Data (Calculations)'!Z16,'Live births'!1:1,0),0)</f>
        <v>24347619</v>
      </c>
      <c r="AC19" s="112">
        <f>F19</f>
        <v>26566075</v>
      </c>
      <c r="AD19" s="112">
        <f t="shared" ref="AD19:AW19" si="0">G19</f>
        <v>26329745</v>
      </c>
      <c r="AE19" s="112">
        <f t="shared" si="0"/>
        <v>26127686</v>
      </c>
      <c r="AF19" s="112">
        <f t="shared" si="0"/>
        <v>25970276</v>
      </c>
      <c r="AG19" s="112">
        <f t="shared" si="0"/>
        <v>25860462</v>
      </c>
      <c r="AH19" s="112">
        <f t="shared" si="0"/>
        <v>25793674</v>
      </c>
      <c r="AI19" s="112">
        <f t="shared" si="0"/>
        <v>25757827</v>
      </c>
      <c r="AJ19" s="112">
        <f t="shared" si="0"/>
        <v>25732835</v>
      </c>
      <c r="AK19" s="112">
        <f t="shared" si="0"/>
        <v>25701683</v>
      </c>
      <c r="AL19" s="112">
        <f>O19</f>
        <v>25656209</v>
      </c>
      <c r="AM19" s="112">
        <f t="shared" si="0"/>
        <v>25592063</v>
      </c>
      <c r="AN19" s="112">
        <f t="shared" si="0"/>
        <v>25509804</v>
      </c>
      <c r="AO19" s="112">
        <f t="shared" si="0"/>
        <v>25415752</v>
      </c>
      <c r="AP19" s="112">
        <f t="shared" si="0"/>
        <v>25314517</v>
      </c>
      <c r="AQ19" s="112">
        <f t="shared" si="0"/>
        <v>25205935</v>
      </c>
      <c r="AR19" s="112">
        <f t="shared" si="0"/>
        <v>25089023</v>
      </c>
      <c r="AS19" s="112">
        <f t="shared" si="0"/>
        <v>24962370</v>
      </c>
      <c r="AT19" s="112">
        <f t="shared" si="0"/>
        <v>24824987</v>
      </c>
      <c r="AU19" s="112">
        <f t="shared" si="0"/>
        <v>24676554</v>
      </c>
      <c r="AV19" s="112">
        <f t="shared" si="0"/>
        <v>24517496</v>
      </c>
      <c r="AW19" s="112">
        <f t="shared" si="0"/>
        <v>24347619</v>
      </c>
      <c r="AZ19" s="112">
        <f>F19</f>
        <v>26566075</v>
      </c>
      <c r="BA19" s="112">
        <f t="shared" ref="BA19:BT19" si="1">G19</f>
        <v>26329745</v>
      </c>
      <c r="BB19" s="112">
        <f t="shared" si="1"/>
        <v>26127686</v>
      </c>
      <c r="BC19" s="112">
        <f t="shared" si="1"/>
        <v>25970276</v>
      </c>
      <c r="BD19" s="112">
        <f t="shared" si="1"/>
        <v>25860462</v>
      </c>
      <c r="BE19" s="112">
        <f t="shared" si="1"/>
        <v>25793674</v>
      </c>
      <c r="BF19" s="112">
        <f t="shared" si="1"/>
        <v>25757827</v>
      </c>
      <c r="BG19" s="112">
        <f t="shared" si="1"/>
        <v>25732835</v>
      </c>
      <c r="BH19" s="112">
        <f t="shared" si="1"/>
        <v>25701683</v>
      </c>
      <c r="BI19" s="112">
        <f t="shared" si="1"/>
        <v>25656209</v>
      </c>
      <c r="BJ19" s="112">
        <f t="shared" si="1"/>
        <v>25592063</v>
      </c>
      <c r="BK19" s="112">
        <f t="shared" si="1"/>
        <v>25509804</v>
      </c>
      <c r="BL19" s="112">
        <f t="shared" si="1"/>
        <v>25415752</v>
      </c>
      <c r="BM19" s="112">
        <f t="shared" si="1"/>
        <v>25314517</v>
      </c>
      <c r="BN19" s="112">
        <f t="shared" si="1"/>
        <v>25205935</v>
      </c>
      <c r="BO19" s="112">
        <f t="shared" si="1"/>
        <v>25089023</v>
      </c>
      <c r="BP19" s="112">
        <f t="shared" si="1"/>
        <v>24962370</v>
      </c>
      <c r="BQ19" s="112">
        <f t="shared" si="1"/>
        <v>24824987</v>
      </c>
      <c r="BR19" s="112">
        <f t="shared" si="1"/>
        <v>24676554</v>
      </c>
      <c r="BS19" s="112">
        <f t="shared" si="1"/>
        <v>24517496</v>
      </c>
      <c r="BT19" s="112">
        <f t="shared" si="1"/>
        <v>24347619</v>
      </c>
    </row>
    <row r="20" spans="2:72" s="112" customFormat="1">
      <c r="B20" s="1"/>
      <c r="C20" s="1"/>
      <c r="D20" s="96"/>
      <c r="E20" s="1"/>
      <c r="H20" s="1"/>
      <c r="I20" s="1"/>
      <c r="J20" s="1"/>
      <c r="K20" s="1"/>
      <c r="L20" s="1"/>
      <c r="M20" s="1"/>
      <c r="N20" s="382"/>
      <c r="O20" s="382"/>
      <c r="P20" s="382"/>
      <c r="Q20" s="382"/>
      <c r="R20" s="382"/>
      <c r="S20" s="382"/>
      <c r="T20" s="382"/>
      <c r="U20" s="382"/>
      <c r="V20" s="382"/>
      <c r="W20" s="382"/>
      <c r="X20" s="382"/>
      <c r="Y20" s="382"/>
      <c r="Z20" s="382"/>
      <c r="AH20" s="1"/>
      <c r="BE20" s="1"/>
    </row>
    <row r="21" spans="2:72" s="112" customFormat="1" ht="19">
      <c r="B21" s="1"/>
      <c r="C21" s="1"/>
      <c r="D21" s="54" t="s">
        <v>50</v>
      </c>
      <c r="E21" s="54" t="s">
        <v>17</v>
      </c>
      <c r="F21" s="55"/>
      <c r="G21" s="55"/>
      <c r="H21" s="55"/>
      <c r="I21" s="55"/>
      <c r="J21" s="55"/>
      <c r="K21" s="55"/>
      <c r="L21" s="55"/>
      <c r="M21" s="55"/>
      <c r="N21" s="383"/>
      <c r="O21" s="383"/>
      <c r="P21" s="383"/>
      <c r="Q21" s="383"/>
      <c r="R21" s="383"/>
      <c r="S21" s="383"/>
      <c r="T21" s="383"/>
      <c r="U21" s="383"/>
      <c r="V21" s="383"/>
      <c r="W21" s="383"/>
      <c r="X21" s="383"/>
      <c r="Y21" s="383"/>
      <c r="Z21" s="383"/>
      <c r="AC21" s="54" t="s">
        <v>50</v>
      </c>
      <c r="AD21" s="54" t="s">
        <v>17</v>
      </c>
      <c r="AE21" s="55"/>
      <c r="AF21" s="55"/>
      <c r="AG21" s="55"/>
      <c r="AH21" s="55"/>
      <c r="AI21" s="55"/>
      <c r="AJ21" s="55"/>
      <c r="AK21" s="55"/>
      <c r="AL21" s="55"/>
      <c r="AM21" s="383"/>
      <c r="AN21" s="383"/>
      <c r="AO21" s="383"/>
      <c r="AP21" s="383"/>
      <c r="AQ21" s="383"/>
      <c r="AR21" s="383"/>
      <c r="AS21" s="383"/>
      <c r="AT21" s="383"/>
      <c r="AU21" s="383"/>
      <c r="AV21" s="383"/>
      <c r="AW21" s="383"/>
      <c r="AX21" s="697"/>
      <c r="AY21" s="697"/>
      <c r="AZ21" s="54"/>
      <c r="BA21" s="54"/>
      <c r="BB21" s="55"/>
      <c r="BC21" s="55"/>
      <c r="BD21" s="55"/>
      <c r="BE21" s="55"/>
      <c r="BF21" s="55"/>
      <c r="BG21" s="55"/>
      <c r="BH21" s="55"/>
      <c r="BI21" s="55"/>
      <c r="BJ21" s="383"/>
      <c r="BK21" s="383"/>
      <c r="BL21" s="383"/>
      <c r="BM21" s="383"/>
      <c r="BN21" s="383"/>
      <c r="BO21" s="383"/>
      <c r="BP21" s="383"/>
      <c r="BQ21" s="383"/>
      <c r="BR21" s="383"/>
      <c r="BS21" s="383"/>
      <c r="BT21" s="383"/>
    </row>
    <row r="22" spans="2:72" s="112" customFormat="1" ht="17">
      <c r="B22" s="1"/>
      <c r="C22" s="1"/>
      <c r="D22" s="253"/>
      <c r="E22" s="253" t="s">
        <v>883</v>
      </c>
      <c r="F22" s="177">
        <f>IF(Data!$F$30="Yes",Data!H30,IF(Data!H31="","NA",Data!H31))</f>
        <v>3.5000000000000001E-3</v>
      </c>
      <c r="G22" s="177">
        <f>IF(Data!$F$30="Yes",Data!I30,IF(Data!I31="","NA",Data!I31))</f>
        <v>2.8999999999999998E-3</v>
      </c>
      <c r="H22" s="177">
        <f>IF(Data!$F$30="Yes",Data!J30,IF(Data!J31="","NA",Data!J31))</f>
        <v>6.4000000000000003E-3</v>
      </c>
      <c r="I22" s="177">
        <f>IF(Data!$F$30="Yes",Data!K30,IF(Data!K31="","NA",Data!K31))</f>
        <v>8.9999999999999998E-4</v>
      </c>
      <c r="J22" s="177">
        <f>IF(Data!$F$30="Yes",Data!L30,IF(Data!L31="","NA",Data!L31))</f>
        <v>2.3E-3</v>
      </c>
      <c r="K22" s="177">
        <f>IF(Data!$F$30="Yes",Data!M30,IF(Data!M31="","NA",Data!M31))</f>
        <v>2.0999999999999999E-3</v>
      </c>
      <c r="L22" s="177">
        <f>IF(Data!$F$30="Yes",Data!N30,IF(Data!N31="","NA",Data!N31))</f>
        <v>8.9999999999999998E-4</v>
      </c>
      <c r="M22" s="177">
        <f>IF(Data!$F$30="Yes",Data!O30,IF(Data!O31="","NA",Data!O31))</f>
        <v>1E-3</v>
      </c>
      <c r="N22" s="177" t="str">
        <f>IF(Data!$F$30="Yes",Data!P30,IF(Data!P31="","NA",Data!P31))</f>
        <v>NA</v>
      </c>
      <c r="O22" s="177">
        <f>IF(Data!$F$30="Yes",Data!Q30,IF(Data!Q31="","NA",Data!Q31))</f>
        <v>9.6341080571743845E-4</v>
      </c>
      <c r="P22" s="177">
        <f>$O$22</f>
        <v>9.6341080571743845E-4</v>
      </c>
      <c r="Q22" s="177">
        <f t="shared" ref="Q22:Z22" si="2">$O$22</f>
        <v>9.6341080571743845E-4</v>
      </c>
      <c r="R22" s="177">
        <f t="shared" si="2"/>
        <v>9.6341080571743845E-4</v>
      </c>
      <c r="S22" s="177">
        <f t="shared" si="2"/>
        <v>9.6341080571743845E-4</v>
      </c>
      <c r="T22" s="177">
        <f t="shared" si="2"/>
        <v>9.6341080571743845E-4</v>
      </c>
      <c r="U22" s="177">
        <f t="shared" si="2"/>
        <v>9.6341080571743845E-4</v>
      </c>
      <c r="V22" s="177">
        <f t="shared" si="2"/>
        <v>9.6341080571743845E-4</v>
      </c>
      <c r="W22" s="177">
        <f t="shared" si="2"/>
        <v>9.6341080571743845E-4</v>
      </c>
      <c r="X22" s="177">
        <f t="shared" si="2"/>
        <v>9.6341080571743845E-4</v>
      </c>
      <c r="Y22" s="177">
        <f t="shared" si="2"/>
        <v>9.6341080571743845E-4</v>
      </c>
      <c r="Z22" s="177">
        <f t="shared" si="2"/>
        <v>9.6341080571743845E-4</v>
      </c>
      <c r="AC22" s="354">
        <f>F24</f>
        <v>2.5000000000000001E-3</v>
      </c>
      <c r="AD22" s="354">
        <f t="shared" ref="AD22:AW22" si="3">G24</f>
        <v>1.8999999999999998E-3</v>
      </c>
      <c r="AE22" s="354">
        <f t="shared" si="3"/>
        <v>5.4000000000000003E-3</v>
      </c>
      <c r="AF22" s="354">
        <f t="shared" si="3"/>
        <v>0</v>
      </c>
      <c r="AG22" s="354">
        <f t="shared" si="3"/>
        <v>1.2999999999999999E-3</v>
      </c>
      <c r="AH22" s="354">
        <f t="shared" si="3"/>
        <v>1.0999999999999998E-3</v>
      </c>
      <c r="AI22" s="354">
        <f t="shared" si="3"/>
        <v>0</v>
      </c>
      <c r="AJ22" s="354">
        <f t="shared" si="3"/>
        <v>0</v>
      </c>
      <c r="AK22" s="354" t="e">
        <f t="shared" si="3"/>
        <v>#VALUE!</v>
      </c>
      <c r="AL22" s="354">
        <f t="shared" si="3"/>
        <v>0</v>
      </c>
      <c r="AM22" s="354">
        <f t="shared" si="3"/>
        <v>0</v>
      </c>
      <c r="AN22" s="354">
        <f t="shared" si="3"/>
        <v>0</v>
      </c>
      <c r="AO22" s="354">
        <f t="shared" si="3"/>
        <v>0</v>
      </c>
      <c r="AP22" s="354">
        <f t="shared" si="3"/>
        <v>0</v>
      </c>
      <c r="AQ22" s="354">
        <f t="shared" si="3"/>
        <v>0</v>
      </c>
      <c r="AR22" s="354">
        <f t="shared" si="3"/>
        <v>0</v>
      </c>
      <c r="AS22" s="354">
        <f t="shared" si="3"/>
        <v>0</v>
      </c>
      <c r="AT22" s="354">
        <f t="shared" si="3"/>
        <v>0</v>
      </c>
      <c r="AU22" s="354">
        <f t="shared" si="3"/>
        <v>0</v>
      </c>
      <c r="AV22" s="354">
        <f t="shared" si="3"/>
        <v>0</v>
      </c>
      <c r="AW22" s="354">
        <f t="shared" si="3"/>
        <v>0</v>
      </c>
      <c r="AZ22" s="354">
        <f>F23</f>
        <v>4.5000000000000005E-3</v>
      </c>
      <c r="BA22" s="354">
        <f t="shared" ref="BA22:BT22" si="4">G23</f>
        <v>3.8999999999999998E-3</v>
      </c>
      <c r="BB22" s="354">
        <f t="shared" si="4"/>
        <v>7.4000000000000003E-3</v>
      </c>
      <c r="BC22" s="354">
        <f t="shared" si="4"/>
        <v>1.9E-3</v>
      </c>
      <c r="BD22" s="354">
        <f t="shared" si="4"/>
        <v>3.3E-3</v>
      </c>
      <c r="BE22" s="354">
        <f t="shared" si="4"/>
        <v>3.0999999999999999E-3</v>
      </c>
      <c r="BF22" s="354">
        <f t="shared" si="4"/>
        <v>1.9E-3</v>
      </c>
      <c r="BG22" s="354">
        <f t="shared" si="4"/>
        <v>2E-3</v>
      </c>
      <c r="BH22" s="354" t="e">
        <f t="shared" si="4"/>
        <v>#VALUE!</v>
      </c>
      <c r="BI22" s="354">
        <f t="shared" si="4"/>
        <v>1.9634108057174386E-3</v>
      </c>
      <c r="BJ22" s="354">
        <f t="shared" si="4"/>
        <v>1.9634108057174386E-3</v>
      </c>
      <c r="BK22" s="354">
        <f t="shared" si="4"/>
        <v>1.9634108057174386E-3</v>
      </c>
      <c r="BL22" s="354">
        <f t="shared" si="4"/>
        <v>1.9634108057174386E-3</v>
      </c>
      <c r="BM22" s="354">
        <f t="shared" si="4"/>
        <v>1.9634108057174386E-3</v>
      </c>
      <c r="BN22" s="354">
        <f t="shared" si="4"/>
        <v>1.9634108057174386E-3</v>
      </c>
      <c r="BO22" s="354">
        <f t="shared" si="4"/>
        <v>1.9634108057174386E-3</v>
      </c>
      <c r="BP22" s="354">
        <f t="shared" si="4"/>
        <v>1.9634108057174386E-3</v>
      </c>
      <c r="BQ22" s="354">
        <f t="shared" si="4"/>
        <v>1.9634108057174386E-3</v>
      </c>
      <c r="BR22" s="354">
        <f t="shared" si="4"/>
        <v>1.9634108057174386E-3</v>
      </c>
      <c r="BS22" s="354">
        <f t="shared" si="4"/>
        <v>1.9634108057174386E-3</v>
      </c>
      <c r="BT22" s="354">
        <f t="shared" si="4"/>
        <v>1.9634108057174386E-3</v>
      </c>
    </row>
    <row r="23" spans="2:72" s="112" customFormat="1" ht="17">
      <c r="B23" s="1"/>
      <c r="C23" s="1"/>
      <c r="D23" s="253"/>
      <c r="E23" s="253" t="s">
        <v>884</v>
      </c>
      <c r="F23" s="177">
        <f>F22+Data!$T$31</f>
        <v>4.5000000000000005E-3</v>
      </c>
      <c r="G23" s="177">
        <f>G22+Data!$T$31</f>
        <v>3.8999999999999998E-3</v>
      </c>
      <c r="H23" s="177">
        <f>H22+Data!$T$31</f>
        <v>7.4000000000000003E-3</v>
      </c>
      <c r="I23" s="177">
        <f>I22+Data!$T$31</f>
        <v>1.9E-3</v>
      </c>
      <c r="J23" s="177">
        <f>J22+Data!$T$31</f>
        <v>3.3E-3</v>
      </c>
      <c r="K23" s="177">
        <f>K22+Data!$T$31</f>
        <v>3.0999999999999999E-3</v>
      </c>
      <c r="L23" s="177">
        <f>L22+Data!$T$31</f>
        <v>1.9E-3</v>
      </c>
      <c r="M23" s="177">
        <f>M22+Data!$T$31</f>
        <v>2E-3</v>
      </c>
      <c r="N23" s="177" t="e">
        <f>N22+Data!$T$31</f>
        <v>#VALUE!</v>
      </c>
      <c r="O23" s="177">
        <f>O22+Data!$T$31</f>
        <v>1.9634108057174386E-3</v>
      </c>
      <c r="P23" s="177">
        <f>P22+Data!$T$31</f>
        <v>1.9634108057174386E-3</v>
      </c>
      <c r="Q23" s="177">
        <f>Q22+Data!$T$31</f>
        <v>1.9634108057174386E-3</v>
      </c>
      <c r="R23" s="177">
        <f>R22+Data!$T$31</f>
        <v>1.9634108057174386E-3</v>
      </c>
      <c r="S23" s="177">
        <f>S22+Data!$T$31</f>
        <v>1.9634108057174386E-3</v>
      </c>
      <c r="T23" s="177">
        <f>T22+Data!$T$31</f>
        <v>1.9634108057174386E-3</v>
      </c>
      <c r="U23" s="177">
        <f>U22+Data!$T$31</f>
        <v>1.9634108057174386E-3</v>
      </c>
      <c r="V23" s="177">
        <f>V22+Data!$T$31</f>
        <v>1.9634108057174386E-3</v>
      </c>
      <c r="W23" s="177">
        <f>W22+Data!$T$31</f>
        <v>1.9634108057174386E-3</v>
      </c>
      <c r="X23" s="177">
        <f>X22+Data!$T$31</f>
        <v>1.9634108057174386E-3</v>
      </c>
      <c r="Y23" s="177">
        <f>Y22+Data!$T$31</f>
        <v>1.9634108057174386E-3</v>
      </c>
      <c r="Z23" s="177">
        <f>Z22+Data!$T$31</f>
        <v>1.9634108057174386E-3</v>
      </c>
    </row>
    <row r="24" spans="2:72" s="112" customFormat="1" ht="17">
      <c r="B24" s="1"/>
      <c r="C24" s="1"/>
      <c r="D24" s="253"/>
      <c r="E24" s="253" t="s">
        <v>885</v>
      </c>
      <c r="F24" s="177">
        <f>IF((F22-Data!$T$31)&lt;0,0,F22-Data!$T$31)</f>
        <v>2.5000000000000001E-3</v>
      </c>
      <c r="G24" s="177">
        <f>IF((G22-Data!$T$31)&lt;0,0,G22-Data!$T$31)</f>
        <v>1.8999999999999998E-3</v>
      </c>
      <c r="H24" s="177">
        <f>IF((H22-Data!$T$31)&lt;0,0,H22-Data!$T$31)</f>
        <v>5.4000000000000003E-3</v>
      </c>
      <c r="I24" s="177">
        <f>IF((I22-Data!$T$31)&lt;0,0,I22-Data!$T$31)</f>
        <v>0</v>
      </c>
      <c r="J24" s="177">
        <f>IF((J22-Data!$T$31)&lt;0,0,J22-Data!$T$31)</f>
        <v>1.2999999999999999E-3</v>
      </c>
      <c r="K24" s="177">
        <f>IF((K22-Data!$T$31)&lt;0,0,K22-Data!$T$31)</f>
        <v>1.0999999999999998E-3</v>
      </c>
      <c r="L24" s="177">
        <f>IF((L22-Data!$T$31)&lt;0,0,L22-Data!$T$31)</f>
        <v>0</v>
      </c>
      <c r="M24" s="177">
        <f>IF((M22-Data!$T$31)&lt;0,0,M22-Data!$T$31)</f>
        <v>0</v>
      </c>
      <c r="N24" s="177" t="e">
        <f>IF((N22-Data!$T$31)&lt;0,0,N22-Data!$T$31)</f>
        <v>#VALUE!</v>
      </c>
      <c r="O24" s="177">
        <f>IF((O22-Data!$T$31)&lt;0,0,O22-Data!$T$31)</f>
        <v>0</v>
      </c>
      <c r="P24" s="177">
        <f>IF((P22-Data!$T$31)&lt;0,0,P22-Data!$T$31)</f>
        <v>0</v>
      </c>
      <c r="Q24" s="177">
        <f>IF((Q22-Data!$T$31)&lt;0,0,Q22-Data!$T$31)</f>
        <v>0</v>
      </c>
      <c r="R24" s="177">
        <f>IF((R22-Data!$T$31)&lt;0,0,R22-Data!$T$31)</f>
        <v>0</v>
      </c>
      <c r="S24" s="177">
        <f>IF((S22-Data!$T$31)&lt;0,0,S22-Data!$T$31)</f>
        <v>0</v>
      </c>
      <c r="T24" s="177">
        <f>IF((T22-Data!$T$31)&lt;0,0,T22-Data!$T$31)</f>
        <v>0</v>
      </c>
      <c r="U24" s="177">
        <f>IF((U22-Data!$T$31)&lt;0,0,U22-Data!$T$31)</f>
        <v>0</v>
      </c>
      <c r="V24" s="177">
        <f>IF((V22-Data!$T$31)&lt;0,0,V22-Data!$T$31)</f>
        <v>0</v>
      </c>
      <c r="W24" s="177">
        <f>IF((W22-Data!$T$31)&lt;0,0,W22-Data!$T$31)</f>
        <v>0</v>
      </c>
      <c r="X24" s="177">
        <f>IF((X22-Data!$T$31)&lt;0,0,X22-Data!$T$31)</f>
        <v>0</v>
      </c>
      <c r="Y24" s="177">
        <f>IF((Y22-Data!$T$31)&lt;0,0,Y22-Data!$T$31)</f>
        <v>0</v>
      </c>
      <c r="Z24" s="177">
        <f>IF((Z22-Data!$T$31)&lt;0,0,Z22-Data!$T$31)</f>
        <v>0</v>
      </c>
    </row>
    <row r="25" spans="2:72" s="112" customFormat="1">
      <c r="B25" s="1"/>
      <c r="C25" s="1"/>
      <c r="D25" s="96"/>
      <c r="E25" s="1"/>
      <c r="H25" s="1"/>
      <c r="I25" s="1"/>
      <c r="J25" s="1"/>
      <c r="K25" s="1"/>
      <c r="L25" s="1"/>
      <c r="M25" s="1"/>
      <c r="N25" s="382"/>
      <c r="O25" s="382"/>
      <c r="P25" s="382"/>
      <c r="Q25" s="382"/>
      <c r="R25" s="382"/>
      <c r="S25" s="382"/>
      <c r="T25" s="382"/>
      <c r="U25" s="382"/>
      <c r="V25" s="382"/>
      <c r="W25" s="382"/>
      <c r="X25" s="382"/>
      <c r="Y25" s="382"/>
      <c r="Z25" s="382"/>
    </row>
    <row r="26" spans="2:72" s="112" customFormat="1" ht="19">
      <c r="B26" s="1"/>
      <c r="C26" s="1"/>
      <c r="D26" s="54" t="s">
        <v>50</v>
      </c>
      <c r="E26" s="54" t="s">
        <v>301</v>
      </c>
      <c r="F26" s="55"/>
      <c r="G26" s="55"/>
      <c r="H26" s="55"/>
      <c r="I26" s="55"/>
      <c r="J26" s="55"/>
      <c r="K26" s="55"/>
      <c r="L26" s="55"/>
      <c r="M26" s="55"/>
      <c r="N26" s="383"/>
      <c r="O26" s="383"/>
      <c r="P26" s="383"/>
      <c r="Q26" s="383"/>
      <c r="R26" s="383"/>
      <c r="S26" s="383"/>
      <c r="T26" s="383"/>
      <c r="U26" s="383"/>
      <c r="V26" s="383"/>
      <c r="W26" s="383"/>
      <c r="X26" s="383"/>
      <c r="Y26" s="383"/>
      <c r="Z26" s="383"/>
      <c r="AC26" s="54" t="s">
        <v>50</v>
      </c>
      <c r="AD26" s="54" t="s">
        <v>301</v>
      </c>
      <c r="AE26" s="55"/>
      <c r="AF26" s="55"/>
      <c r="AG26" s="55"/>
      <c r="AH26" s="55"/>
      <c r="AI26" s="55"/>
      <c r="AJ26" s="55"/>
      <c r="AK26" s="55"/>
      <c r="AL26" s="55"/>
      <c r="AM26" s="383"/>
      <c r="AN26" s="383"/>
      <c r="AO26" s="383"/>
      <c r="AP26" s="383"/>
      <c r="AQ26" s="383"/>
      <c r="AR26" s="383"/>
      <c r="AS26" s="383"/>
      <c r="AT26" s="383"/>
      <c r="AU26" s="383"/>
      <c r="AV26" s="383"/>
      <c r="AW26" s="383"/>
      <c r="AX26" s="697"/>
      <c r="AY26" s="697"/>
      <c r="AZ26" s="54"/>
      <c r="BA26" s="54"/>
      <c r="BB26" s="55"/>
      <c r="BC26" s="55"/>
      <c r="BD26" s="55"/>
      <c r="BE26" s="55"/>
      <c r="BF26" s="55"/>
      <c r="BG26" s="55"/>
      <c r="BH26" s="55"/>
      <c r="BI26" s="55"/>
      <c r="BJ26" s="383"/>
      <c r="BK26" s="383"/>
      <c r="BL26" s="383"/>
      <c r="BM26" s="383"/>
      <c r="BN26" s="383"/>
      <c r="BO26" s="383"/>
      <c r="BP26" s="383"/>
      <c r="BQ26" s="383"/>
      <c r="BR26" s="383"/>
      <c r="BS26" s="383"/>
      <c r="BT26" s="383"/>
    </row>
    <row r="27" spans="2:72" s="112" customFormat="1">
      <c r="B27" s="1"/>
      <c r="C27" s="1"/>
      <c r="D27" s="359"/>
      <c r="F27" s="112">
        <f>IF(Data!$F$50="Yes",Data!H50,IF(Data!H51="","NA",Data!H51))</f>
        <v>19.477499999999999</v>
      </c>
      <c r="G27" s="112">
        <f>IF(Data!$F$50="Yes",Data!I50,IF(Data!I51="","NA",Data!I51))</f>
        <v>19.477499999999999</v>
      </c>
      <c r="H27" s="112">
        <f>IF(Data!$F$50="Yes",Data!J50,IF(Data!J51="","NA",Data!J51))</f>
        <v>19.477499999999999</v>
      </c>
      <c r="I27" s="112">
        <f>IF(Data!$F$50="Yes",Data!K50,IF(Data!K51="","NA",Data!K51))</f>
        <v>19.477499999999999</v>
      </c>
      <c r="J27" s="112">
        <f>IF(Data!$F$50="Yes",Data!L50,IF(Data!L51="","NA",Data!L51))</f>
        <v>19.477499999999999</v>
      </c>
      <c r="K27" s="112">
        <f>IF(Data!$F$50="Yes",Data!M50,IF(Data!M51="","NA",Data!M51))</f>
        <v>19.477499999999999</v>
      </c>
      <c r="L27" s="112">
        <f>IF(Data!$F$50="Yes",Data!N50,IF(Data!N51="","NA",Data!N51))</f>
        <v>19.477499999999999</v>
      </c>
      <c r="M27" s="112">
        <f>IF(Data!$F$50="Yes",Data!O50,IF(Data!O51="","NA",Data!O51))</f>
        <v>19.477499999999999</v>
      </c>
      <c r="N27" s="112">
        <f>IF(Data!$F$50="Yes",Data!P50,IF(Data!P51="","NA",Data!P51))</f>
        <v>19.477499999999999</v>
      </c>
      <c r="O27" s="112">
        <f>IF(Data!$F$50="Yes",Data!Q50,IF(Data!Q51="","NA",Data!Q51))</f>
        <v>19.477499999999999</v>
      </c>
      <c r="P27" s="382">
        <f>$O$27</f>
        <v>19.477499999999999</v>
      </c>
      <c r="Q27" s="382">
        <f t="shared" ref="Q27:Z27" si="5">$N$27</f>
        <v>19.477499999999999</v>
      </c>
      <c r="R27" s="382">
        <f t="shared" si="5"/>
        <v>19.477499999999999</v>
      </c>
      <c r="S27" s="382">
        <f t="shared" si="5"/>
        <v>19.477499999999999</v>
      </c>
      <c r="T27" s="382">
        <f t="shared" si="5"/>
        <v>19.477499999999999</v>
      </c>
      <c r="U27" s="382">
        <f t="shared" si="5"/>
        <v>19.477499999999999</v>
      </c>
      <c r="V27" s="382">
        <f t="shared" si="5"/>
        <v>19.477499999999999</v>
      </c>
      <c r="W27" s="382">
        <f t="shared" si="5"/>
        <v>19.477499999999999</v>
      </c>
      <c r="X27" s="382">
        <f t="shared" si="5"/>
        <v>19.477499999999999</v>
      </c>
      <c r="Y27" s="382">
        <f t="shared" si="5"/>
        <v>19.477499999999999</v>
      </c>
      <c r="Z27" s="382">
        <f t="shared" si="5"/>
        <v>19.477499999999999</v>
      </c>
      <c r="AC27" s="112">
        <f>F27</f>
        <v>19.477499999999999</v>
      </c>
      <c r="AD27" s="112">
        <f t="shared" ref="AD27:AW27" si="6">G27</f>
        <v>19.477499999999999</v>
      </c>
      <c r="AE27" s="112">
        <f t="shared" si="6"/>
        <v>19.477499999999999</v>
      </c>
      <c r="AF27" s="112">
        <f t="shared" si="6"/>
        <v>19.477499999999999</v>
      </c>
      <c r="AG27" s="112">
        <f t="shared" si="6"/>
        <v>19.477499999999999</v>
      </c>
      <c r="AH27" s="112">
        <f t="shared" si="6"/>
        <v>19.477499999999999</v>
      </c>
      <c r="AI27" s="112">
        <f t="shared" si="6"/>
        <v>19.477499999999999</v>
      </c>
      <c r="AJ27" s="112">
        <f t="shared" si="6"/>
        <v>19.477499999999999</v>
      </c>
      <c r="AK27" s="112">
        <f t="shared" si="6"/>
        <v>19.477499999999999</v>
      </c>
      <c r="AL27" s="112">
        <f t="shared" si="6"/>
        <v>19.477499999999999</v>
      </c>
      <c r="AM27" s="112">
        <f t="shared" si="6"/>
        <v>19.477499999999999</v>
      </c>
      <c r="AN27" s="112">
        <f t="shared" si="6"/>
        <v>19.477499999999999</v>
      </c>
      <c r="AO27" s="112">
        <f t="shared" si="6"/>
        <v>19.477499999999999</v>
      </c>
      <c r="AP27" s="112">
        <f t="shared" si="6"/>
        <v>19.477499999999999</v>
      </c>
      <c r="AQ27" s="112">
        <f t="shared" si="6"/>
        <v>19.477499999999999</v>
      </c>
      <c r="AR27" s="112">
        <f t="shared" si="6"/>
        <v>19.477499999999999</v>
      </c>
      <c r="AS27" s="112">
        <f t="shared" si="6"/>
        <v>19.477499999999999</v>
      </c>
      <c r="AT27" s="112">
        <f t="shared" si="6"/>
        <v>19.477499999999999</v>
      </c>
      <c r="AU27" s="112">
        <f t="shared" si="6"/>
        <v>19.477499999999999</v>
      </c>
      <c r="AV27" s="112">
        <f t="shared" si="6"/>
        <v>19.477499999999999</v>
      </c>
      <c r="AW27" s="112">
        <f t="shared" si="6"/>
        <v>19.477499999999999</v>
      </c>
      <c r="AZ27" s="112">
        <f>F27</f>
        <v>19.477499999999999</v>
      </c>
      <c r="BA27" s="112">
        <f t="shared" ref="BA27:BT27" si="7">G27</f>
        <v>19.477499999999999</v>
      </c>
      <c r="BB27" s="112">
        <f t="shared" si="7"/>
        <v>19.477499999999999</v>
      </c>
      <c r="BC27" s="112">
        <f t="shared" si="7"/>
        <v>19.477499999999999</v>
      </c>
      <c r="BD27" s="112">
        <f t="shared" si="7"/>
        <v>19.477499999999999</v>
      </c>
      <c r="BE27" s="112">
        <f t="shared" si="7"/>
        <v>19.477499999999999</v>
      </c>
      <c r="BF27" s="112">
        <f t="shared" si="7"/>
        <v>19.477499999999999</v>
      </c>
      <c r="BG27" s="112">
        <f t="shared" si="7"/>
        <v>19.477499999999999</v>
      </c>
      <c r="BH27" s="112">
        <f t="shared" si="7"/>
        <v>19.477499999999999</v>
      </c>
      <c r="BI27" s="112">
        <f t="shared" si="7"/>
        <v>19.477499999999999</v>
      </c>
      <c r="BJ27" s="112">
        <f t="shared" si="7"/>
        <v>19.477499999999999</v>
      </c>
      <c r="BK27" s="112">
        <f t="shared" si="7"/>
        <v>19.477499999999999</v>
      </c>
      <c r="BL27" s="112">
        <f t="shared" si="7"/>
        <v>19.477499999999999</v>
      </c>
      <c r="BM27" s="112">
        <f t="shared" si="7"/>
        <v>19.477499999999999</v>
      </c>
      <c r="BN27" s="112">
        <f t="shared" si="7"/>
        <v>19.477499999999999</v>
      </c>
      <c r="BO27" s="112">
        <f t="shared" si="7"/>
        <v>19.477499999999999</v>
      </c>
      <c r="BP27" s="112">
        <f t="shared" si="7"/>
        <v>19.477499999999999</v>
      </c>
      <c r="BQ27" s="112">
        <f t="shared" si="7"/>
        <v>19.477499999999999</v>
      </c>
      <c r="BR27" s="112">
        <f t="shared" si="7"/>
        <v>19.477499999999999</v>
      </c>
      <c r="BS27" s="112">
        <f t="shared" si="7"/>
        <v>19.477499999999999</v>
      </c>
      <c r="BT27" s="112">
        <f t="shared" si="7"/>
        <v>19.477499999999999</v>
      </c>
    </row>
    <row r="28" spans="2:72" s="112" customFormat="1">
      <c r="B28" s="1"/>
      <c r="C28" s="1"/>
      <c r="D28" s="359"/>
      <c r="P28" s="382"/>
      <c r="Q28" s="382"/>
      <c r="R28" s="382"/>
      <c r="S28" s="382"/>
      <c r="T28" s="382"/>
      <c r="U28" s="382"/>
      <c r="V28" s="382"/>
      <c r="W28" s="382"/>
      <c r="X28" s="382"/>
      <c r="Y28" s="382"/>
      <c r="Z28" s="382"/>
    </row>
    <row r="29" spans="2:72" s="112" customFormat="1" ht="19">
      <c r="B29" s="1"/>
      <c r="C29" s="1"/>
      <c r="D29" s="54"/>
      <c r="E29" s="54" t="s">
        <v>302</v>
      </c>
      <c r="F29" s="55"/>
      <c r="G29" s="55"/>
      <c r="H29" s="55"/>
      <c r="I29" s="55"/>
      <c r="J29" s="55"/>
      <c r="K29" s="55"/>
      <c r="L29" s="55"/>
      <c r="M29" s="55"/>
      <c r="N29" s="383"/>
      <c r="O29" s="383"/>
      <c r="P29" s="383"/>
      <c r="Q29" s="383"/>
      <c r="R29" s="383"/>
      <c r="S29" s="383"/>
      <c r="T29" s="383"/>
      <c r="U29" s="383"/>
      <c r="V29" s="383"/>
      <c r="W29" s="383"/>
      <c r="X29" s="383"/>
      <c r="Y29" s="383"/>
      <c r="Z29" s="383"/>
      <c r="AC29" s="54"/>
      <c r="AD29" s="54" t="s">
        <v>302</v>
      </c>
      <c r="AE29" s="55"/>
      <c r="AF29" s="55"/>
      <c r="AG29" s="55"/>
      <c r="AH29" s="55"/>
      <c r="AI29" s="55"/>
      <c r="AJ29" s="55"/>
      <c r="AK29" s="55"/>
      <c r="AL29" s="55"/>
      <c r="AM29" s="383"/>
      <c r="AN29" s="383"/>
      <c r="AO29" s="383"/>
      <c r="AP29" s="383"/>
      <c r="AQ29" s="383"/>
      <c r="AR29" s="383"/>
      <c r="AS29" s="383"/>
      <c r="AT29" s="383"/>
      <c r="AU29" s="383"/>
      <c r="AV29" s="383"/>
      <c r="AW29" s="383"/>
      <c r="AX29" s="697"/>
      <c r="AY29" s="697"/>
      <c r="AZ29" s="54"/>
      <c r="BA29" s="54"/>
      <c r="BB29" s="55"/>
      <c r="BC29" s="55"/>
      <c r="BD29" s="55"/>
      <c r="BE29" s="55"/>
      <c r="BF29" s="55"/>
      <c r="BG29" s="55"/>
      <c r="BH29" s="55"/>
      <c r="BI29" s="55"/>
      <c r="BJ29" s="383"/>
      <c r="BK29" s="383"/>
      <c r="BL29" s="383"/>
      <c r="BM29" s="383"/>
      <c r="BN29" s="383"/>
      <c r="BO29" s="383"/>
      <c r="BP29" s="383"/>
      <c r="BQ29" s="383"/>
      <c r="BR29" s="383"/>
      <c r="BS29" s="383"/>
      <c r="BT29" s="383"/>
    </row>
    <row r="30" spans="2:72" s="112" customFormat="1" ht="17">
      <c r="B30" s="1"/>
      <c r="C30" s="1"/>
      <c r="D30" s="693"/>
      <c r="E30" s="66" t="s">
        <v>883</v>
      </c>
      <c r="F30" s="344" t="str">
        <f>IF(Data!$F$35="Yes",Data!H35,IF(Data!H36="","NA",Data!H36))</f>
        <v>NA</v>
      </c>
      <c r="G30" s="344">
        <f>IF(Data!$F$35="Yes",Data!I35,IF(Data!I36="","NA",Data!I36))</f>
        <v>7.0496618938010985E-2</v>
      </c>
      <c r="H30" s="344">
        <f>IF(Data!$F$35="Yes",Data!J35,IF(Data!J36="","NA",Data!J36))</f>
        <v>0.10739753225754474</v>
      </c>
      <c r="I30" s="344">
        <f>IF(Data!$F$35="Yes",Data!K35,IF(Data!K36="","NA",Data!K36))</f>
        <v>0.15339313298018087</v>
      </c>
      <c r="J30" s="344">
        <f>IF(Data!$F$35="Yes",Data!L35,IF(Data!L36="","NA",Data!L36))</f>
        <v>0.14560513265385591</v>
      </c>
      <c r="K30" s="344">
        <f>IF(Data!$F$35="Yes",Data!M35,IF(Data!M36="","NA",Data!M36))</f>
        <v>0.14811693750956145</v>
      </c>
      <c r="L30" s="344">
        <f>IF(Data!$F$35="Yes",Data!N35,IF(Data!N36="","NA",Data!N36))</f>
        <v>0.16847597431258468</v>
      </c>
      <c r="M30" s="344">
        <f>IF(Data!$F$35="Yes",Data!O35,IF(Data!O36="","NA",Data!O36))</f>
        <v>1</v>
      </c>
      <c r="N30" s="344" t="str">
        <f>IF(Data!$F$35="Yes",Data!P35,IF(Data!P36="","NA",Data!P36))</f>
        <v>NA</v>
      </c>
      <c r="O30" s="344">
        <f>IF(Data!$F$35="Yes",Data!Q35,IF(Data!Q36="","NA",Data!Q36))</f>
        <v>1</v>
      </c>
      <c r="P30" s="344">
        <f>IF(Data!$F$35="Yes",Data!R35,IF(Data!R36="","NA",Data!R36))</f>
        <v>1</v>
      </c>
      <c r="Q30" s="385">
        <f>(IF(P16&lt;'Prediction tool'!$I$25,P30+('Prediction tool'!$G$25-$P$30)/('Prediction tool'!$I$25-$P$16),P30))</f>
        <v>0.999</v>
      </c>
      <c r="R30" s="385">
        <f>(IF(Q16&lt;'Prediction tool'!$I$25,Q30+('Prediction tool'!$G$25-$P$30)/('Prediction tool'!$I$25-$P$16),Q30))</f>
        <v>0.998</v>
      </c>
      <c r="S30" s="385">
        <f>(IF(R16&lt;'Prediction tool'!$I$25,R30+('Prediction tool'!$G$25-$P$30)/('Prediction tool'!$I$25-$P$16),R30))</f>
        <v>0.997</v>
      </c>
      <c r="T30" s="385">
        <f>(IF(S16&lt;'Prediction tool'!$I$25,S30+('Prediction tool'!$G$25-$P$30)/('Prediction tool'!$I$25-$P$16),S30))</f>
        <v>0.996</v>
      </c>
      <c r="U30" s="385">
        <f>(IF(T16&lt;'Prediction tool'!$I$25,T30+('Prediction tool'!$G$25-$P$30)/('Prediction tool'!$I$25-$P$16),T30))</f>
        <v>0.995</v>
      </c>
      <c r="V30" s="385">
        <f>(IF(U16&lt;'Prediction tool'!$I$25,U30+('Prediction tool'!$G$25-$P$30)/('Prediction tool'!$I$25-$P$16),U30))</f>
        <v>0.99399999999999999</v>
      </c>
      <c r="W30" s="385">
        <f>(IF(V16&lt;'Prediction tool'!$I$25,V30+('Prediction tool'!$G$25-$P$30)/('Prediction tool'!$I$25-$P$16),V30))</f>
        <v>0.99299999999999999</v>
      </c>
      <c r="X30" s="385">
        <f>(IF(W16&lt;'Prediction tool'!$I$25,W30+('Prediction tool'!$G$25-$P$30)/('Prediction tool'!$I$25-$P$16),W30))</f>
        <v>0.99199999999999999</v>
      </c>
      <c r="Y30" s="385">
        <f>(IF(X16&lt;'Prediction tool'!$I$25,X30+('Prediction tool'!$G$25-$P$30)/('Prediction tool'!$I$25-$P$16),X30))</f>
        <v>0.99099999999999999</v>
      </c>
      <c r="Z30" s="385">
        <f>(IF(Y16&lt;'Prediction tool'!$I$25,Y30+('Prediction tool'!$G$25-$P$30)/('Prediction tool'!$I$25-$P$16),Y30))</f>
        <v>0.99</v>
      </c>
      <c r="AC30" s="343" t="e">
        <f>F31</f>
        <v>#VALUE!</v>
      </c>
      <c r="AD30" s="343">
        <f t="shared" ref="AD30:AW30" si="8">G31</f>
        <v>0.12049661893801099</v>
      </c>
      <c r="AE30" s="343">
        <f t="shared" si="8"/>
        <v>0.15739753225754474</v>
      </c>
      <c r="AF30" s="343">
        <f t="shared" si="8"/>
        <v>0.20339313298018086</v>
      </c>
      <c r="AG30" s="343">
        <f t="shared" si="8"/>
        <v>0.19560513265385593</v>
      </c>
      <c r="AH30" s="343">
        <f t="shared" si="8"/>
        <v>0.19811693750956144</v>
      </c>
      <c r="AI30" s="343">
        <f t="shared" si="8"/>
        <v>0.2184759743125847</v>
      </c>
      <c r="AJ30" s="343">
        <f t="shared" si="8"/>
        <v>1</v>
      </c>
      <c r="AK30" s="343" t="e">
        <f t="shared" si="8"/>
        <v>#VALUE!</v>
      </c>
      <c r="AL30" s="343">
        <f t="shared" si="8"/>
        <v>1</v>
      </c>
      <c r="AM30" s="343">
        <f t="shared" si="8"/>
        <v>1</v>
      </c>
      <c r="AN30" s="343">
        <f t="shared" si="8"/>
        <v>1</v>
      </c>
      <c r="AO30" s="343">
        <f t="shared" si="8"/>
        <v>1</v>
      </c>
      <c r="AP30" s="343">
        <f t="shared" si="8"/>
        <v>1</v>
      </c>
      <c r="AQ30" s="343">
        <f t="shared" si="8"/>
        <v>1</v>
      </c>
      <c r="AR30" s="343">
        <f t="shared" si="8"/>
        <v>1</v>
      </c>
      <c r="AS30" s="343">
        <f t="shared" si="8"/>
        <v>1</v>
      </c>
      <c r="AT30" s="343">
        <f t="shared" si="8"/>
        <v>1</v>
      </c>
      <c r="AU30" s="343">
        <f t="shared" si="8"/>
        <v>1</v>
      </c>
      <c r="AV30" s="343">
        <f t="shared" si="8"/>
        <v>1</v>
      </c>
      <c r="AW30" s="343">
        <f t="shared" si="8"/>
        <v>1</v>
      </c>
      <c r="AZ30" s="343" t="e">
        <f>F32</f>
        <v>#VALUE!</v>
      </c>
      <c r="BA30" s="343">
        <f t="shared" ref="BA30:BT30" si="9">G32</f>
        <v>2.0496618938010983E-2</v>
      </c>
      <c r="BB30" s="343">
        <f t="shared" si="9"/>
        <v>5.7397532257544737E-2</v>
      </c>
      <c r="BC30" s="343">
        <f t="shared" si="9"/>
        <v>0.10339313298018087</v>
      </c>
      <c r="BD30" s="343">
        <f t="shared" si="9"/>
        <v>9.5605132653855909E-2</v>
      </c>
      <c r="BE30" s="343">
        <f t="shared" si="9"/>
        <v>9.811693750956145E-2</v>
      </c>
      <c r="BF30" s="343">
        <f t="shared" si="9"/>
        <v>0.11847597431258468</v>
      </c>
      <c r="BG30" s="343">
        <f t="shared" si="9"/>
        <v>0.95</v>
      </c>
      <c r="BH30" s="343" t="e">
        <f t="shared" si="9"/>
        <v>#VALUE!</v>
      </c>
      <c r="BI30" s="343">
        <f t="shared" si="9"/>
        <v>0.95</v>
      </c>
      <c r="BJ30" s="343">
        <f t="shared" si="9"/>
        <v>0.95</v>
      </c>
      <c r="BK30" s="343">
        <f t="shared" si="9"/>
        <v>0.94899999999999995</v>
      </c>
      <c r="BL30" s="343">
        <f t="shared" si="9"/>
        <v>0.94799999999999995</v>
      </c>
      <c r="BM30" s="343">
        <f t="shared" si="9"/>
        <v>0.94699999999999995</v>
      </c>
      <c r="BN30" s="343">
        <f t="shared" si="9"/>
        <v>0.94599999999999995</v>
      </c>
      <c r="BO30" s="343">
        <f t="shared" si="9"/>
        <v>0.94499999999999995</v>
      </c>
      <c r="BP30" s="343">
        <f t="shared" si="9"/>
        <v>0.94399999999999995</v>
      </c>
      <c r="BQ30" s="343">
        <f t="shared" si="9"/>
        <v>0.94299999999999995</v>
      </c>
      <c r="BR30" s="343">
        <f t="shared" si="9"/>
        <v>0.94199999999999995</v>
      </c>
      <c r="BS30" s="343">
        <f t="shared" si="9"/>
        <v>0.94099999999999995</v>
      </c>
      <c r="BT30" s="343">
        <f t="shared" si="9"/>
        <v>0.94</v>
      </c>
    </row>
    <row r="31" spans="2:72" s="112" customFormat="1" ht="17">
      <c r="B31" s="1"/>
      <c r="C31" s="1"/>
      <c r="D31" s="695"/>
      <c r="E31" s="542" t="s">
        <v>884</v>
      </c>
      <c r="F31" s="344" t="e">
        <f>IF(F30+Data!$T$36&gt;1,1,F30+Data!$T$36)</f>
        <v>#VALUE!</v>
      </c>
      <c r="G31" s="344">
        <f>IF(G30+Data!$T$36&gt;1,1,G30+Data!$T$36)</f>
        <v>0.12049661893801099</v>
      </c>
      <c r="H31" s="344">
        <f>IF(H30+Data!$T$36&gt;1,1,H30+Data!$T$36)</f>
        <v>0.15739753225754474</v>
      </c>
      <c r="I31" s="344">
        <f>IF(I30+Data!$T$36&gt;1,1,I30+Data!$T$36)</f>
        <v>0.20339313298018086</v>
      </c>
      <c r="J31" s="344">
        <f>IF(J30+Data!$T$36&gt;1,1,J30+Data!$T$36)</f>
        <v>0.19560513265385593</v>
      </c>
      <c r="K31" s="344">
        <f>IF(K30+Data!$T$36&gt;1,1,K30+Data!$T$36)</f>
        <v>0.19811693750956144</v>
      </c>
      <c r="L31" s="344">
        <f>IF(L30+Data!$T$36&gt;1,1,L30+Data!$T$36)</f>
        <v>0.2184759743125847</v>
      </c>
      <c r="M31" s="344">
        <f>IF(M30+Data!$T$36&gt;1,1,M30+Data!$T$36)</f>
        <v>1</v>
      </c>
      <c r="N31" s="344" t="e">
        <f>IF(N30+Data!$T$36&gt;1,1,N30+Data!$T$36)</f>
        <v>#VALUE!</v>
      </c>
      <c r="O31" s="344">
        <f>IF(O30+Data!$T$36&gt;1,1,O30+Data!$T$36)</f>
        <v>1</v>
      </c>
      <c r="P31" s="344">
        <f>IF(P30+Data!$T$36&gt;1,1,P30+Data!$T$36)</f>
        <v>1</v>
      </c>
      <c r="Q31" s="344">
        <f>IF(Q30+Data!$T$36&gt;1,1,Q30+Data!$T$36)</f>
        <v>1</v>
      </c>
      <c r="R31" s="344">
        <f>IF(R30+Data!$T$36&gt;1,1,R30+Data!$T$36)</f>
        <v>1</v>
      </c>
      <c r="S31" s="344">
        <f>IF(S30+Data!$T$36&gt;1,1,S30+Data!$T$36)</f>
        <v>1</v>
      </c>
      <c r="T31" s="344">
        <f>IF(T30+Data!$T$36&gt;1,1,T30+Data!$T$36)</f>
        <v>1</v>
      </c>
      <c r="U31" s="344">
        <f>IF(U30+Data!$T$36&gt;1,1,U30+Data!$T$36)</f>
        <v>1</v>
      </c>
      <c r="V31" s="344">
        <f>IF(V30+Data!$T$36&gt;1,1,V30+Data!$T$36)</f>
        <v>1</v>
      </c>
      <c r="W31" s="344">
        <f>IF(W30+Data!$T$36&gt;1,1,W30+Data!$T$36)</f>
        <v>1</v>
      </c>
      <c r="X31" s="344">
        <f>IF(X30+Data!$T$36&gt;1,1,X30+Data!$T$36)</f>
        <v>1</v>
      </c>
      <c r="Y31" s="344">
        <f>IF(Y30+Data!$T$36&gt;1,1,Y30+Data!$T$36)</f>
        <v>1</v>
      </c>
      <c r="Z31" s="344">
        <f>IF(Z30+Data!$T$36&gt;1,1,Z30+Data!$T$36)</f>
        <v>1</v>
      </c>
    </row>
    <row r="32" spans="2:72" s="112" customFormat="1" ht="17">
      <c r="B32" s="1"/>
      <c r="C32" s="1"/>
      <c r="D32" s="695"/>
      <c r="E32" s="542" t="s">
        <v>885</v>
      </c>
      <c r="F32" s="344" t="e">
        <f>IF(F30-Data!$T$36&lt;0,0,F30-Data!$T$36)</f>
        <v>#VALUE!</v>
      </c>
      <c r="G32" s="344">
        <f>IF(G30-Data!$T$36&lt;0,0,G30-Data!$T$36)</f>
        <v>2.0496618938010983E-2</v>
      </c>
      <c r="H32" s="344">
        <f>IF(H30-Data!$T$36&lt;0,0,H30-Data!$T$36)</f>
        <v>5.7397532257544737E-2</v>
      </c>
      <c r="I32" s="344">
        <f>IF(I30-Data!$T$36&lt;0,0,I30-Data!$T$36)</f>
        <v>0.10339313298018087</v>
      </c>
      <c r="J32" s="344">
        <f>IF(J30-Data!$T$36&lt;0,0,J30-Data!$T$36)</f>
        <v>9.5605132653855909E-2</v>
      </c>
      <c r="K32" s="344">
        <f>IF(K30-Data!$T$36&lt;0,0,K30-Data!$T$36)</f>
        <v>9.811693750956145E-2</v>
      </c>
      <c r="L32" s="344">
        <f>IF(L30-Data!$T$36&lt;0,0,L30-Data!$T$36)</f>
        <v>0.11847597431258468</v>
      </c>
      <c r="M32" s="344">
        <f>IF(M30-Data!$T$36&lt;0,0,M30-Data!$T$36)</f>
        <v>0.95</v>
      </c>
      <c r="N32" s="344" t="e">
        <f>IF(N30-Data!$T$36&lt;0,0,N30-Data!$T$36)</f>
        <v>#VALUE!</v>
      </c>
      <c r="O32" s="344">
        <f>IF(O30-Data!$T$36&lt;0,0,O30-Data!$T$36)</f>
        <v>0.95</v>
      </c>
      <c r="P32" s="344">
        <f>IF(P30-Data!$T$36&lt;0,0,P30-Data!$T$36)</f>
        <v>0.95</v>
      </c>
      <c r="Q32" s="344">
        <f>IF(Q30-Data!$T$36&lt;0,0,Q30-Data!$T$36)</f>
        <v>0.94899999999999995</v>
      </c>
      <c r="R32" s="344">
        <f>IF(R30-Data!$T$36&lt;0,0,R30-Data!$T$36)</f>
        <v>0.94799999999999995</v>
      </c>
      <c r="S32" s="344">
        <f>IF(S30-Data!$T$36&lt;0,0,S30-Data!$T$36)</f>
        <v>0.94699999999999995</v>
      </c>
      <c r="T32" s="344">
        <f>IF(T30-Data!$T$36&lt;0,0,T30-Data!$T$36)</f>
        <v>0.94599999999999995</v>
      </c>
      <c r="U32" s="344">
        <f>IF(U30-Data!$T$36&lt;0,0,U30-Data!$T$36)</f>
        <v>0.94499999999999995</v>
      </c>
      <c r="V32" s="344">
        <f>IF(V30-Data!$T$36&lt;0,0,V30-Data!$T$36)</f>
        <v>0.94399999999999995</v>
      </c>
      <c r="W32" s="344">
        <f>IF(W30-Data!$T$36&lt;0,0,W30-Data!$T$36)</f>
        <v>0.94299999999999995</v>
      </c>
      <c r="X32" s="344">
        <f>IF(X30-Data!$T$36&lt;0,0,X30-Data!$T$36)</f>
        <v>0.94199999999999995</v>
      </c>
      <c r="Y32" s="344">
        <f>IF(Y30-Data!$T$36&lt;0,0,Y30-Data!$T$36)</f>
        <v>0.94099999999999995</v>
      </c>
      <c r="Z32" s="344">
        <f>IF(Z30-Data!$T$36&lt;0,0,Z30-Data!$T$36)</f>
        <v>0.94</v>
      </c>
    </row>
    <row r="33" spans="2:72" s="112" customFormat="1">
      <c r="B33" s="1"/>
      <c r="C33" s="1"/>
      <c r="D33" s="694"/>
      <c r="E33" s="542"/>
      <c r="F33" s="344"/>
      <c r="G33" s="344"/>
      <c r="H33" s="344"/>
      <c r="I33" s="344"/>
      <c r="J33" s="344"/>
      <c r="K33" s="344"/>
      <c r="L33" s="344"/>
      <c r="M33" s="344"/>
      <c r="N33" s="344"/>
      <c r="O33" s="344"/>
      <c r="P33" s="385"/>
      <c r="Q33" s="385"/>
      <c r="R33" s="385"/>
      <c r="S33" s="385"/>
      <c r="T33" s="385"/>
      <c r="U33" s="385"/>
      <c r="V33" s="385"/>
      <c r="W33" s="385"/>
      <c r="X33" s="385"/>
      <c r="Y33" s="385"/>
      <c r="Z33" s="385"/>
    </row>
    <row r="34" spans="2:72" s="112" customFormat="1" ht="19">
      <c r="B34" s="1"/>
      <c r="C34" s="1"/>
      <c r="D34" s="54"/>
      <c r="E34" s="54" t="s">
        <v>279</v>
      </c>
      <c r="F34" s="691"/>
      <c r="G34" s="691"/>
      <c r="H34" s="691"/>
      <c r="I34" s="691"/>
      <c r="J34" s="691"/>
      <c r="K34" s="691"/>
      <c r="L34" s="691"/>
      <c r="M34" s="691"/>
      <c r="N34" s="692"/>
      <c r="O34" s="692"/>
      <c r="P34" s="383"/>
      <c r="Q34" s="383"/>
      <c r="R34" s="383"/>
      <c r="S34" s="383"/>
      <c r="T34" s="383"/>
      <c r="U34" s="383"/>
      <c r="V34" s="383"/>
      <c r="W34" s="383"/>
      <c r="X34" s="383"/>
      <c r="Y34" s="383"/>
      <c r="Z34" s="383"/>
      <c r="AC34" s="54"/>
      <c r="AD34" s="54"/>
      <c r="AE34" s="54"/>
      <c r="AF34" s="54"/>
      <c r="AG34" s="54"/>
      <c r="AH34" s="54"/>
      <c r="AI34" s="54"/>
      <c r="AJ34" s="54"/>
      <c r="AK34" s="54"/>
      <c r="AL34" s="54"/>
      <c r="AM34" s="54"/>
      <c r="AN34" s="54"/>
      <c r="AO34" s="54"/>
      <c r="AP34" s="54"/>
      <c r="AQ34" s="54"/>
      <c r="AR34" s="54"/>
      <c r="AS34" s="54"/>
      <c r="AT34" s="54"/>
      <c r="AU34" s="54"/>
      <c r="AV34" s="54"/>
      <c r="AW34" s="54"/>
      <c r="AX34" s="697"/>
      <c r="AY34" s="697"/>
      <c r="AZ34" s="54"/>
      <c r="BA34" s="54"/>
      <c r="BB34" s="54"/>
      <c r="BC34" s="54"/>
      <c r="BD34" s="54"/>
      <c r="BE34" s="54"/>
      <c r="BF34" s="54"/>
      <c r="BG34" s="54"/>
      <c r="BH34" s="54"/>
      <c r="BI34" s="54"/>
      <c r="BJ34" s="54"/>
      <c r="BK34" s="54"/>
      <c r="BL34" s="54"/>
      <c r="BM34" s="54"/>
      <c r="BN34" s="54"/>
      <c r="BO34" s="54"/>
      <c r="BP34" s="54"/>
      <c r="BQ34" s="54"/>
      <c r="BR34" s="54"/>
      <c r="BS34" s="54"/>
      <c r="BT34" s="54"/>
    </row>
    <row r="35" spans="2:72" s="112" customFormat="1" ht="17">
      <c r="B35" s="1"/>
      <c r="C35" s="1"/>
      <c r="D35" s="1"/>
      <c r="E35" s="1" t="s">
        <v>883</v>
      </c>
      <c r="F35" s="344" t="str">
        <f>IF(Data!$F$40="Yes",Data!H40,IF(Data!H41="","NA",Data!H41))</f>
        <v>NA</v>
      </c>
      <c r="G35" s="344">
        <f>IF(Data!$F$40="Yes",Data!I40,IF(Data!I41="","NA",Data!I41))</f>
        <v>0.65400000000000003</v>
      </c>
      <c r="H35" s="344">
        <f>IF(Data!$F$40="Yes",Data!J40,IF(Data!J41="","NA",Data!J41))</f>
        <v>0.69199999999999995</v>
      </c>
      <c r="I35" s="344">
        <f>IF(Data!$F$40="Yes",Data!K40,IF(Data!K41="","NA",Data!K41))</f>
        <v>0.63600000000000001</v>
      </c>
      <c r="J35" s="344">
        <f>IF(Data!$F$40="Yes",Data!L40,IF(Data!L41="","NA",Data!L41))</f>
        <v>0.65100000000000002</v>
      </c>
      <c r="K35" s="344">
        <f>IF(Data!$F$40="Yes",Data!M40,IF(Data!M41="","NA",Data!M41))</f>
        <v>0.65300000000000002</v>
      </c>
      <c r="L35" s="344">
        <f>IF(Data!$F$40="Yes",Data!N40,IF(Data!N41="","NA",Data!N41))</f>
        <v>0.82099999999999995</v>
      </c>
      <c r="M35" s="344">
        <f>IF(Data!$F$40="Yes",Data!O40,IF(Data!O41="","NA",Data!O41))</f>
        <v>0.19829186734824533</v>
      </c>
      <c r="N35" s="344" t="str">
        <f>IF(Data!$F$40="Yes",Data!P40,IF(Data!P41="","NA",Data!P41))</f>
        <v>NA</v>
      </c>
      <c r="O35" s="344">
        <f>IF(Data!$F$40="Yes",Data!Q40,IF(Data!Q41="","NA",Data!Q41))</f>
        <v>0.33850000000000002</v>
      </c>
      <c r="P35" s="344">
        <f>IF(Data!$F$40="Yes",Data!R40,IF(Data!R41="","NA",Data!R41))</f>
        <v>0.33850000000000002</v>
      </c>
      <c r="Q35" s="386">
        <f>IF(P16&lt;'Prediction tool'!$I$32,P35+('Prediction tool'!$G$32-$P$35)/('Prediction tool'!$I$32-$P$16),P35)</f>
        <v>0.40365000000000001</v>
      </c>
      <c r="R35" s="386">
        <f>IF(Q16&lt;'Prediction tool'!$I$32,Q35+('Prediction tool'!$G$32-$P$35)/('Prediction tool'!$I$32-$P$16),Q35)</f>
        <v>0.46879999999999999</v>
      </c>
      <c r="S35" s="386">
        <f>IF(R16&lt;'Prediction tool'!$I$32,R35+('Prediction tool'!$G$32-$P$35)/('Prediction tool'!$I$32-$P$16),R35)</f>
        <v>0.53395000000000004</v>
      </c>
      <c r="T35" s="386">
        <f>IF(S16&lt;'Prediction tool'!$I$32,S35+('Prediction tool'!$G$32-$P$35)/('Prediction tool'!$I$32-$P$16),S35)</f>
        <v>0.59910000000000008</v>
      </c>
      <c r="U35" s="386">
        <f>IF(T16&lt;'Prediction tool'!$I$32,T35+('Prediction tool'!$G$32-$P$35)/('Prediction tool'!$I$32-$P$16),T35)</f>
        <v>0.66425000000000012</v>
      </c>
      <c r="V35" s="386">
        <f>IF(U16&lt;'Prediction tool'!$I$32,U35+('Prediction tool'!$G$32-$P$35)/('Prediction tool'!$I$32-$P$16),U35)</f>
        <v>0.72940000000000016</v>
      </c>
      <c r="W35" s="386">
        <f>IF(V16&lt;'Prediction tool'!$I$32,V35+('Prediction tool'!$G$32-$P$35)/('Prediction tool'!$I$32-$P$16),V35)</f>
        <v>0.7945500000000002</v>
      </c>
      <c r="X35" s="386">
        <f>IF(W16&lt;'Prediction tool'!$I$32,W35+('Prediction tool'!$G$32-$P$35)/('Prediction tool'!$I$32-$P$16),W35)</f>
        <v>0.85970000000000024</v>
      </c>
      <c r="Y35" s="386">
        <f>IF(X16&lt;'Prediction tool'!$I$32,X35+('Prediction tool'!$G$32-$P$35)/('Prediction tool'!$I$32-$P$16),X35)</f>
        <v>0.92485000000000028</v>
      </c>
      <c r="Z35" s="386">
        <f>IF(Y16&lt;'Prediction tool'!$I$32,Y35+('Prediction tool'!$G$32-$P$35)/('Prediction tool'!$I$32-$P$16),Y35)</f>
        <v>0.99000000000000032</v>
      </c>
      <c r="AC35" s="343" t="e">
        <f>F36</f>
        <v>#VALUE!</v>
      </c>
      <c r="AD35" s="343">
        <f t="shared" ref="AD35:AW35" si="10">G36</f>
        <v>0.70400000000000007</v>
      </c>
      <c r="AE35" s="343">
        <f t="shared" si="10"/>
        <v>0.74199999999999999</v>
      </c>
      <c r="AF35" s="343">
        <f t="shared" si="10"/>
        <v>0.68600000000000005</v>
      </c>
      <c r="AG35" s="343">
        <f t="shared" si="10"/>
        <v>0.70100000000000007</v>
      </c>
      <c r="AH35" s="343">
        <f t="shared" si="10"/>
        <v>0.70300000000000007</v>
      </c>
      <c r="AI35" s="343">
        <f t="shared" si="10"/>
        <v>0.871</v>
      </c>
      <c r="AJ35" s="343">
        <f t="shared" si="10"/>
        <v>0.24829186734824532</v>
      </c>
      <c r="AK35" s="343" t="e">
        <f t="shared" si="10"/>
        <v>#VALUE!</v>
      </c>
      <c r="AL35" s="343">
        <f t="shared" si="10"/>
        <v>0.38850000000000001</v>
      </c>
      <c r="AM35" s="343">
        <f t="shared" si="10"/>
        <v>0.38850000000000001</v>
      </c>
      <c r="AN35" s="343">
        <f t="shared" si="10"/>
        <v>0.45365</v>
      </c>
      <c r="AO35" s="343">
        <f t="shared" si="10"/>
        <v>0.51880000000000004</v>
      </c>
      <c r="AP35" s="343">
        <f t="shared" si="10"/>
        <v>0.58395000000000008</v>
      </c>
      <c r="AQ35" s="343">
        <f t="shared" si="10"/>
        <v>0.64910000000000012</v>
      </c>
      <c r="AR35" s="343">
        <f t="shared" si="10"/>
        <v>0.71425000000000016</v>
      </c>
      <c r="AS35" s="343">
        <f t="shared" si="10"/>
        <v>0.7794000000000002</v>
      </c>
      <c r="AT35" s="343">
        <f t="shared" si="10"/>
        <v>0.84455000000000024</v>
      </c>
      <c r="AU35" s="343">
        <f t="shared" si="10"/>
        <v>0.90970000000000029</v>
      </c>
      <c r="AV35" s="343">
        <f t="shared" si="10"/>
        <v>0.97485000000000033</v>
      </c>
      <c r="AW35" s="343">
        <f t="shared" si="10"/>
        <v>1</v>
      </c>
      <c r="AZ35" s="343" t="e">
        <f>F37</f>
        <v>#VALUE!</v>
      </c>
      <c r="BA35" s="343">
        <f t="shared" ref="BA35:BT35" si="11">G37</f>
        <v>0.60399999999999998</v>
      </c>
      <c r="BB35" s="343">
        <f t="shared" si="11"/>
        <v>0.6419999999999999</v>
      </c>
      <c r="BC35" s="343">
        <f t="shared" si="11"/>
        <v>0.58599999999999997</v>
      </c>
      <c r="BD35" s="343">
        <f t="shared" si="11"/>
        <v>0.60099999999999998</v>
      </c>
      <c r="BE35" s="343">
        <f t="shared" si="11"/>
        <v>0.60299999999999998</v>
      </c>
      <c r="BF35" s="343">
        <f t="shared" si="11"/>
        <v>0.77099999999999991</v>
      </c>
      <c r="BG35" s="343">
        <f t="shared" si="11"/>
        <v>0.14829186734824534</v>
      </c>
      <c r="BH35" s="343" t="e">
        <f t="shared" si="11"/>
        <v>#VALUE!</v>
      </c>
      <c r="BI35" s="343">
        <f t="shared" si="11"/>
        <v>0.28850000000000003</v>
      </c>
      <c r="BJ35" s="343">
        <f t="shared" si="11"/>
        <v>0.28850000000000003</v>
      </c>
      <c r="BK35" s="343">
        <f t="shared" si="11"/>
        <v>0.35365000000000002</v>
      </c>
      <c r="BL35" s="343">
        <f t="shared" si="11"/>
        <v>0.41880000000000001</v>
      </c>
      <c r="BM35" s="343">
        <f t="shared" si="11"/>
        <v>0.48395000000000005</v>
      </c>
      <c r="BN35" s="343">
        <f t="shared" si="11"/>
        <v>0.54910000000000003</v>
      </c>
      <c r="BO35" s="343">
        <f t="shared" si="11"/>
        <v>0.61425000000000007</v>
      </c>
      <c r="BP35" s="343">
        <f t="shared" si="11"/>
        <v>0.67940000000000011</v>
      </c>
      <c r="BQ35" s="343">
        <f t="shared" si="11"/>
        <v>0.74455000000000016</v>
      </c>
      <c r="BR35" s="343">
        <f t="shared" si="11"/>
        <v>0.8097000000000002</v>
      </c>
      <c r="BS35" s="343">
        <f t="shared" si="11"/>
        <v>0.87485000000000024</v>
      </c>
      <c r="BT35" s="343">
        <f t="shared" si="11"/>
        <v>0.94000000000000028</v>
      </c>
    </row>
    <row r="36" spans="2:72" s="112" customFormat="1" ht="17">
      <c r="B36" s="1"/>
      <c r="C36" s="1"/>
      <c r="D36" s="1"/>
      <c r="E36" s="1" t="s">
        <v>884</v>
      </c>
      <c r="F36" s="344" t="e">
        <f>IF(F35+Data!$T$41&gt;1,1,F35+Data!$T$41)</f>
        <v>#VALUE!</v>
      </c>
      <c r="G36" s="344">
        <f>IF(G35+Data!$T$41&gt;1,1,G35+Data!$T$41)</f>
        <v>0.70400000000000007</v>
      </c>
      <c r="H36" s="344">
        <f>IF(H35+Data!$T$41&gt;1,1,H35+Data!$T$41)</f>
        <v>0.74199999999999999</v>
      </c>
      <c r="I36" s="344">
        <f>IF(I35+Data!$T$41&gt;1,1,I35+Data!$T$41)</f>
        <v>0.68600000000000005</v>
      </c>
      <c r="J36" s="344">
        <f>IF(J35+Data!$T$41&gt;1,1,J35+Data!$T$41)</f>
        <v>0.70100000000000007</v>
      </c>
      <c r="K36" s="344">
        <f>IF(K35+Data!$T$41&gt;1,1,K35+Data!$T$41)</f>
        <v>0.70300000000000007</v>
      </c>
      <c r="L36" s="344">
        <f>IF(L35+Data!$T$41&gt;1,1,L35+Data!$T$41)</f>
        <v>0.871</v>
      </c>
      <c r="M36" s="344">
        <f>IF(M35+Data!$T$41&gt;1,1,M35+Data!$T$41)</f>
        <v>0.24829186734824532</v>
      </c>
      <c r="N36" s="344" t="e">
        <f>IF(N35+Data!$T$41&gt;1,1,N35+Data!$T$41)</f>
        <v>#VALUE!</v>
      </c>
      <c r="O36" s="344">
        <f>IF(O35+Data!$T$41&gt;1,1,O35+Data!$T$41)</f>
        <v>0.38850000000000001</v>
      </c>
      <c r="P36" s="344">
        <f>IF(P35+Data!$T$41&gt;1,1,P35+Data!$T$41)</f>
        <v>0.38850000000000001</v>
      </c>
      <c r="Q36" s="344">
        <f>IF(Q35+Data!$T$41&gt;1,1,Q35+Data!$T$41)</f>
        <v>0.45365</v>
      </c>
      <c r="R36" s="344">
        <f>IF(R35+Data!$T$41&gt;1,1,R35+Data!$T$41)</f>
        <v>0.51880000000000004</v>
      </c>
      <c r="S36" s="344">
        <f>IF(S35+Data!$T$41&gt;1,1,S35+Data!$T$41)</f>
        <v>0.58395000000000008</v>
      </c>
      <c r="T36" s="344">
        <f>IF(T35+Data!$T$41&gt;1,1,T35+Data!$T$41)</f>
        <v>0.64910000000000012</v>
      </c>
      <c r="U36" s="344">
        <f>IF(U35+Data!$T$41&gt;1,1,U35+Data!$T$41)</f>
        <v>0.71425000000000016</v>
      </c>
      <c r="V36" s="344">
        <f>IF(V35+Data!$T$41&gt;1,1,V35+Data!$T$41)</f>
        <v>0.7794000000000002</v>
      </c>
      <c r="W36" s="344">
        <f>IF(W35+Data!$T$41&gt;1,1,W35+Data!$T$41)</f>
        <v>0.84455000000000024</v>
      </c>
      <c r="X36" s="344">
        <f>IF(X35+Data!$T$41&gt;1,1,X35+Data!$T$41)</f>
        <v>0.90970000000000029</v>
      </c>
      <c r="Y36" s="344">
        <f>IF(Y35+Data!$T$41&gt;1,1,Y35+Data!$T$41)</f>
        <v>0.97485000000000033</v>
      </c>
      <c r="Z36" s="344">
        <f>IF(Z35+Data!$T$41&gt;1,1,Z35+Data!$T$41)</f>
        <v>1</v>
      </c>
    </row>
    <row r="37" spans="2:72" s="112" customFormat="1" ht="17">
      <c r="B37" s="1"/>
      <c r="C37" s="1"/>
      <c r="D37" s="1"/>
      <c r="E37" s="1" t="s">
        <v>885</v>
      </c>
      <c r="F37" s="344" t="e">
        <f>IF(F35-Data!$T$41&lt;0,0,F35-Data!$T$41)</f>
        <v>#VALUE!</v>
      </c>
      <c r="G37" s="344">
        <f>IF(G35-Data!$T$41&lt;0,0,G35-Data!$T$41)</f>
        <v>0.60399999999999998</v>
      </c>
      <c r="H37" s="344">
        <f>IF(H35-Data!$T$41&lt;0,0,H35-Data!$T$41)</f>
        <v>0.6419999999999999</v>
      </c>
      <c r="I37" s="344">
        <f>IF(I35-Data!$T$41&lt;0,0,I35-Data!$T$41)</f>
        <v>0.58599999999999997</v>
      </c>
      <c r="J37" s="344">
        <f>IF(J35-Data!$T$41&lt;0,0,J35-Data!$T$41)</f>
        <v>0.60099999999999998</v>
      </c>
      <c r="K37" s="344">
        <f>IF(K35-Data!$T$41&lt;0,0,K35-Data!$T$41)</f>
        <v>0.60299999999999998</v>
      </c>
      <c r="L37" s="344">
        <f>IF(L35-Data!$T$41&lt;0,0,L35-Data!$T$41)</f>
        <v>0.77099999999999991</v>
      </c>
      <c r="M37" s="344">
        <f>IF(M35-Data!$T$41&lt;0,0,M35-Data!$T$41)</f>
        <v>0.14829186734824534</v>
      </c>
      <c r="N37" s="344" t="e">
        <f>IF(N35-Data!$T$41&lt;0,0,N35-Data!$T$41)</f>
        <v>#VALUE!</v>
      </c>
      <c r="O37" s="344">
        <f>IF(O35-Data!$T$41&lt;0,0,O35-Data!$T$41)</f>
        <v>0.28850000000000003</v>
      </c>
      <c r="P37" s="344">
        <f>IF(P35-Data!$T$41&lt;0,0,P35-Data!$T$41)</f>
        <v>0.28850000000000003</v>
      </c>
      <c r="Q37" s="344">
        <f>IF(Q35-Data!$T$41&lt;0,0,Q35-Data!$T$41)</f>
        <v>0.35365000000000002</v>
      </c>
      <c r="R37" s="344">
        <f>IF(R35-Data!$T$41&lt;0,0,R35-Data!$T$41)</f>
        <v>0.41880000000000001</v>
      </c>
      <c r="S37" s="344">
        <f>IF(S35-Data!$T$41&lt;0,0,S35-Data!$T$41)</f>
        <v>0.48395000000000005</v>
      </c>
      <c r="T37" s="344">
        <f>IF(T35-Data!$T$41&lt;0,0,T35-Data!$T$41)</f>
        <v>0.54910000000000003</v>
      </c>
      <c r="U37" s="344">
        <f>IF(U35-Data!$T$41&lt;0,0,U35-Data!$T$41)</f>
        <v>0.61425000000000007</v>
      </c>
      <c r="V37" s="344">
        <f>IF(V35-Data!$T$41&lt;0,0,V35-Data!$T$41)</f>
        <v>0.67940000000000011</v>
      </c>
      <c r="W37" s="344">
        <f>IF(W35-Data!$T$41&lt;0,0,W35-Data!$T$41)</f>
        <v>0.74455000000000016</v>
      </c>
      <c r="X37" s="344">
        <f>IF(X35-Data!$T$41&lt;0,0,X35-Data!$T$41)</f>
        <v>0.8097000000000002</v>
      </c>
      <c r="Y37" s="344">
        <f>IF(Y35-Data!$T$41&lt;0,0,Y35-Data!$T$41)</f>
        <v>0.87485000000000024</v>
      </c>
      <c r="Z37" s="344">
        <f>IF(Z35-Data!$T$41&lt;0,0,Z35-Data!$T$41)</f>
        <v>0.94000000000000028</v>
      </c>
    </row>
    <row r="38" spans="2:72" s="112" customFormat="1">
      <c r="B38" s="1"/>
      <c r="C38" s="1"/>
      <c r="D38" s="1"/>
      <c r="E38" s="1"/>
      <c r="F38" s="344"/>
      <c r="G38" s="344"/>
      <c r="H38" s="344"/>
      <c r="I38" s="344"/>
      <c r="J38" s="344"/>
      <c r="K38" s="344"/>
      <c r="L38" s="344"/>
      <c r="M38" s="344"/>
      <c r="N38" s="344"/>
      <c r="O38" s="344"/>
      <c r="P38" s="386"/>
      <c r="Q38" s="386"/>
      <c r="R38" s="386"/>
      <c r="S38" s="386"/>
      <c r="T38" s="386"/>
      <c r="U38" s="386"/>
      <c r="V38" s="386"/>
      <c r="W38" s="386"/>
      <c r="X38" s="386"/>
      <c r="Y38" s="386"/>
      <c r="Z38" s="386"/>
    </row>
    <row r="39" spans="2:72" s="112" customFormat="1" ht="19">
      <c r="B39" s="1"/>
      <c r="C39" s="1"/>
      <c r="D39" s="54"/>
      <c r="E39" s="54" t="s">
        <v>280</v>
      </c>
      <c r="F39" s="384"/>
      <c r="G39" s="384"/>
      <c r="H39" s="384"/>
      <c r="I39" s="384"/>
      <c r="J39" s="384"/>
      <c r="K39" s="384"/>
      <c r="L39" s="384"/>
      <c r="M39" s="384"/>
      <c r="N39" s="383"/>
      <c r="O39" s="383"/>
      <c r="P39" s="383"/>
      <c r="Q39" s="383"/>
      <c r="R39" s="383"/>
      <c r="S39" s="383"/>
      <c r="T39" s="383"/>
      <c r="U39" s="383"/>
      <c r="V39" s="383"/>
      <c r="W39" s="383"/>
      <c r="X39" s="383"/>
      <c r="Y39" s="383"/>
      <c r="Z39" s="383"/>
      <c r="AC39" s="54"/>
      <c r="AD39" s="54"/>
      <c r="AE39" s="54"/>
      <c r="AF39" s="54"/>
      <c r="AG39" s="54"/>
      <c r="AH39" s="54"/>
      <c r="AI39" s="54"/>
      <c r="AJ39" s="54"/>
      <c r="AK39" s="54"/>
      <c r="AL39" s="54"/>
      <c r="AM39" s="54"/>
      <c r="AN39" s="54"/>
      <c r="AO39" s="54"/>
      <c r="AP39" s="54"/>
      <c r="AQ39" s="54"/>
      <c r="AR39" s="54"/>
      <c r="AS39" s="54"/>
      <c r="AT39" s="54"/>
      <c r="AU39" s="54"/>
      <c r="AV39" s="54"/>
      <c r="AW39" s="54"/>
      <c r="AX39" s="697"/>
      <c r="AY39" s="697"/>
      <c r="AZ39" s="54"/>
      <c r="BA39" s="54"/>
      <c r="BB39" s="54"/>
      <c r="BC39" s="54"/>
      <c r="BD39" s="54"/>
      <c r="BE39" s="54"/>
      <c r="BF39" s="54"/>
      <c r="BG39" s="54"/>
      <c r="BH39" s="54"/>
      <c r="BI39" s="54"/>
      <c r="BJ39" s="54"/>
      <c r="BK39" s="54"/>
      <c r="BL39" s="54"/>
      <c r="BM39" s="54"/>
      <c r="BN39" s="54"/>
      <c r="BO39" s="54"/>
      <c r="BP39" s="54"/>
      <c r="BQ39" s="54"/>
      <c r="BR39" s="54"/>
      <c r="BS39" s="54"/>
      <c r="BT39" s="54"/>
    </row>
    <row r="40" spans="2:72" s="112" customFormat="1" ht="17">
      <c r="B40" s="1"/>
      <c r="C40" s="1"/>
      <c r="D40" s="1"/>
      <c r="E40" s="1" t="s">
        <v>883</v>
      </c>
      <c r="F40" s="344">
        <f>IF(Data!$F$45="Yes",Data!H45,IF(Data!H46="","NA",Data!H46))</f>
        <v>0.86199999999999999</v>
      </c>
      <c r="G40" s="344">
        <f>IF(Data!$F$45="Yes",Data!I45,IF(Data!I46="","NA",Data!I46))</f>
        <v>0.89</v>
      </c>
      <c r="H40" s="344">
        <f>IF(Data!$F$45="Yes",Data!J45,IF(Data!J46="","NA",Data!J46))</f>
        <v>0.92600000000000005</v>
      </c>
      <c r="I40" s="344">
        <f>IF(Data!$F$45="Yes",Data!K45,IF(Data!K46="","NA",Data!K46))</f>
        <v>0.92600000000000005</v>
      </c>
      <c r="J40" s="344">
        <f>IF(Data!$F$45="Yes",Data!L45,IF(Data!L46="","NA",Data!L46))</f>
        <v>0.20899999999999999</v>
      </c>
      <c r="K40" s="344">
        <f>IF(Data!$F$45="Yes",Data!M45,IF(Data!M46="","NA",Data!M46))</f>
        <v>0.23699999999999999</v>
      </c>
      <c r="L40" s="344">
        <f>IF(Data!$F$45="Yes",Data!N45,IF(Data!N46="","NA",Data!N46))</f>
        <v>0.747</v>
      </c>
      <c r="M40" s="344">
        <f>IF(Data!$F$45="Yes",Data!O45,IF(Data!O46="","NA",Data!O46))</f>
        <v>0.47599999999999998</v>
      </c>
      <c r="N40" s="344" t="str">
        <f>IF(Data!$F$45="Yes",Data!P45,IF(Data!P46="","NA",Data!P46))</f>
        <v>NA</v>
      </c>
      <c r="O40" s="344">
        <f>IF(Data!$F$45="Yes",Data!Q45,IF(Data!Q46="","NA",Data!Q46))</f>
        <v>0.69932685115931192</v>
      </c>
      <c r="P40" s="344">
        <f>IF(Data!$F$45="Yes",Data!R45,IF(Data!R46="","NA",Data!R46))</f>
        <v>0.69932685115931192</v>
      </c>
      <c r="Q40" s="385">
        <f>IF(P16&lt;'Prediction tool'!$I$40,P40+('Prediction tool'!$G$40-$P$40)/('Prediction tool'!$I$40-$P$16),P40)</f>
        <v>0.7283941660433807</v>
      </c>
      <c r="R40" s="385">
        <f>IF(Q16&lt;'Prediction tool'!$I$40,Q40+('Prediction tool'!$G$40-$P$40)/('Prediction tool'!$I$40-$P$16),Q40)</f>
        <v>0.75746148092744947</v>
      </c>
      <c r="S40" s="385">
        <f>IF(R16&lt;'Prediction tool'!$I$40,R40+('Prediction tool'!$G$40-$P$40)/('Prediction tool'!$I$40-$P$16),R40)</f>
        <v>0.78652879581151824</v>
      </c>
      <c r="T40" s="385">
        <f>IF(S16&lt;'Prediction tool'!$I$40,S40+('Prediction tool'!$G$40-$P$40)/('Prediction tool'!$I$40-$P$16),S40)</f>
        <v>0.81559611069558702</v>
      </c>
      <c r="U40" s="385">
        <f>IF(T16&lt;'Prediction tool'!$I$40,T40+('Prediction tool'!$G$40-$P$40)/('Prediction tool'!$I$40-$P$16),T40)</f>
        <v>0.84466342557965579</v>
      </c>
      <c r="V40" s="385">
        <f>IF(U16&lt;'Prediction tool'!$I$40,U40+('Prediction tool'!$G$40-$P$40)/('Prediction tool'!$I$40-$P$16),U40)</f>
        <v>0.87373074046372456</v>
      </c>
      <c r="W40" s="385">
        <f>IF(V16&lt;'Prediction tool'!$I$40,V40+('Prediction tool'!$G$40-$P$40)/('Prediction tool'!$I$40-$P$16),V40)</f>
        <v>0.90279805534779334</v>
      </c>
      <c r="X40" s="385">
        <f>IF(W16&lt;'Prediction tool'!$I$40,W40+('Prediction tool'!$G$40-$P$40)/('Prediction tool'!$I$40-$P$16),W40)</f>
        <v>0.93186537023186211</v>
      </c>
      <c r="Y40" s="385">
        <f>IF(X16&lt;'Prediction tool'!$I$40,X40+('Prediction tool'!$G$40-$P$40)/('Prediction tool'!$I$40-$P$16),X40)</f>
        <v>0.96093268511593088</v>
      </c>
      <c r="Z40" s="385">
        <f>IF(Y16&lt;'Prediction tool'!$I$40,Y40+('Prediction tool'!$G$40-$P$40)/('Prediction tool'!$I$40-$P$16),Y40)</f>
        <v>0.98999999999999966</v>
      </c>
      <c r="AC40" s="343">
        <f>F41</f>
        <v>0.91200000000000003</v>
      </c>
      <c r="AD40" s="343">
        <f t="shared" ref="AD40:AW40" si="12">G41</f>
        <v>0.94000000000000006</v>
      </c>
      <c r="AE40" s="343">
        <f t="shared" si="12"/>
        <v>0.97600000000000009</v>
      </c>
      <c r="AF40" s="343">
        <f t="shared" si="12"/>
        <v>0.97600000000000009</v>
      </c>
      <c r="AG40" s="343">
        <f t="shared" si="12"/>
        <v>0.25900000000000001</v>
      </c>
      <c r="AH40" s="343">
        <f t="shared" si="12"/>
        <v>0.28699999999999998</v>
      </c>
      <c r="AI40" s="343">
        <f t="shared" si="12"/>
        <v>0.79700000000000004</v>
      </c>
      <c r="AJ40" s="343">
        <f t="shared" si="12"/>
        <v>0.52600000000000002</v>
      </c>
      <c r="AK40" s="343" t="e">
        <f t="shared" si="12"/>
        <v>#VALUE!</v>
      </c>
      <c r="AL40" s="343">
        <f t="shared" si="12"/>
        <v>0.74932685115931197</v>
      </c>
      <c r="AM40" s="343">
        <f t="shared" si="12"/>
        <v>0.74932685115931197</v>
      </c>
      <c r="AN40" s="343">
        <f t="shared" si="12"/>
        <v>0.77839416604338074</v>
      </c>
      <c r="AO40" s="343">
        <f t="shared" si="12"/>
        <v>0.80746148092744952</v>
      </c>
      <c r="AP40" s="343">
        <f t="shared" si="12"/>
        <v>0.83652879581151829</v>
      </c>
      <c r="AQ40" s="343">
        <f t="shared" si="12"/>
        <v>0.86559611069558706</v>
      </c>
      <c r="AR40" s="343">
        <f t="shared" si="12"/>
        <v>0.89466342557965584</v>
      </c>
      <c r="AS40" s="343">
        <f t="shared" si="12"/>
        <v>0.92373074046372461</v>
      </c>
      <c r="AT40" s="343">
        <f t="shared" si="12"/>
        <v>0.95279805534779338</v>
      </c>
      <c r="AU40" s="343">
        <f t="shared" si="12"/>
        <v>0.98186537023186216</v>
      </c>
      <c r="AV40" s="343">
        <f t="shared" si="12"/>
        <v>1</v>
      </c>
      <c r="AW40" s="343">
        <f t="shared" si="12"/>
        <v>1</v>
      </c>
      <c r="AZ40" s="343">
        <f>F42</f>
        <v>0.81199999999999994</v>
      </c>
      <c r="BA40" s="343">
        <f t="shared" ref="BA40:BT40" si="13">G42</f>
        <v>0.84</v>
      </c>
      <c r="BB40" s="343">
        <f t="shared" si="13"/>
        <v>0.876</v>
      </c>
      <c r="BC40" s="343">
        <f t="shared" si="13"/>
        <v>0.876</v>
      </c>
      <c r="BD40" s="343">
        <f t="shared" si="13"/>
        <v>0.15899999999999997</v>
      </c>
      <c r="BE40" s="343">
        <f t="shared" si="13"/>
        <v>0.187</v>
      </c>
      <c r="BF40" s="343">
        <f t="shared" si="13"/>
        <v>0.69699999999999995</v>
      </c>
      <c r="BG40" s="343">
        <f t="shared" si="13"/>
        <v>0.42599999999999999</v>
      </c>
      <c r="BH40" s="343" t="e">
        <f t="shared" si="13"/>
        <v>#VALUE!</v>
      </c>
      <c r="BI40" s="343">
        <f t="shared" si="13"/>
        <v>0.64932685115931188</v>
      </c>
      <c r="BJ40" s="343">
        <f t="shared" si="13"/>
        <v>0.64932685115931188</v>
      </c>
      <c r="BK40" s="343">
        <f t="shared" si="13"/>
        <v>0.67839416604338065</v>
      </c>
      <c r="BL40" s="343">
        <f t="shared" si="13"/>
        <v>0.70746148092744943</v>
      </c>
      <c r="BM40" s="343">
        <f t="shared" si="13"/>
        <v>0.7365287958115182</v>
      </c>
      <c r="BN40" s="343">
        <f t="shared" si="13"/>
        <v>0.76559611069558697</v>
      </c>
      <c r="BO40" s="343">
        <f t="shared" si="13"/>
        <v>0.79466342557965575</v>
      </c>
      <c r="BP40" s="343">
        <f t="shared" si="13"/>
        <v>0.82373074046372452</v>
      </c>
      <c r="BQ40" s="343">
        <f t="shared" si="13"/>
        <v>0.85279805534779329</v>
      </c>
      <c r="BR40" s="343">
        <f t="shared" si="13"/>
        <v>0.88186537023186207</v>
      </c>
      <c r="BS40" s="343">
        <f t="shared" si="13"/>
        <v>0.91093268511593084</v>
      </c>
      <c r="BT40" s="343">
        <f t="shared" si="13"/>
        <v>0.93999999999999961</v>
      </c>
    </row>
    <row r="41" spans="2:72" s="112" customFormat="1" ht="17">
      <c r="B41" s="1"/>
      <c r="C41" s="1"/>
      <c r="D41" s="1"/>
      <c r="E41" s="1" t="s">
        <v>884</v>
      </c>
      <c r="F41" s="344">
        <f>IF(F40+Data!$T$46&gt;1,1,F40+Data!$T$46)</f>
        <v>0.91200000000000003</v>
      </c>
      <c r="G41" s="344">
        <f>IF(G40+Data!$T$46&gt;1,1,G40+Data!$T$46)</f>
        <v>0.94000000000000006</v>
      </c>
      <c r="H41" s="344">
        <f>IF(H40+Data!$T$46&gt;1,1,H40+Data!$T$46)</f>
        <v>0.97600000000000009</v>
      </c>
      <c r="I41" s="344">
        <f>IF(I40+Data!$T$46&gt;1,1,I40+Data!$T$46)</f>
        <v>0.97600000000000009</v>
      </c>
      <c r="J41" s="344">
        <f>IF(J40+Data!$T$46&gt;1,1,J40+Data!$T$46)</f>
        <v>0.25900000000000001</v>
      </c>
      <c r="K41" s="344">
        <f>IF(K40+Data!$T$46&gt;1,1,K40+Data!$T$46)</f>
        <v>0.28699999999999998</v>
      </c>
      <c r="L41" s="344">
        <f>IF(L40+Data!$T$46&gt;1,1,L40+Data!$T$46)</f>
        <v>0.79700000000000004</v>
      </c>
      <c r="M41" s="344">
        <f>IF(M40+Data!$T$46&gt;1,1,M40+Data!$T$46)</f>
        <v>0.52600000000000002</v>
      </c>
      <c r="N41" s="344" t="e">
        <f>IF(N40+Data!$T$46&gt;1,1,N40+Data!$T$46)</f>
        <v>#VALUE!</v>
      </c>
      <c r="O41" s="344">
        <f>IF(O40+Data!$T$46&gt;1,1,O40+Data!$T$46)</f>
        <v>0.74932685115931197</v>
      </c>
      <c r="P41" s="344">
        <f>IF(P40+Data!$T$46&gt;1,1,P40+Data!$T$46)</f>
        <v>0.74932685115931197</v>
      </c>
      <c r="Q41" s="344">
        <f>IF(Q40+Data!$T$46&gt;1,1,Q40+Data!$T$46)</f>
        <v>0.77839416604338074</v>
      </c>
      <c r="R41" s="344">
        <f>IF(R40+Data!$T$46&gt;1,1,R40+Data!$T$46)</f>
        <v>0.80746148092744952</v>
      </c>
      <c r="S41" s="344">
        <f>IF(S40+Data!$T$46&gt;1,1,S40+Data!$T$46)</f>
        <v>0.83652879581151829</v>
      </c>
      <c r="T41" s="344">
        <f>IF(T40+Data!$T$46&gt;1,1,T40+Data!$T$46)</f>
        <v>0.86559611069558706</v>
      </c>
      <c r="U41" s="344">
        <f>IF(U40+Data!$T$46&gt;1,1,U40+Data!$T$46)</f>
        <v>0.89466342557965584</v>
      </c>
      <c r="V41" s="344">
        <f>IF(V40+Data!$T$46&gt;1,1,V40+Data!$T$46)</f>
        <v>0.92373074046372461</v>
      </c>
      <c r="W41" s="344">
        <f>IF(W40+Data!$T$46&gt;1,1,W40+Data!$T$46)</f>
        <v>0.95279805534779338</v>
      </c>
      <c r="X41" s="344">
        <f>IF(X40+Data!$T$46&gt;1,1,X40+Data!$T$46)</f>
        <v>0.98186537023186216</v>
      </c>
      <c r="Y41" s="344">
        <f>IF(Y40+Data!$T$46&gt;1,1,Y40+Data!$T$46)</f>
        <v>1</v>
      </c>
      <c r="Z41" s="344">
        <f>IF(Z40+Data!$T$46&gt;1,1,Z40+Data!$T$46)</f>
        <v>1</v>
      </c>
    </row>
    <row r="42" spans="2:72" s="112" customFormat="1" ht="17">
      <c r="B42" s="1"/>
      <c r="C42" s="1"/>
      <c r="D42" s="1"/>
      <c r="E42" s="1" t="s">
        <v>885</v>
      </c>
      <c r="F42" s="344">
        <f>IF(F40-Data!$T$46&lt;0,0,F40-Data!$T$46)</f>
        <v>0.81199999999999994</v>
      </c>
      <c r="G42" s="344">
        <f>IF(G40-Data!$T$46&lt;0,0,G40-Data!$T$46)</f>
        <v>0.84</v>
      </c>
      <c r="H42" s="344">
        <f>IF(H40-Data!$T$46&lt;0,0,H40-Data!$T$46)</f>
        <v>0.876</v>
      </c>
      <c r="I42" s="344">
        <f>IF(I40-Data!$T$46&lt;0,0,I40-Data!$T$46)</f>
        <v>0.876</v>
      </c>
      <c r="J42" s="344">
        <f>IF(J40-Data!$T$46&lt;0,0,J40-Data!$T$46)</f>
        <v>0.15899999999999997</v>
      </c>
      <c r="K42" s="344">
        <f>IF(K40-Data!$T$46&lt;0,0,K40-Data!$T$46)</f>
        <v>0.187</v>
      </c>
      <c r="L42" s="344">
        <f>IF(L40-Data!$T$46&lt;0,0,L40-Data!$T$46)</f>
        <v>0.69699999999999995</v>
      </c>
      <c r="M42" s="344">
        <f>IF(M40-Data!$T$46&lt;0,0,M40-Data!$T$46)</f>
        <v>0.42599999999999999</v>
      </c>
      <c r="N42" s="344" t="e">
        <f>IF(N40-Data!$T$46&lt;0,0,N40-Data!$T$46)</f>
        <v>#VALUE!</v>
      </c>
      <c r="O42" s="344">
        <f>IF(O40-Data!$T$46&lt;0,0,O40-Data!$T$46)</f>
        <v>0.64932685115931188</v>
      </c>
      <c r="P42" s="344">
        <f>IF(P40-Data!$T$46&lt;0,0,P40-Data!$T$46)</f>
        <v>0.64932685115931188</v>
      </c>
      <c r="Q42" s="344">
        <f>IF(Q40-Data!$T$46&lt;0,0,Q40-Data!$T$46)</f>
        <v>0.67839416604338065</v>
      </c>
      <c r="R42" s="344">
        <f>IF(R40-Data!$T$46&lt;0,0,R40-Data!$T$46)</f>
        <v>0.70746148092744943</v>
      </c>
      <c r="S42" s="344">
        <f>IF(S40-Data!$T$46&lt;0,0,S40-Data!$T$46)</f>
        <v>0.7365287958115182</v>
      </c>
      <c r="T42" s="344">
        <f>IF(T40-Data!$T$46&lt;0,0,T40-Data!$T$46)</f>
        <v>0.76559611069558697</v>
      </c>
      <c r="U42" s="344">
        <f>IF(U40-Data!$T$46&lt;0,0,U40-Data!$T$46)</f>
        <v>0.79466342557965575</v>
      </c>
      <c r="V42" s="344">
        <f>IF(V40-Data!$T$46&lt;0,0,V40-Data!$T$46)</f>
        <v>0.82373074046372452</v>
      </c>
      <c r="W42" s="344">
        <f>IF(W40-Data!$T$46&lt;0,0,W40-Data!$T$46)</f>
        <v>0.85279805534779329</v>
      </c>
      <c r="X42" s="344">
        <f>IF(X40-Data!$T$46&lt;0,0,X40-Data!$T$46)</f>
        <v>0.88186537023186207</v>
      </c>
      <c r="Y42" s="344">
        <f>IF(Y40-Data!$T$46&lt;0,0,Y40-Data!$T$46)</f>
        <v>0.91093268511593084</v>
      </c>
      <c r="Z42" s="344">
        <f>IF(Z40-Data!$T$46&lt;0,0,Z40-Data!$T$46)</f>
        <v>0.93999999999999961</v>
      </c>
    </row>
    <row r="43" spans="2:72" s="112" customFormat="1">
      <c r="B43" s="1"/>
      <c r="C43" s="1"/>
      <c r="D43" s="1"/>
      <c r="E43" s="1"/>
      <c r="H43" s="341"/>
      <c r="I43" s="341"/>
      <c r="J43" s="341"/>
      <c r="K43" s="341"/>
      <c r="L43" s="341"/>
      <c r="M43" s="341"/>
      <c r="N43" s="341"/>
      <c r="O43" s="341"/>
      <c r="P43" s="341"/>
      <c r="Q43" s="341"/>
      <c r="R43" s="341"/>
      <c r="S43" s="341"/>
      <c r="U43" s="1"/>
      <c r="V43" s="1"/>
      <c r="W43" s="1"/>
      <c r="X43" s="1"/>
      <c r="Y43" s="1"/>
      <c r="Z43" s="1"/>
    </row>
    <row r="44" spans="2:72" s="112" customFormat="1" ht="19">
      <c r="B44" s="1"/>
      <c r="C44" s="1"/>
      <c r="D44" s="387"/>
      <c r="E44" s="54" t="s">
        <v>34</v>
      </c>
      <c r="F44" s="384"/>
      <c r="G44" s="384"/>
      <c r="H44" s="384"/>
      <c r="I44" s="384"/>
      <c r="J44" s="384"/>
      <c r="K44" s="384"/>
      <c r="L44" s="384"/>
      <c r="M44" s="384"/>
      <c r="N44" s="383"/>
      <c r="O44" s="383"/>
      <c r="P44" s="383"/>
      <c r="Q44" s="383"/>
      <c r="R44" s="383"/>
      <c r="S44" s="383"/>
      <c r="T44" s="383"/>
      <c r="U44" s="383"/>
      <c r="V44" s="383"/>
      <c r="W44" s="383"/>
      <c r="X44" s="383"/>
      <c r="Y44" s="383"/>
      <c r="Z44" s="383"/>
      <c r="AC44" s="387"/>
      <c r="AD44" s="54" t="s">
        <v>34</v>
      </c>
      <c r="AE44" s="384"/>
      <c r="AF44" s="384"/>
      <c r="AG44" s="384"/>
      <c r="AH44" s="384"/>
      <c r="AI44" s="384"/>
      <c r="AJ44" s="384"/>
      <c r="AK44" s="384"/>
      <c r="AL44" s="384"/>
      <c r="AM44" s="383"/>
      <c r="AN44" s="383"/>
      <c r="AO44" s="383"/>
      <c r="AP44" s="383"/>
      <c r="AQ44" s="383"/>
      <c r="AR44" s="383"/>
      <c r="AS44" s="383"/>
      <c r="AT44" s="383"/>
      <c r="AU44" s="383"/>
      <c r="AV44" s="383"/>
      <c r="AW44" s="383"/>
      <c r="AX44" s="697"/>
      <c r="AY44" s="697"/>
      <c r="AZ44" s="54"/>
      <c r="BA44" s="54"/>
      <c r="BB44" s="384"/>
      <c r="BC44" s="384"/>
      <c r="BD44" s="384"/>
      <c r="BE44" s="384"/>
      <c r="BF44" s="384"/>
      <c r="BG44" s="384"/>
      <c r="BH44" s="384"/>
      <c r="BI44" s="384"/>
      <c r="BJ44" s="383"/>
      <c r="BK44" s="383"/>
      <c r="BL44" s="383"/>
      <c r="BM44" s="383"/>
      <c r="BN44" s="383"/>
      <c r="BO44" s="383"/>
      <c r="BP44" s="383"/>
      <c r="BQ44" s="383"/>
      <c r="BR44" s="383"/>
      <c r="BS44" s="383"/>
      <c r="BT44" s="383"/>
    </row>
    <row r="45" spans="2:72" s="112" customFormat="1" ht="17">
      <c r="B45" s="1"/>
      <c r="C45" s="1"/>
      <c r="D45" s="388" t="s">
        <v>802</v>
      </c>
      <c r="E45" s="1"/>
      <c r="F45" s="306">
        <f>IF(Data!H55="Unknown",0.686,IF(Data!H55="Trep.",0.536,IF(Data!H55="Non-trep.",0.522,IF(Data!H55="Trep. &amp; Non-trep.",1,"NA"))))</f>
        <v>0.68600000000000005</v>
      </c>
      <c r="G45" s="306">
        <f>IF(Data!I55="Unknown",0.686,IF(Data!I55="Trep.",0.536,IF(Data!I55="Non-trep.",0.522,IF(Data!I55="Trep. &amp; Non-trep.",1,"NA"))))</f>
        <v>0.68600000000000005</v>
      </c>
      <c r="H45" s="306">
        <f>IF(Data!J55="Unknown",0.686,IF(Data!J55="Trep.",0.536,IF(Data!J55="Non-trep.",0.522,IF(Data!J55="Trep. &amp; Non-trep.",1,"NA"))))</f>
        <v>0.68600000000000005</v>
      </c>
      <c r="I45" s="306">
        <f>IF(Data!K55="Unknown",0.686,IF(Data!K55="Trep.",0.536,IF(Data!K55="Non-trep.",0.522,IF(Data!K55="Trep. &amp; Non-trep.",1,"NA"))))</f>
        <v>1</v>
      </c>
      <c r="J45" s="306">
        <f>IF(Data!L55="Unknown",0.686,IF(Data!L55="Trep.",0.536,IF(Data!L55="Non-trep.",0.522,IF(Data!L55="Trep. &amp; Non-trep.",1,"NA"))))</f>
        <v>0.53600000000000003</v>
      </c>
      <c r="K45" s="306">
        <f>IF(Data!M55="Unknown",0.686,IF(Data!M55="Trep.",0.536,IF(Data!M55="Non-trep.",0.522,IF(Data!M55="Trep. &amp; Non-trep.",1,"NA"))))</f>
        <v>0.68600000000000005</v>
      </c>
      <c r="L45" s="306">
        <f>IF(Data!N55="Unknown",0.686,IF(Data!N55="Trep.",0.536,IF(Data!N55="Non-trep.",0.522,IF(Data!N55="Trep. &amp; Non-trep.",1,"NA"))))</f>
        <v>0.53600000000000003</v>
      </c>
      <c r="M45" s="306">
        <f>IF(Data!O55="Unknown",0.686,IF(Data!O55="Trep.",0.536,IF(Data!O55="Non-trep.",0.522,IF(Data!O55="Trep. &amp; Non-trep.",1,"NA"))))</f>
        <v>0.68600000000000005</v>
      </c>
      <c r="N45" s="306">
        <f>IF(Data!P55="Unknown",0.686,IF(Data!P55="Trep.",0.536,IF(Data!P55="Non-trep.",0.522,IF(Data!P55="Trep. &amp; Non-trep.",1,"NA"))))</f>
        <v>0.68600000000000005</v>
      </c>
      <c r="O45" s="306">
        <f>IF(Data!Q55="Unknown",0.686,IF(Data!Q55="Trep.",0.536,IF(Data!Q55="Non-trep.",0.522,IF(Data!Q55="Trep. &amp; Non-trep.",1,"NA"))))</f>
        <v>0.68600000000000005</v>
      </c>
      <c r="P45" s="306">
        <f>IF(Data!R55="Unknown",0.686,IF(Data!R55="Trep.",0.536,IF(Data!R55="Non-trep.",0.522,IF(Data!R55="Trep. &amp; Non-trep.",1,"NA"))))</f>
        <v>0.68600000000000005</v>
      </c>
      <c r="Q45" s="375">
        <f t="shared" ref="Q45:Z45" si="14">$O$45</f>
        <v>0.68600000000000005</v>
      </c>
      <c r="R45" s="375">
        <f t="shared" si="14"/>
        <v>0.68600000000000005</v>
      </c>
      <c r="S45" s="375">
        <f t="shared" si="14"/>
        <v>0.68600000000000005</v>
      </c>
      <c r="T45" s="375">
        <f t="shared" si="14"/>
        <v>0.68600000000000005</v>
      </c>
      <c r="U45" s="375">
        <f t="shared" si="14"/>
        <v>0.68600000000000005</v>
      </c>
      <c r="V45" s="375">
        <f t="shared" si="14"/>
        <v>0.68600000000000005</v>
      </c>
      <c r="W45" s="375">
        <f t="shared" si="14"/>
        <v>0.68600000000000005</v>
      </c>
      <c r="X45" s="375">
        <f t="shared" si="14"/>
        <v>0.68600000000000005</v>
      </c>
      <c r="Y45" s="375">
        <f t="shared" si="14"/>
        <v>0.68600000000000005</v>
      </c>
      <c r="Z45" s="375">
        <f t="shared" si="14"/>
        <v>0.68600000000000005</v>
      </c>
    </row>
    <row r="46" spans="2:72" s="112" customFormat="1" ht="17">
      <c r="B46" s="1"/>
      <c r="C46" s="1"/>
      <c r="D46" s="1" t="s">
        <v>803</v>
      </c>
      <c r="E46" s="1"/>
      <c r="F46" s="112">
        <f>IF(Data!H56="Unknown",0.686,IF(Data!H56="Trep.",0.536,IF(Data!H56="Non-trep.",0.522,IF(Data!H56="Trep. &amp; Non-trep.",1,"NA"))))</f>
        <v>0.68600000000000005</v>
      </c>
      <c r="G46" s="112">
        <f>IF(Data!I56="Unknown",0.686,IF(Data!I56="Trep.",0.536,IF(Data!I56="Non-trep.",0.522,IF(Data!I56="Trep. &amp; Non-trep.",1,"NA"))))</f>
        <v>0.68600000000000005</v>
      </c>
      <c r="H46" s="112">
        <f>IF(Data!J56="Unknown",0.686,IF(Data!J56="Trep.",0.536,IF(Data!J56="Non-trep.",0.522,IF(Data!J56="Trep. &amp; Non-trep.",1,"NA"))))</f>
        <v>0.68600000000000005</v>
      </c>
      <c r="I46" s="112">
        <f>IF(Data!K56="Unknown",0.686,IF(Data!K56="Trep.",0.536,IF(Data!K56="Non-trep.",0.522,IF(Data!K56="Trep. &amp; Non-trep.",1,"NA"))))</f>
        <v>0.68600000000000005</v>
      </c>
      <c r="J46" s="112">
        <f>IF(Data!L56="Unknown",0.686,IF(Data!L56="Trep.",0.536,IF(Data!L56="Non-trep.",0.522,IF(Data!L56="Trep. &amp; Non-trep.",1,"NA"))))</f>
        <v>0.68600000000000005</v>
      </c>
      <c r="K46" s="112">
        <f>IF(Data!M56="Unknown",0.686,IF(Data!M56="Trep.",0.536,IF(Data!M56="Non-trep.",0.522,IF(Data!M56="Trep. &amp; Non-trep.",1,"NA"))))</f>
        <v>0.68600000000000005</v>
      </c>
      <c r="L46" s="112">
        <f>IF(Data!N56="Unknown",0.686,IF(Data!N56="Trep.",0.536,IF(Data!N56="Non-trep.",0.522,IF(Data!N56="Trep. &amp; Non-trep.",1,"NA"))))</f>
        <v>0.68600000000000005</v>
      </c>
      <c r="M46" s="112">
        <f>IF(Data!O56="Unknown",0.686,IF(Data!O56="Trep.",0.536,IF(Data!O56="Non-trep.",0.522,IF(Data!O56="Trep. &amp; Non-trep.",1,"NA"))))</f>
        <v>0.68600000000000005</v>
      </c>
      <c r="N46" s="112">
        <f>IF(Data!P56="Unknown",0.686,IF(Data!P56="Trep.",0.536,IF(Data!P56="Non-trep.",0.522,IF(Data!P56="Trep. &amp; Non-trep.",1,"NA"))))</f>
        <v>0.68600000000000005</v>
      </c>
      <c r="O46" s="112">
        <f>IF(Data!Q56="Unknown",0.686,IF(Data!Q56="Trep.",0.536,IF(Data!Q56="Non-trep.",0.522,IF(Data!Q56="Trep. &amp; Non-trep.",1,"NA"))))</f>
        <v>0.68600000000000005</v>
      </c>
      <c r="P46" s="112">
        <f>IF(Data!R56="Unknown",0.686,IF(Data!R56="Trep.",0.536,IF(Data!R56="Non-trep.",0.522,IF(Data!R56="Trep. &amp; Non-trep.",1,"NA"))))</f>
        <v>0.68600000000000005</v>
      </c>
      <c r="Q46" s="112">
        <f>$P$46</f>
        <v>0.68600000000000005</v>
      </c>
      <c r="R46" s="112">
        <f t="shared" ref="R46:Z46" si="15">$P$46</f>
        <v>0.68600000000000005</v>
      </c>
      <c r="S46" s="112">
        <f t="shared" si="15"/>
        <v>0.68600000000000005</v>
      </c>
      <c r="T46" s="112">
        <f t="shared" si="15"/>
        <v>0.68600000000000005</v>
      </c>
      <c r="U46" s="112">
        <f t="shared" si="15"/>
        <v>0.68600000000000005</v>
      </c>
      <c r="V46" s="112">
        <f t="shared" si="15"/>
        <v>0.68600000000000005</v>
      </c>
      <c r="W46" s="112">
        <f t="shared" si="15"/>
        <v>0.68600000000000005</v>
      </c>
      <c r="X46" s="112">
        <f t="shared" si="15"/>
        <v>0.68600000000000005</v>
      </c>
      <c r="Y46" s="112">
        <f t="shared" si="15"/>
        <v>0.68600000000000005</v>
      </c>
      <c r="Z46" s="112">
        <f t="shared" si="15"/>
        <v>0.68600000000000005</v>
      </c>
    </row>
    <row r="47" spans="2:72" s="112" customFormat="1" ht="17">
      <c r="D47" s="1" t="s">
        <v>804</v>
      </c>
      <c r="F47" s="306">
        <f>IF(Data!$F$55="Yes",'Data (Calculations)'!F45,'Data (Calculations)'!F46)</f>
        <v>0.68600000000000005</v>
      </c>
      <c r="G47" s="306">
        <f>IF(Data!$F$55="Yes",'Data (Calculations)'!G45,'Data (Calculations)'!G46)</f>
        <v>0.68600000000000005</v>
      </c>
      <c r="H47" s="306">
        <f>IF(Data!$F$55="Yes",'Data (Calculations)'!H45,'Data (Calculations)'!H46)</f>
        <v>0.68600000000000005</v>
      </c>
      <c r="I47" s="306">
        <f>IF(Data!$F$55="Yes",'Data (Calculations)'!I45,'Data (Calculations)'!I46)</f>
        <v>0.68600000000000005</v>
      </c>
      <c r="J47" s="306">
        <f>IF(Data!$F$55="Yes",'Data (Calculations)'!J45,'Data (Calculations)'!J46)</f>
        <v>0.68600000000000005</v>
      </c>
      <c r="K47" s="306">
        <f>IF(Data!$F$55="Yes",'Data (Calculations)'!K45,'Data (Calculations)'!K46)</f>
        <v>0.68600000000000005</v>
      </c>
      <c r="L47" s="306">
        <f>IF(Data!$F$55="Yes",'Data (Calculations)'!L45,'Data (Calculations)'!L46)</f>
        <v>0.68600000000000005</v>
      </c>
      <c r="M47" s="306">
        <f>IF(Data!$F$55="Yes",'Data (Calculations)'!M45,'Data (Calculations)'!M46)</f>
        <v>0.68600000000000005</v>
      </c>
      <c r="N47" s="306">
        <f>IF(Data!$F$55="Yes",'Data (Calculations)'!N45,'Data (Calculations)'!N46)</f>
        <v>0.68600000000000005</v>
      </c>
      <c r="O47" s="306">
        <f>IF(Data!$F$55="Yes",'Data (Calculations)'!O45,IF('Data (Calculations)'!O46="",0.686,'Data (Calculations)'!O46))</f>
        <v>0.68600000000000005</v>
      </c>
      <c r="P47" s="306">
        <f>O47</f>
        <v>0.68600000000000005</v>
      </c>
      <c r="Q47" s="306">
        <f t="shared" ref="Q47:Z47" si="16">P47</f>
        <v>0.68600000000000005</v>
      </c>
      <c r="R47" s="306">
        <f t="shared" si="16"/>
        <v>0.68600000000000005</v>
      </c>
      <c r="S47" s="306">
        <f t="shared" si="16"/>
        <v>0.68600000000000005</v>
      </c>
      <c r="T47" s="306">
        <f t="shared" si="16"/>
        <v>0.68600000000000005</v>
      </c>
      <c r="U47" s="306">
        <f t="shared" si="16"/>
        <v>0.68600000000000005</v>
      </c>
      <c r="V47" s="306">
        <f t="shared" si="16"/>
        <v>0.68600000000000005</v>
      </c>
      <c r="W47" s="306">
        <f t="shared" si="16"/>
        <v>0.68600000000000005</v>
      </c>
      <c r="X47" s="306">
        <f t="shared" si="16"/>
        <v>0.68600000000000005</v>
      </c>
      <c r="Y47" s="306">
        <f t="shared" si="16"/>
        <v>0.68600000000000005</v>
      </c>
      <c r="Z47" s="306">
        <f t="shared" si="16"/>
        <v>0.68600000000000005</v>
      </c>
      <c r="AC47" s="345">
        <f>F47</f>
        <v>0.68600000000000005</v>
      </c>
      <c r="AD47" s="345">
        <f t="shared" ref="AD47:AW47" si="17">G47</f>
        <v>0.68600000000000005</v>
      </c>
      <c r="AE47" s="345">
        <f t="shared" si="17"/>
        <v>0.68600000000000005</v>
      </c>
      <c r="AF47" s="345">
        <f t="shared" si="17"/>
        <v>0.68600000000000005</v>
      </c>
      <c r="AG47" s="345">
        <f t="shared" si="17"/>
        <v>0.68600000000000005</v>
      </c>
      <c r="AH47" s="345">
        <f t="shared" si="17"/>
        <v>0.68600000000000005</v>
      </c>
      <c r="AI47" s="345">
        <f t="shared" si="17"/>
        <v>0.68600000000000005</v>
      </c>
      <c r="AJ47" s="345">
        <f t="shared" si="17"/>
        <v>0.68600000000000005</v>
      </c>
      <c r="AK47" s="345">
        <f t="shared" si="17"/>
        <v>0.68600000000000005</v>
      </c>
      <c r="AL47" s="345">
        <f t="shared" si="17"/>
        <v>0.68600000000000005</v>
      </c>
      <c r="AM47" s="345">
        <f t="shared" si="17"/>
        <v>0.68600000000000005</v>
      </c>
      <c r="AN47" s="345">
        <f t="shared" si="17"/>
        <v>0.68600000000000005</v>
      </c>
      <c r="AO47" s="345">
        <f t="shared" si="17"/>
        <v>0.68600000000000005</v>
      </c>
      <c r="AP47" s="345">
        <f t="shared" si="17"/>
        <v>0.68600000000000005</v>
      </c>
      <c r="AQ47" s="345">
        <f t="shared" si="17"/>
        <v>0.68600000000000005</v>
      </c>
      <c r="AR47" s="345">
        <f t="shared" si="17"/>
        <v>0.68600000000000005</v>
      </c>
      <c r="AS47" s="345">
        <f t="shared" si="17"/>
        <v>0.68600000000000005</v>
      </c>
      <c r="AT47" s="345">
        <f t="shared" si="17"/>
        <v>0.68600000000000005</v>
      </c>
      <c r="AU47" s="345">
        <f t="shared" si="17"/>
        <v>0.68600000000000005</v>
      </c>
      <c r="AV47" s="345">
        <f t="shared" si="17"/>
        <v>0.68600000000000005</v>
      </c>
      <c r="AW47" s="345">
        <f t="shared" si="17"/>
        <v>0.68600000000000005</v>
      </c>
      <c r="AZ47" s="345">
        <f>F47</f>
        <v>0.68600000000000005</v>
      </c>
      <c r="BA47" s="345">
        <f t="shared" ref="BA47:BT47" si="18">G47</f>
        <v>0.68600000000000005</v>
      </c>
      <c r="BB47" s="345">
        <f t="shared" si="18"/>
        <v>0.68600000000000005</v>
      </c>
      <c r="BC47" s="345">
        <f t="shared" si="18"/>
        <v>0.68600000000000005</v>
      </c>
      <c r="BD47" s="345">
        <f t="shared" si="18"/>
        <v>0.68600000000000005</v>
      </c>
      <c r="BE47" s="345">
        <f t="shared" si="18"/>
        <v>0.68600000000000005</v>
      </c>
      <c r="BF47" s="345">
        <f t="shared" si="18"/>
        <v>0.68600000000000005</v>
      </c>
      <c r="BG47" s="345">
        <f t="shared" si="18"/>
        <v>0.68600000000000005</v>
      </c>
      <c r="BH47" s="345">
        <f t="shared" si="18"/>
        <v>0.68600000000000005</v>
      </c>
      <c r="BI47" s="345">
        <f t="shared" si="18"/>
        <v>0.68600000000000005</v>
      </c>
      <c r="BJ47" s="345">
        <f t="shared" si="18"/>
        <v>0.68600000000000005</v>
      </c>
      <c r="BK47" s="345">
        <f t="shared" si="18"/>
        <v>0.68600000000000005</v>
      </c>
      <c r="BL47" s="345">
        <f t="shared" si="18"/>
        <v>0.68600000000000005</v>
      </c>
      <c r="BM47" s="345">
        <f t="shared" si="18"/>
        <v>0.68600000000000005</v>
      </c>
      <c r="BN47" s="345">
        <f t="shared" si="18"/>
        <v>0.68600000000000005</v>
      </c>
      <c r="BO47" s="345">
        <f t="shared" si="18"/>
        <v>0.68600000000000005</v>
      </c>
      <c r="BP47" s="345">
        <f t="shared" si="18"/>
        <v>0.68600000000000005</v>
      </c>
      <c r="BQ47" s="345">
        <f t="shared" si="18"/>
        <v>0.68600000000000005</v>
      </c>
      <c r="BR47" s="345">
        <f t="shared" si="18"/>
        <v>0.68600000000000005</v>
      </c>
      <c r="BS47" s="345">
        <f t="shared" si="18"/>
        <v>0.68600000000000005</v>
      </c>
      <c r="BT47" s="345">
        <f t="shared" si="18"/>
        <v>0.68600000000000005</v>
      </c>
    </row>
    <row r="48" spans="2:72" s="112" customFormat="1">
      <c r="AI48" s="1"/>
    </row>
    <row r="49" spans="1:35" s="112" customFormat="1" ht="19">
      <c r="D49" s="387"/>
      <c r="E49" s="54" t="s">
        <v>768</v>
      </c>
      <c r="F49" s="384"/>
      <c r="G49" s="384"/>
      <c r="H49" s="384"/>
      <c r="I49" s="384"/>
      <c r="J49" s="384"/>
      <c r="K49" s="384"/>
      <c r="L49" s="384"/>
      <c r="M49" s="384"/>
      <c r="N49" s="383"/>
      <c r="O49" s="383"/>
      <c r="P49" s="383"/>
      <c r="Q49" s="383"/>
      <c r="R49" s="383"/>
      <c r="S49" s="383"/>
      <c r="T49" s="383"/>
      <c r="U49" s="383"/>
      <c r="V49" s="383"/>
      <c r="W49" s="383"/>
      <c r="X49" s="383"/>
      <c r="Y49" s="383"/>
      <c r="Z49" s="383"/>
      <c r="AI49" s="1"/>
    </row>
    <row r="50" spans="1:35" s="112" customFormat="1" ht="17">
      <c r="D50" s="1" t="s">
        <v>811</v>
      </c>
      <c r="E50" s="1"/>
      <c r="F50" s="1">
        <f t="shared" ref="F50:O50" si="19">IF(AND(F19&lt;&gt;"NA", F22&lt;&gt;"NA",F27&lt;&gt;"NA",F30&lt;&gt;"NA",F35&lt;&gt;"NA",F40&lt;&gt;"NA",F47&lt;&gt;"NA"),0,1)</f>
        <v>1</v>
      </c>
      <c r="G50" s="1">
        <f t="shared" si="19"/>
        <v>0</v>
      </c>
      <c r="H50" s="1">
        <f>IF(AND(H19&lt;&gt;"NA", H22&lt;&gt;"NA",H27&lt;&gt;"NA",H30&lt;&gt;"NA",H35&lt;&gt;"NA",H40&lt;&gt;"NA",H47&lt;&gt;"NA"),0,1)</f>
        <v>0</v>
      </c>
      <c r="I50" s="1">
        <f t="shared" si="19"/>
        <v>0</v>
      </c>
      <c r="J50" s="1">
        <f t="shared" si="19"/>
        <v>0</v>
      </c>
      <c r="K50" s="1">
        <f t="shared" si="19"/>
        <v>0</v>
      </c>
      <c r="L50" s="1">
        <f t="shared" si="19"/>
        <v>0</v>
      </c>
      <c r="M50" s="1">
        <f t="shared" si="19"/>
        <v>0</v>
      </c>
      <c r="N50" s="1">
        <f t="shared" si="19"/>
        <v>1</v>
      </c>
      <c r="O50" s="1">
        <f t="shared" si="19"/>
        <v>0</v>
      </c>
      <c r="P50" s="1">
        <f t="shared" ref="P50:Z50" si="20">IF(AND(P19&lt;&gt;"NA", P22&lt;&gt;"NA",P27&lt;&gt;"NA",P30&lt;&gt;"NA",P35&lt;&gt;"NA",P40&lt;&gt;"NA",P47&lt;&gt;"NA"),0,1)</f>
        <v>0</v>
      </c>
      <c r="Q50" s="1">
        <f t="shared" si="20"/>
        <v>0</v>
      </c>
      <c r="R50" s="1">
        <f t="shared" si="20"/>
        <v>0</v>
      </c>
      <c r="S50" s="1">
        <f t="shared" si="20"/>
        <v>0</v>
      </c>
      <c r="T50" s="1">
        <f t="shared" si="20"/>
        <v>0</v>
      </c>
      <c r="U50" s="1">
        <f t="shared" si="20"/>
        <v>0</v>
      </c>
      <c r="V50" s="1">
        <f t="shared" si="20"/>
        <v>0</v>
      </c>
      <c r="W50" s="1">
        <f t="shared" si="20"/>
        <v>0</v>
      </c>
      <c r="X50" s="1">
        <f t="shared" si="20"/>
        <v>0</v>
      </c>
      <c r="Y50" s="1">
        <f t="shared" si="20"/>
        <v>0</v>
      </c>
      <c r="Z50" s="1">
        <f t="shared" si="20"/>
        <v>0</v>
      </c>
      <c r="AI50" s="1"/>
    </row>
    <row r="51" spans="1:35" s="112" customFormat="1">
      <c r="D51" s="1"/>
      <c r="E51" s="1"/>
      <c r="F51" s="479"/>
      <c r="G51" s="479"/>
      <c r="H51" s="479"/>
      <c r="I51" s="479"/>
      <c r="J51" s="479"/>
      <c r="K51" s="479"/>
      <c r="L51" s="479"/>
      <c r="M51" s="479"/>
      <c r="N51" s="479"/>
      <c r="O51" s="479"/>
      <c r="P51" s="479"/>
      <c r="Q51" s="479"/>
      <c r="R51" s="479"/>
      <c r="S51" s="479"/>
      <c r="T51" s="479"/>
      <c r="U51" s="479"/>
      <c r="V51" s="479"/>
      <c r="W51" s="479"/>
      <c r="X51" s="479"/>
      <c r="Y51" s="479"/>
      <c r="Z51" s="479"/>
      <c r="AA51" s="479"/>
      <c r="AB51" s="479"/>
      <c r="AC51" s="479"/>
      <c r="AD51" s="479"/>
      <c r="AE51" s="479"/>
      <c r="AF51" s="479"/>
      <c r="AG51" s="479"/>
      <c r="AI51" s="1"/>
    </row>
    <row r="52" spans="1:35" s="112" customFormat="1">
      <c r="D52" s="1"/>
      <c r="E52" s="1"/>
      <c r="F52" s="479"/>
      <c r="G52" s="479"/>
      <c r="H52" s="479"/>
      <c r="I52" s="479"/>
      <c r="J52" s="479"/>
      <c r="K52" s="479"/>
      <c r="L52" s="479"/>
      <c r="M52" s="479"/>
      <c r="N52" s="479"/>
      <c r="O52" s="479"/>
      <c r="P52" s="479"/>
      <c r="Q52" s="479"/>
      <c r="R52" s="479"/>
      <c r="S52" s="479"/>
      <c r="T52" s="479"/>
      <c r="U52" s="479">
        <f>('Data (Calculations)'!O47)</f>
        <v>0.68600000000000005</v>
      </c>
      <c r="V52" s="479"/>
      <c r="W52" s="479"/>
      <c r="X52" s="479"/>
      <c r="Y52" s="479"/>
      <c r="Z52" s="479"/>
      <c r="AA52" s="479"/>
      <c r="AB52" s="479"/>
      <c r="AC52" s="479"/>
      <c r="AD52" s="479"/>
      <c r="AE52" s="479"/>
      <c r="AF52" s="479"/>
      <c r="AG52" s="479"/>
      <c r="AI52" s="1"/>
    </row>
    <row r="53" spans="1:35" s="112" customFormat="1">
      <c r="F53" s="479"/>
      <c r="G53" s="479"/>
      <c r="H53" s="479"/>
      <c r="I53" s="479"/>
      <c r="J53" s="479"/>
      <c r="K53" s="479"/>
      <c r="L53" s="479"/>
      <c r="M53" s="479"/>
      <c r="N53" s="479"/>
      <c r="O53" s="479"/>
      <c r="P53" s="479"/>
      <c r="Q53" s="479"/>
      <c r="R53" s="479"/>
      <c r="S53" s="479"/>
      <c r="T53" s="479"/>
      <c r="U53" s="479"/>
      <c r="V53" s="479"/>
      <c r="W53" s="479"/>
      <c r="X53" s="479"/>
      <c r="Y53" s="479"/>
      <c r="Z53" s="479"/>
      <c r="AA53" s="479"/>
      <c r="AB53" s="479"/>
      <c r="AC53" s="479"/>
      <c r="AD53" s="479"/>
      <c r="AE53" s="479"/>
      <c r="AF53" s="479"/>
      <c r="AG53" s="479"/>
      <c r="AI53" s="1"/>
    </row>
    <row r="54" spans="1:35" s="112" customFormat="1">
      <c r="AI54" s="1"/>
    </row>
    <row r="55" spans="1:35" s="112" customFormat="1">
      <c r="AI55" s="1"/>
    </row>
    <row r="56" spans="1:35" s="112" customFormat="1" ht="16" customHeight="1">
      <c r="AI56" s="1"/>
    </row>
    <row r="57" spans="1:35" s="112" customFormat="1" ht="43" customHeight="1">
      <c r="AI57" s="1"/>
    </row>
    <row r="59" spans="1:35" ht="164" customHeight="1"/>
    <row r="60" spans="1:35">
      <c r="A60" s="96"/>
    </row>
    <row r="61" spans="1:35" ht="28" customHeight="1"/>
    <row r="62" spans="1:35" ht="25" customHeight="1"/>
    <row r="63" spans="1:35" ht="43" customHeight="1"/>
    <row r="64" spans="1:35" ht="18" customHeight="1"/>
    <row r="66" spans="2:34" ht="25" customHeight="1">
      <c r="B66" s="112"/>
      <c r="C66" s="112"/>
      <c r="AH66" s="112"/>
    </row>
    <row r="67" spans="2:34">
      <c r="B67" s="112"/>
      <c r="C67" s="112"/>
      <c r="AH67" s="112"/>
    </row>
    <row r="68" spans="2:34">
      <c r="B68" s="112"/>
      <c r="C68" s="112"/>
      <c r="D68" s="800" t="s">
        <v>197</v>
      </c>
      <c r="E68" s="800"/>
      <c r="F68" s="800"/>
      <c r="G68" s="800"/>
      <c r="H68" s="112"/>
      <c r="I68" s="112"/>
      <c r="J68" s="112"/>
      <c r="K68" s="112"/>
      <c r="L68" s="112"/>
      <c r="M68" s="112"/>
      <c r="N68" s="112"/>
      <c r="O68" s="112"/>
      <c r="P68" s="112"/>
      <c r="Q68" s="112"/>
      <c r="R68" s="112"/>
      <c r="S68" s="112"/>
      <c r="T68" s="112"/>
      <c r="U68" s="112"/>
      <c r="V68" s="112"/>
      <c r="W68" s="112"/>
      <c r="X68" s="112"/>
      <c r="Y68" s="112"/>
      <c r="Z68" s="112"/>
      <c r="AA68" s="112"/>
      <c r="AB68" s="112"/>
      <c r="AC68" s="112"/>
      <c r="AD68" s="112"/>
      <c r="AE68" s="112"/>
      <c r="AF68" s="112"/>
      <c r="AG68" s="112"/>
      <c r="AH68" s="112"/>
    </row>
    <row r="69" spans="2:34">
      <c r="B69" s="112"/>
      <c r="C69" s="112"/>
      <c r="D69" s="800" t="s">
        <v>242</v>
      </c>
      <c r="E69" s="800"/>
      <c r="F69" s="800"/>
      <c r="G69" s="800"/>
      <c r="H69" s="112"/>
      <c r="I69" s="112"/>
      <c r="J69" s="112"/>
      <c r="K69" s="112"/>
      <c r="L69" s="112"/>
      <c r="M69" s="112"/>
      <c r="N69" s="112"/>
      <c r="O69" s="112"/>
      <c r="P69" s="112"/>
      <c r="Q69" s="112"/>
      <c r="R69" s="112"/>
      <c r="S69" s="112"/>
      <c r="T69" s="112"/>
      <c r="U69" s="112"/>
      <c r="V69" s="112"/>
      <c r="W69" s="112"/>
      <c r="X69" s="112"/>
      <c r="Y69" s="112"/>
      <c r="Z69" s="112"/>
      <c r="AA69" s="112"/>
      <c r="AB69" s="112"/>
      <c r="AC69" s="112"/>
      <c r="AD69" s="112"/>
      <c r="AE69" s="112"/>
      <c r="AF69" s="112"/>
      <c r="AG69" s="112"/>
      <c r="AH69" s="112"/>
    </row>
    <row r="70" spans="2:34">
      <c r="B70" s="112"/>
      <c r="C70" s="112"/>
      <c r="D70" s="799" t="s">
        <v>238</v>
      </c>
      <c r="E70" s="799"/>
      <c r="F70" s="799"/>
      <c r="G70" s="799"/>
      <c r="H70" s="112"/>
      <c r="I70" s="112"/>
      <c r="J70" s="112"/>
      <c r="K70" s="112"/>
      <c r="L70" s="112"/>
      <c r="M70" s="112"/>
      <c r="N70" s="112"/>
      <c r="O70" s="112"/>
      <c r="P70" s="112"/>
      <c r="Q70" s="112"/>
      <c r="R70" s="112"/>
      <c r="S70" s="112"/>
      <c r="T70" s="112"/>
      <c r="U70" s="112"/>
      <c r="V70" s="112"/>
      <c r="W70" s="112"/>
      <c r="X70" s="112"/>
      <c r="Y70" s="112"/>
      <c r="Z70" s="112"/>
      <c r="AA70" s="112"/>
      <c r="AB70" s="112"/>
      <c r="AC70" s="112"/>
      <c r="AD70" s="112"/>
      <c r="AE70" s="112"/>
      <c r="AF70" s="112"/>
      <c r="AG70" s="112"/>
      <c r="AH70" s="112"/>
    </row>
    <row r="71" spans="2:34" ht="19" customHeight="1">
      <c r="B71" s="112"/>
      <c r="C71" s="112"/>
      <c r="D71" s="112"/>
      <c r="E71" s="112"/>
      <c r="F71" s="112"/>
      <c r="G71" s="112"/>
      <c r="H71" s="112"/>
      <c r="I71" s="112"/>
      <c r="J71" s="112"/>
      <c r="K71" s="112"/>
      <c r="L71" s="112"/>
      <c r="M71" s="112"/>
      <c r="N71" s="112"/>
      <c r="O71" s="112"/>
      <c r="P71" s="112"/>
      <c r="Q71" s="112"/>
      <c r="R71" s="112"/>
      <c r="S71" s="112"/>
      <c r="T71" s="112"/>
      <c r="U71" s="112"/>
      <c r="V71" s="112"/>
      <c r="W71" s="112"/>
      <c r="X71" s="112"/>
      <c r="Y71" s="112"/>
      <c r="Z71" s="112"/>
      <c r="AA71" s="112"/>
      <c r="AB71" s="112"/>
      <c r="AC71" s="112"/>
      <c r="AD71" s="112"/>
      <c r="AE71" s="112"/>
      <c r="AF71" s="112"/>
      <c r="AG71" s="112"/>
      <c r="AH71" s="112"/>
    </row>
    <row r="72" spans="2:34" ht="15" customHeight="1">
      <c r="B72" s="7" t="s">
        <v>18</v>
      </c>
      <c r="G72" s="66"/>
      <c r="H72" s="112"/>
      <c r="I72" s="112"/>
      <c r="J72" s="112"/>
      <c r="K72" s="112"/>
      <c r="L72" s="112"/>
      <c r="M72" s="112"/>
      <c r="N72" s="112"/>
      <c r="O72" s="112"/>
      <c r="P72" s="112"/>
      <c r="Q72" s="112"/>
      <c r="R72" s="112"/>
      <c r="S72" s="112"/>
      <c r="T72" s="112"/>
      <c r="U72" s="112"/>
      <c r="V72" s="112"/>
      <c r="W72" s="112"/>
      <c r="X72" s="112"/>
      <c r="Y72" s="112"/>
      <c r="Z72" s="112"/>
      <c r="AA72" s="112"/>
      <c r="AB72" s="112"/>
      <c r="AC72" s="112"/>
      <c r="AD72" s="112"/>
      <c r="AE72" s="112"/>
      <c r="AF72" s="112"/>
      <c r="AG72" s="112"/>
      <c r="AH72" s="112"/>
    </row>
    <row r="73" spans="2:34" ht="19" customHeight="1">
      <c r="B73" s="13"/>
      <c r="C73" s="3"/>
      <c r="D73" s="3"/>
      <c r="E73" s="3"/>
      <c r="F73" s="3"/>
      <c r="G73" s="256"/>
    </row>
    <row r="74" spans="2:34" ht="17" customHeight="1">
      <c r="B74" s="14"/>
      <c r="C74" s="96"/>
      <c r="D74" s="96"/>
      <c r="E74" s="96"/>
      <c r="F74" s="96"/>
      <c r="G74" s="71"/>
    </row>
    <row r="75" spans="2:34" ht="27">
      <c r="B75" s="4"/>
      <c r="C75" s="96"/>
      <c r="D75" s="15" t="s">
        <v>112</v>
      </c>
      <c r="E75" s="96"/>
      <c r="F75" s="96"/>
      <c r="G75" s="71"/>
    </row>
    <row r="76" spans="2:34" ht="17" customHeight="1">
      <c r="B76" s="4"/>
      <c r="C76" s="96"/>
      <c r="D76" s="96"/>
      <c r="E76" s="96"/>
      <c r="F76" s="96"/>
      <c r="G76" s="71"/>
    </row>
    <row r="77" spans="2:34" ht="40">
      <c r="B77" s="4"/>
      <c r="C77" s="96"/>
      <c r="D77" s="10" t="s">
        <v>3</v>
      </c>
      <c r="E77" s="11" t="s">
        <v>5</v>
      </c>
      <c r="F77" s="246" t="s">
        <v>50</v>
      </c>
      <c r="G77" s="71"/>
    </row>
    <row r="78" spans="2:34" ht="17">
      <c r="B78" s="4"/>
      <c r="C78" s="96"/>
      <c r="D78" s="3" t="s">
        <v>19</v>
      </c>
      <c r="E78" s="166">
        <f>1-(E79+E80+E81+E82)</f>
        <v>0.99971299999999996</v>
      </c>
      <c r="F78" s="244" t="s">
        <v>54</v>
      </c>
      <c r="G78" s="71"/>
    </row>
    <row r="79" spans="2:34" ht="17" customHeight="1">
      <c r="B79" s="4"/>
      <c r="C79" s="96"/>
      <c r="D79" s="96" t="s">
        <v>20</v>
      </c>
      <c r="E79" s="259">
        <v>2.8699999999999998E-4</v>
      </c>
      <c r="F79" s="247" t="e">
        <f>Citations!#REF!</f>
        <v>#REF!</v>
      </c>
      <c r="G79" s="71"/>
    </row>
    <row r="80" spans="2:34" ht="17">
      <c r="B80" s="4"/>
      <c r="C80" s="96"/>
      <c r="D80" s="96" t="s">
        <v>21</v>
      </c>
      <c r="E80" s="259">
        <v>0</v>
      </c>
      <c r="F80" s="245" t="s">
        <v>54</v>
      </c>
      <c r="G80" s="71"/>
    </row>
    <row r="81" spans="1:27" ht="17">
      <c r="B81" s="4"/>
      <c r="C81" s="96"/>
      <c r="D81" s="96" t="s">
        <v>32</v>
      </c>
      <c r="E81" s="259">
        <v>0</v>
      </c>
      <c r="F81" s="245" t="s">
        <v>54</v>
      </c>
      <c r="G81" s="71"/>
    </row>
    <row r="82" spans="1:27" ht="17">
      <c r="B82" s="4"/>
      <c r="C82" s="96"/>
      <c r="D82" s="6" t="s">
        <v>22</v>
      </c>
      <c r="E82" s="260">
        <v>0</v>
      </c>
      <c r="F82" s="248" t="s">
        <v>54</v>
      </c>
      <c r="G82" s="71"/>
      <c r="I82" s="66"/>
      <c r="J82" s="66"/>
      <c r="K82" s="112"/>
      <c r="L82" s="112"/>
      <c r="M82" s="112"/>
      <c r="N82" s="112"/>
      <c r="O82" s="112"/>
      <c r="P82" s="112"/>
      <c r="Q82" s="112"/>
      <c r="R82" s="112"/>
      <c r="S82" s="112"/>
      <c r="T82" s="112"/>
      <c r="U82" s="112"/>
      <c r="V82" s="112"/>
      <c r="W82" s="112"/>
      <c r="X82" s="112"/>
      <c r="Y82" s="112"/>
      <c r="Z82" s="112"/>
      <c r="AA82" s="112"/>
    </row>
    <row r="83" spans="1:27" ht="19">
      <c r="B83" s="4"/>
      <c r="C83" s="96"/>
      <c r="D83" s="96"/>
      <c r="E83" s="96"/>
      <c r="F83" s="245"/>
      <c r="G83" s="71"/>
      <c r="I83" s="66"/>
      <c r="J83" s="66"/>
      <c r="K83" s="112"/>
      <c r="L83" s="255"/>
      <c r="M83" s="112"/>
      <c r="N83" s="112"/>
      <c r="O83" s="112"/>
      <c r="P83" s="112"/>
      <c r="Q83" s="112"/>
      <c r="R83" s="112"/>
      <c r="S83" s="112"/>
      <c r="T83" s="112"/>
      <c r="U83" s="112"/>
      <c r="V83" s="112"/>
      <c r="W83" s="112"/>
      <c r="X83" s="112"/>
      <c r="Y83" s="112"/>
      <c r="Z83" s="112"/>
      <c r="AA83" s="112"/>
    </row>
    <row r="84" spans="1:27" ht="24" customHeight="1">
      <c r="B84" s="4"/>
      <c r="C84" s="96"/>
      <c r="D84" s="96"/>
      <c r="E84" s="96"/>
      <c r="F84" s="245"/>
      <c r="G84" s="71"/>
    </row>
    <row r="85" spans="1:27" ht="27">
      <c r="B85" s="14"/>
      <c r="C85" s="96"/>
      <c r="D85" s="15" t="s">
        <v>111</v>
      </c>
      <c r="E85" s="96"/>
      <c r="F85" s="245"/>
      <c r="G85" s="71"/>
    </row>
    <row r="86" spans="1:27" ht="26">
      <c r="B86" s="14"/>
      <c r="C86" s="96"/>
      <c r="D86" s="96"/>
      <c r="E86" s="96"/>
      <c r="F86" s="245"/>
      <c r="G86" s="71"/>
    </row>
    <row r="87" spans="1:27" ht="40">
      <c r="A87" s="96"/>
      <c r="B87" s="4"/>
      <c r="C87" s="96"/>
      <c r="D87" s="10" t="s">
        <v>3</v>
      </c>
      <c r="E87" s="11" t="s">
        <v>5</v>
      </c>
      <c r="F87" s="246" t="s">
        <v>50</v>
      </c>
      <c r="G87" s="71"/>
    </row>
    <row r="88" spans="1:27" ht="34">
      <c r="A88" s="96"/>
      <c r="B88" s="4"/>
      <c r="C88" s="96"/>
      <c r="D88" s="3" t="s">
        <v>19</v>
      </c>
      <c r="E88" s="166">
        <f>1-SUM(E89:E92)</f>
        <v>0.91810000000000003</v>
      </c>
      <c r="F88" s="250" t="str">
        <f>Citations!$B$11&amp;" "&amp;Citations!$B$8&amp;" "&amp;Citations!$B$35</f>
        <v>[2] [1] [12]</v>
      </c>
      <c r="G88" s="71"/>
    </row>
    <row r="89" spans="1:27" ht="34">
      <c r="A89" s="96"/>
      <c r="B89" s="4"/>
      <c r="C89" s="96"/>
      <c r="D89" s="96" t="s">
        <v>20</v>
      </c>
      <c r="E89" s="167">
        <f>(1-0.82)*E99</f>
        <v>3.7800000000000007E-2</v>
      </c>
      <c r="F89" s="247" t="str">
        <f>Citations!$B$11&amp;" "&amp;Citations!$B$8&amp;" "&amp;Citations!$B$35</f>
        <v>[2] [1] [12]</v>
      </c>
      <c r="G89" s="71"/>
    </row>
    <row r="90" spans="1:27" ht="34">
      <c r="A90" s="96"/>
      <c r="B90" s="4"/>
      <c r="C90" s="96"/>
      <c r="D90" s="96" t="s">
        <v>21</v>
      </c>
      <c r="E90" s="167">
        <f>(1-0.8)*E100</f>
        <v>1.7999999999999995E-2</v>
      </c>
      <c r="F90" s="247" t="str">
        <f>Citations!$B$11&amp;" "&amp;Citations!$B$8&amp;" "&amp;Citations!$B$35</f>
        <v>[2] [1] [12]</v>
      </c>
      <c r="G90" s="71"/>
    </row>
    <row r="91" spans="1:27" ht="34">
      <c r="A91" s="96"/>
      <c r="B91" s="4"/>
      <c r="C91" s="96"/>
      <c r="D91" s="96" t="s">
        <v>32</v>
      </c>
      <c r="E91" s="167">
        <f>(1-0.64)*E101</f>
        <v>2.1599999999999998E-2</v>
      </c>
      <c r="F91" s="247" t="str">
        <f>Citations!$B$11&amp;" "&amp;Citations!$B$8&amp;" "&amp;Citations!$B$35</f>
        <v>[2] [1] [12]</v>
      </c>
      <c r="G91" s="71"/>
    </row>
    <row r="92" spans="1:27" ht="19" customHeight="1">
      <c r="A92" s="96"/>
      <c r="B92" s="4"/>
      <c r="C92" s="96"/>
      <c r="D92" s="6" t="s">
        <v>22</v>
      </c>
      <c r="E92" s="168">
        <f>(1-0.97)*E102</f>
        <v>4.500000000000004E-3</v>
      </c>
      <c r="F92" s="249" t="str">
        <f>Citations!$B$11&amp;" "&amp;Citations!$B$8&amp;" "&amp;Citations!$B$35</f>
        <v>[2] [1] [12]</v>
      </c>
      <c r="G92" s="71"/>
    </row>
    <row r="93" spans="1:27" ht="28" customHeight="1">
      <c r="A93" s="96"/>
      <c r="B93" s="4"/>
      <c r="C93" s="96"/>
      <c r="D93" s="96"/>
      <c r="E93" s="96"/>
      <c r="F93" s="245"/>
      <c r="G93" s="71"/>
    </row>
    <row r="94" spans="1:27" ht="17" customHeight="1">
      <c r="A94" s="96"/>
      <c r="B94" s="4"/>
      <c r="C94" s="96"/>
      <c r="D94" s="96"/>
      <c r="E94" s="96"/>
      <c r="F94" s="245"/>
      <c r="G94" s="71"/>
    </row>
    <row r="95" spans="1:27" ht="19" customHeight="1">
      <c r="A95" s="96"/>
      <c r="B95" s="4"/>
      <c r="C95" s="96"/>
      <c r="D95" s="15" t="s">
        <v>29</v>
      </c>
      <c r="E95" s="167"/>
      <c r="F95" s="245"/>
      <c r="G95" s="71"/>
    </row>
    <row r="96" spans="1:27" ht="30" customHeight="1">
      <c r="A96" s="96"/>
      <c r="B96" s="4"/>
      <c r="C96" s="96"/>
      <c r="D96" s="96"/>
      <c r="E96" s="167"/>
      <c r="F96" s="96"/>
      <c r="G96" s="71"/>
    </row>
    <row r="97" spans="1:27" ht="19" customHeight="1">
      <c r="A97" s="96"/>
      <c r="B97" s="4"/>
      <c r="C97" s="96"/>
      <c r="D97" s="10" t="s">
        <v>3</v>
      </c>
      <c r="E97" s="11" t="s">
        <v>5</v>
      </c>
      <c r="F97" s="246" t="s">
        <v>50</v>
      </c>
      <c r="G97" s="71"/>
    </row>
    <row r="98" spans="1:27" ht="14" customHeight="1">
      <c r="A98" s="96"/>
      <c r="B98" s="4"/>
      <c r="C98" s="96"/>
      <c r="D98" s="3" t="s">
        <v>100</v>
      </c>
      <c r="E98" s="166">
        <v>1</v>
      </c>
      <c r="F98" s="244" t="s">
        <v>98</v>
      </c>
      <c r="G98" s="71"/>
      <c r="I98" s="66"/>
      <c r="J98" s="66"/>
      <c r="K98" s="341"/>
      <c r="L98" s="112"/>
      <c r="M98" s="112"/>
      <c r="N98" s="112"/>
      <c r="O98" s="112"/>
      <c r="P98" s="112"/>
      <c r="Q98" s="112"/>
      <c r="R98" s="112"/>
      <c r="S98" s="112"/>
      <c r="T98" s="112"/>
      <c r="U98" s="112"/>
      <c r="V98" s="112"/>
      <c r="W98" s="112"/>
      <c r="X98" s="112"/>
      <c r="Y98" s="112"/>
      <c r="Z98" s="112"/>
      <c r="AA98" s="112"/>
    </row>
    <row r="99" spans="1:27" ht="17" customHeight="1">
      <c r="A99" s="96"/>
      <c r="B99" s="4"/>
      <c r="C99" s="96"/>
      <c r="D99" s="96" t="s">
        <v>20</v>
      </c>
      <c r="E99" s="167">
        <v>0.21</v>
      </c>
      <c r="F99" s="245" t="str">
        <f>Citations!$B$8</f>
        <v>[1]</v>
      </c>
      <c r="G99" s="71"/>
      <c r="I99" s="66"/>
      <c r="J99" s="66"/>
      <c r="K99" s="341"/>
      <c r="L99" s="342"/>
      <c r="M99" s="343"/>
      <c r="N99" s="344"/>
      <c r="O99" s="344"/>
      <c r="P99" s="344"/>
      <c r="Q99" s="344"/>
      <c r="R99" s="344"/>
      <c r="S99" s="344"/>
      <c r="T99" s="344"/>
      <c r="U99" s="344"/>
      <c r="V99" s="344"/>
      <c r="W99" s="344"/>
      <c r="X99" s="112"/>
      <c r="Y99" s="112"/>
      <c r="Z99" s="112"/>
      <c r="AA99" s="112"/>
    </row>
    <row r="100" spans="1:27" ht="28" customHeight="1">
      <c r="A100" s="96"/>
      <c r="B100" s="4"/>
      <c r="C100" s="96"/>
      <c r="D100" s="96" t="s">
        <v>21</v>
      </c>
      <c r="E100" s="167">
        <v>0.09</v>
      </c>
      <c r="F100" s="245" t="str">
        <f>Citations!$B$8</f>
        <v>[1]</v>
      </c>
      <c r="G100" s="71"/>
      <c r="I100" s="66"/>
      <c r="J100" s="66"/>
      <c r="K100" s="341"/>
      <c r="L100" s="255"/>
      <c r="M100" s="112"/>
      <c r="N100" s="112"/>
      <c r="O100" s="112"/>
      <c r="P100" s="112"/>
      <c r="Q100" s="112"/>
      <c r="R100" s="112"/>
      <c r="S100" s="112"/>
      <c r="T100" s="112"/>
      <c r="U100" s="112"/>
      <c r="V100" s="112"/>
      <c r="W100" s="112"/>
      <c r="X100" s="112"/>
      <c r="Y100" s="112"/>
      <c r="Z100" s="112"/>
      <c r="AA100" s="112"/>
    </row>
    <row r="101" spans="1:27" ht="17" customHeight="1">
      <c r="A101" s="96"/>
      <c r="B101" s="4"/>
      <c r="C101" s="96"/>
      <c r="D101" s="96" t="s">
        <v>32</v>
      </c>
      <c r="E101" s="167">
        <v>0.06</v>
      </c>
      <c r="F101" s="245" t="str">
        <f>Citations!$B$8</f>
        <v>[1]</v>
      </c>
      <c r="G101" s="71"/>
      <c r="I101" s="66"/>
      <c r="J101" s="66"/>
      <c r="K101" s="341"/>
      <c r="L101" s="305"/>
      <c r="M101" s="305"/>
      <c r="N101" s="305"/>
      <c r="O101" s="305"/>
      <c r="P101" s="305"/>
      <c r="Q101" s="305"/>
      <c r="R101" s="305"/>
      <c r="S101" s="305"/>
      <c r="T101" s="305"/>
      <c r="U101" s="305"/>
      <c r="V101" s="305"/>
      <c r="W101" s="305"/>
      <c r="X101" s="305"/>
      <c r="Y101" s="305"/>
      <c r="Z101" s="305"/>
      <c r="AA101" s="112"/>
    </row>
    <row r="102" spans="1:27" ht="16" customHeight="1">
      <c r="A102" s="96"/>
      <c r="B102" s="4"/>
      <c r="C102" s="96"/>
      <c r="D102" s="96" t="s">
        <v>101</v>
      </c>
      <c r="E102" s="307">
        <v>0.15</v>
      </c>
      <c r="F102" s="245" t="s">
        <v>52</v>
      </c>
      <c r="G102" s="71"/>
      <c r="H102" s="66"/>
      <c r="I102" s="66"/>
      <c r="J102" s="66"/>
      <c r="K102" s="341"/>
      <c r="L102" s="112"/>
      <c r="M102" s="112"/>
      <c r="N102" s="112"/>
      <c r="O102" s="112"/>
      <c r="P102" s="112"/>
      <c r="Q102" s="112"/>
      <c r="R102" s="112"/>
      <c r="S102" s="112"/>
      <c r="T102" s="112"/>
      <c r="U102" s="112"/>
      <c r="V102" s="112"/>
      <c r="W102" s="112"/>
      <c r="X102" s="112"/>
      <c r="Y102" s="112"/>
      <c r="Z102" s="112"/>
      <c r="AA102" s="112"/>
    </row>
    <row r="103" spans="1:27">
      <c r="A103" s="96"/>
      <c r="B103" s="4"/>
      <c r="C103" s="96"/>
      <c r="D103" s="96"/>
      <c r="E103" s="167"/>
      <c r="F103" s="245"/>
      <c r="G103" s="71"/>
      <c r="H103" s="66"/>
      <c r="I103" s="66"/>
      <c r="J103" s="66"/>
      <c r="K103" s="112"/>
      <c r="L103" s="112"/>
      <c r="M103" s="112"/>
      <c r="N103" s="112"/>
      <c r="O103" s="112"/>
      <c r="P103" s="112"/>
      <c r="Q103" s="112"/>
      <c r="R103" s="112"/>
      <c r="S103" s="112"/>
      <c r="T103" s="112"/>
      <c r="U103" s="112"/>
      <c r="V103" s="112"/>
      <c r="W103" s="112"/>
      <c r="X103" s="112"/>
      <c r="Y103" s="112"/>
      <c r="Z103" s="112"/>
      <c r="AA103" s="112"/>
    </row>
    <row r="104" spans="1:27">
      <c r="A104" s="96"/>
      <c r="B104" s="4"/>
      <c r="C104" s="96"/>
      <c r="D104" s="96"/>
      <c r="E104" s="96"/>
      <c r="F104" s="245"/>
      <c r="G104" s="71"/>
      <c r="H104" s="66"/>
      <c r="I104" s="66"/>
      <c r="K104" s="112"/>
      <c r="L104" s="112"/>
      <c r="M104" s="345"/>
      <c r="N104" s="345"/>
      <c r="O104" s="345"/>
      <c r="P104" s="345"/>
      <c r="Q104" s="345"/>
      <c r="R104" s="345"/>
      <c r="S104" s="345"/>
      <c r="T104" s="345"/>
      <c r="U104" s="345"/>
      <c r="V104" s="345"/>
      <c r="W104" s="345"/>
      <c r="X104" s="345"/>
      <c r="Y104" s="345"/>
      <c r="Z104" s="345"/>
      <c r="AA104" s="112"/>
    </row>
    <row r="105" spans="1:27">
      <c r="A105" s="96"/>
      <c r="B105" s="4"/>
      <c r="C105" s="96"/>
      <c r="D105" s="96"/>
      <c r="E105" s="167"/>
      <c r="F105" s="245"/>
      <c r="G105" s="71"/>
      <c r="H105" s="66"/>
      <c r="I105" s="66"/>
      <c r="K105" s="112"/>
      <c r="L105" s="112"/>
      <c r="M105" s="306"/>
      <c r="N105" s="306"/>
      <c r="O105" s="306"/>
      <c r="P105" s="306"/>
      <c r="Q105" s="306"/>
      <c r="R105" s="306"/>
      <c r="S105" s="306"/>
      <c r="T105" s="306"/>
      <c r="U105" s="306"/>
      <c r="V105" s="306"/>
      <c r="W105" s="306"/>
      <c r="X105" s="306"/>
      <c r="Y105" s="306"/>
      <c r="Z105" s="306"/>
      <c r="AA105" s="112"/>
    </row>
    <row r="106" spans="1:27" ht="26">
      <c r="A106" s="96"/>
      <c r="B106" s="5"/>
      <c r="C106" s="6"/>
      <c r="D106" s="309"/>
      <c r="E106" s="168"/>
      <c r="F106" s="248"/>
      <c r="G106" s="2"/>
      <c r="H106" s="66"/>
      <c r="I106" s="66"/>
      <c r="K106" s="354"/>
      <c r="L106" s="112"/>
      <c r="M106" s="306"/>
      <c r="N106" s="306"/>
      <c r="O106" s="306"/>
      <c r="P106" s="306"/>
      <c r="Q106" s="306"/>
      <c r="R106" s="306"/>
      <c r="S106" s="306"/>
      <c r="T106" s="306"/>
      <c r="U106" s="306"/>
      <c r="V106" s="306"/>
      <c r="W106" s="306"/>
      <c r="X106" s="306"/>
      <c r="Y106" s="306"/>
      <c r="Z106" s="306"/>
      <c r="AA106" s="112"/>
    </row>
    <row r="107" spans="1:27">
      <c r="A107" s="96"/>
      <c r="H107" s="66"/>
      <c r="I107" s="66"/>
      <c r="K107" s="112"/>
      <c r="L107" s="112"/>
      <c r="M107" s="306"/>
      <c r="N107" s="306"/>
      <c r="O107" s="306"/>
      <c r="P107" s="306"/>
      <c r="Q107" s="306"/>
      <c r="R107" s="306"/>
      <c r="S107" s="306"/>
      <c r="T107" s="306"/>
      <c r="U107" s="306"/>
      <c r="V107" s="306"/>
      <c r="W107" s="306"/>
      <c r="X107" s="306"/>
      <c r="Y107" s="306"/>
      <c r="Z107" s="306"/>
      <c r="AA107" s="112"/>
    </row>
    <row r="108" spans="1:27">
      <c r="A108" s="96"/>
      <c r="H108" s="66"/>
      <c r="I108" s="66"/>
      <c r="K108" s="112"/>
      <c r="L108" s="112"/>
      <c r="M108" s="306"/>
      <c r="N108" s="306"/>
      <c r="O108" s="306"/>
      <c r="P108" s="306"/>
      <c r="Q108" s="306"/>
      <c r="R108" s="306"/>
      <c r="S108" s="306"/>
      <c r="T108" s="306"/>
      <c r="U108" s="306"/>
      <c r="V108" s="306"/>
      <c r="W108" s="306"/>
      <c r="X108" s="306"/>
      <c r="Y108" s="306"/>
      <c r="Z108" s="306"/>
      <c r="AA108" s="112"/>
    </row>
    <row r="109" spans="1:27">
      <c r="A109" s="96"/>
      <c r="H109" s="66"/>
      <c r="I109" s="66"/>
      <c r="K109" s="112"/>
      <c r="L109" s="112"/>
      <c r="M109" s="112"/>
      <c r="N109" s="112"/>
      <c r="O109" s="112"/>
      <c r="P109" s="112"/>
      <c r="Q109" s="112"/>
      <c r="R109" s="112"/>
      <c r="S109" s="112"/>
      <c r="T109" s="112"/>
      <c r="U109" s="112"/>
      <c r="V109" s="112"/>
      <c r="W109" s="344"/>
      <c r="X109" s="112"/>
      <c r="Y109" s="112"/>
      <c r="Z109" s="112"/>
      <c r="AA109" s="112"/>
    </row>
    <row r="110" spans="1:27">
      <c r="A110" s="96"/>
      <c r="H110" s="66"/>
      <c r="I110" s="66"/>
      <c r="K110" s="96"/>
      <c r="L110" s="96"/>
      <c r="M110" s="96"/>
      <c r="N110" s="96"/>
      <c r="O110" s="96"/>
      <c r="P110" s="96"/>
      <c r="Q110" s="96"/>
      <c r="R110" s="96"/>
      <c r="S110" s="96"/>
      <c r="T110" s="96"/>
      <c r="U110" s="96"/>
      <c r="V110" s="96"/>
      <c r="Y110" s="66"/>
    </row>
    <row r="111" spans="1:27">
      <c r="A111" s="96"/>
      <c r="H111" s="66"/>
      <c r="I111" s="66"/>
      <c r="J111" s="66"/>
      <c r="K111" s="96"/>
      <c r="L111" s="96"/>
      <c r="M111" s="96"/>
      <c r="N111" s="96"/>
      <c r="O111" s="96"/>
      <c r="P111" s="96"/>
      <c r="Q111" s="96"/>
      <c r="R111" s="96"/>
      <c r="S111" s="96"/>
      <c r="T111" s="96"/>
      <c r="U111" s="96"/>
      <c r="V111" s="68"/>
      <c r="Y111" s="66"/>
    </row>
    <row r="112" spans="1:27" ht="19">
      <c r="A112" s="96"/>
      <c r="H112" s="66"/>
      <c r="I112" s="66"/>
      <c r="J112" s="66"/>
      <c r="K112" s="167"/>
      <c r="L112" s="70"/>
      <c r="M112" s="66"/>
      <c r="N112" s="66"/>
      <c r="O112" s="66"/>
      <c r="P112" s="66"/>
      <c r="Q112" s="66"/>
      <c r="R112" s="66"/>
      <c r="S112" s="66"/>
      <c r="T112" s="66"/>
      <c r="U112" s="66"/>
      <c r="V112" s="68"/>
    </row>
    <row r="113" spans="1:22">
      <c r="A113" s="96"/>
      <c r="H113" s="66"/>
      <c r="I113" s="66"/>
      <c r="J113" s="66"/>
      <c r="K113" s="66"/>
      <c r="L113" s="69"/>
      <c r="M113" s="68"/>
      <c r="N113" s="335"/>
      <c r="O113" s="68"/>
      <c r="P113" s="68"/>
      <c r="Q113" s="68"/>
      <c r="R113" s="68"/>
      <c r="S113" s="68"/>
      <c r="T113" s="68"/>
      <c r="U113" s="68"/>
      <c r="V113" s="66"/>
    </row>
    <row r="114" spans="1:22">
      <c r="A114" s="96"/>
      <c r="H114" s="66"/>
      <c r="I114" s="66"/>
    </row>
    <row r="115" spans="1:22">
      <c r="A115" s="96"/>
      <c r="H115" s="66"/>
      <c r="I115" s="66"/>
    </row>
    <row r="116" spans="1:22">
      <c r="A116" s="96"/>
      <c r="H116" s="66"/>
      <c r="I116" s="66"/>
    </row>
    <row r="117" spans="1:22">
      <c r="A117" s="96"/>
      <c r="H117" s="66"/>
    </row>
    <row r="118" spans="1:22">
      <c r="A118" s="96"/>
      <c r="H118" s="66"/>
    </row>
    <row r="119" spans="1:22">
      <c r="A119" s="96"/>
      <c r="H119" s="66"/>
      <c r="J119" s="66"/>
      <c r="K119" s="338"/>
      <c r="L119" s="67"/>
      <c r="M119" s="79"/>
      <c r="N119" s="68"/>
      <c r="O119" s="68"/>
      <c r="P119" s="68"/>
      <c r="Q119" s="68"/>
      <c r="R119" s="68"/>
      <c r="S119" s="68"/>
      <c r="T119" s="68"/>
      <c r="U119" s="68"/>
      <c r="V119" s="68"/>
    </row>
    <row r="120" spans="1:22">
      <c r="A120" s="96"/>
      <c r="H120" s="66"/>
      <c r="J120" s="66"/>
      <c r="K120" s="66"/>
      <c r="L120" s="340"/>
      <c r="M120" s="79"/>
      <c r="N120" s="68"/>
      <c r="O120" s="68"/>
      <c r="P120" s="68"/>
      <c r="Q120" s="68"/>
      <c r="R120" s="68"/>
      <c r="S120" s="68"/>
      <c r="T120" s="68"/>
      <c r="U120" s="68"/>
      <c r="V120" s="96"/>
    </row>
    <row r="121" spans="1:22">
      <c r="A121" s="96"/>
      <c r="H121" s="66"/>
      <c r="J121" s="66"/>
      <c r="K121" s="334"/>
      <c r="L121" s="337"/>
      <c r="M121" s="334"/>
      <c r="N121" s="335"/>
      <c r="O121" s="335"/>
      <c r="P121" s="335"/>
      <c r="Q121" s="335"/>
      <c r="R121" s="335"/>
      <c r="S121" s="335"/>
      <c r="T121" s="335"/>
      <c r="U121" s="68"/>
      <c r="V121" s="96"/>
    </row>
    <row r="122" spans="1:22">
      <c r="H122" s="66"/>
      <c r="I122" s="66"/>
      <c r="J122" s="66"/>
      <c r="K122" s="336"/>
      <c r="L122" s="336"/>
      <c r="M122" s="336"/>
      <c r="N122" s="336"/>
      <c r="O122" s="336"/>
      <c r="P122" s="336"/>
      <c r="Q122" s="336"/>
      <c r="R122" s="336"/>
      <c r="S122" s="336"/>
      <c r="T122" s="336"/>
      <c r="U122" s="66"/>
      <c r="V122" s="96"/>
    </row>
    <row r="123" spans="1:22">
      <c r="H123" s="66"/>
      <c r="I123" s="66"/>
      <c r="J123" s="66"/>
      <c r="K123" s="66"/>
      <c r="L123" s="69"/>
      <c r="M123" s="68"/>
      <c r="N123" s="68"/>
      <c r="O123" s="68"/>
      <c r="P123" s="68"/>
      <c r="Q123" s="68"/>
      <c r="R123" s="68"/>
      <c r="S123" s="68"/>
      <c r="T123" s="68"/>
      <c r="U123" s="68"/>
      <c r="V123" s="96"/>
    </row>
    <row r="124" spans="1:22">
      <c r="H124" s="66"/>
      <c r="I124" s="66"/>
      <c r="J124" s="66"/>
      <c r="K124" s="66"/>
      <c r="L124" s="69"/>
      <c r="M124" s="96"/>
      <c r="N124" s="96"/>
      <c r="O124" s="96"/>
      <c r="P124" s="96"/>
      <c r="Q124" s="96"/>
      <c r="R124" s="96"/>
      <c r="S124" s="96"/>
      <c r="T124" s="96"/>
      <c r="U124" s="96"/>
      <c r="V124" s="96"/>
    </row>
    <row r="125" spans="1:22">
      <c r="H125" s="66"/>
      <c r="I125" s="66"/>
      <c r="J125" s="66"/>
      <c r="K125" s="66"/>
      <c r="L125" s="339"/>
      <c r="M125" s="339"/>
      <c r="N125" s="339"/>
      <c r="O125" s="339"/>
      <c r="P125" s="339"/>
      <c r="Q125" s="339"/>
      <c r="R125" s="339"/>
      <c r="S125" s="339"/>
      <c r="T125" s="339"/>
      <c r="U125" s="339"/>
      <c r="V125" s="96"/>
    </row>
    <row r="126" spans="1:22">
      <c r="H126" s="66"/>
      <c r="I126" s="66"/>
      <c r="J126" s="66"/>
      <c r="K126" s="66"/>
      <c r="L126" s="67"/>
      <c r="M126" s="67"/>
      <c r="N126" s="67"/>
      <c r="O126" s="67"/>
      <c r="P126" s="67"/>
      <c r="Q126" s="67"/>
      <c r="R126" s="67"/>
      <c r="S126" s="67"/>
      <c r="T126" s="67"/>
      <c r="U126" s="96"/>
      <c r="V126" s="96"/>
    </row>
    <row r="127" spans="1:22">
      <c r="A127" s="112"/>
      <c r="H127" s="66"/>
      <c r="J127" s="66"/>
      <c r="K127" s="66"/>
      <c r="L127" s="67"/>
      <c r="M127" s="96"/>
      <c r="N127" s="96"/>
      <c r="O127" s="96"/>
      <c r="P127" s="96"/>
      <c r="Q127" s="96"/>
      <c r="R127" s="96"/>
      <c r="S127" s="96"/>
      <c r="T127" s="96"/>
      <c r="U127" s="96"/>
      <c r="V127" s="96"/>
    </row>
    <row r="128" spans="1:22" ht="19" customHeight="1">
      <c r="A128" s="112"/>
      <c r="H128" s="66"/>
      <c r="J128" s="66"/>
      <c r="K128" s="66"/>
      <c r="L128" s="339"/>
      <c r="M128" s="339"/>
      <c r="N128" s="339"/>
      <c r="O128" s="339"/>
      <c r="P128" s="339"/>
      <c r="Q128" s="339"/>
      <c r="R128" s="339"/>
      <c r="S128" s="339"/>
      <c r="T128" s="339"/>
      <c r="U128" s="96"/>
      <c r="V128" s="96"/>
    </row>
    <row r="129" spans="1:11" ht="20" customHeight="1">
      <c r="A129" s="112"/>
      <c r="B129" s="112"/>
      <c r="C129" s="112"/>
      <c r="D129" s="112"/>
      <c r="E129" s="306"/>
      <c r="F129" s="308"/>
      <c r="G129" s="112"/>
      <c r="H129" s="112"/>
    </row>
    <row r="130" spans="1:11" ht="15" customHeight="1">
      <c r="A130" s="112"/>
      <c r="B130" s="112"/>
      <c r="C130" s="112"/>
      <c r="D130" s="112"/>
      <c r="E130" s="306"/>
      <c r="F130" s="308"/>
      <c r="G130" s="112"/>
      <c r="H130" s="112"/>
      <c r="I130" s="66"/>
      <c r="J130" s="66"/>
      <c r="K130" s="94"/>
    </row>
    <row r="131" spans="1:11">
      <c r="A131" s="112"/>
      <c r="B131" s="112"/>
      <c r="C131" s="112"/>
      <c r="D131" s="112"/>
      <c r="E131" s="306"/>
      <c r="F131" s="308"/>
      <c r="G131" s="112"/>
      <c r="H131" s="112"/>
      <c r="J131" s="66"/>
      <c r="K131" s="94"/>
    </row>
    <row r="132" spans="1:11">
      <c r="A132" s="112"/>
      <c r="B132" s="112"/>
      <c r="C132" s="112"/>
      <c r="D132" s="112"/>
      <c r="E132" s="112"/>
      <c r="F132" s="112"/>
      <c r="G132" s="112"/>
      <c r="H132" s="112"/>
      <c r="J132" s="66"/>
      <c r="K132" s="94"/>
    </row>
    <row r="133" spans="1:11">
      <c r="A133" s="112"/>
      <c r="B133" s="112"/>
      <c r="C133" s="112"/>
      <c r="D133" s="112"/>
      <c r="E133" s="112"/>
      <c r="F133" s="112"/>
      <c r="G133" s="112"/>
      <c r="H133" s="112"/>
      <c r="I133" s="66"/>
      <c r="J133" s="66"/>
      <c r="K133" s="94"/>
    </row>
    <row r="134" spans="1:11">
      <c r="A134" s="112"/>
      <c r="B134" s="112"/>
      <c r="C134" s="112"/>
      <c r="D134" s="112"/>
      <c r="E134" s="112"/>
      <c r="F134" s="112"/>
      <c r="G134" s="112"/>
      <c r="H134" s="112"/>
      <c r="I134" s="66"/>
      <c r="J134" s="66"/>
      <c r="K134" s="94"/>
    </row>
    <row r="135" spans="1:11">
      <c r="A135" s="66"/>
      <c r="B135" s="66"/>
      <c r="C135" s="66"/>
      <c r="D135" s="66"/>
      <c r="E135" s="66"/>
      <c r="F135" s="66"/>
      <c r="G135" s="66"/>
      <c r="H135" s="66"/>
      <c r="I135" s="66"/>
      <c r="J135" s="66"/>
      <c r="K135" s="94"/>
    </row>
    <row r="136" spans="1:11" ht="26">
      <c r="A136" s="66"/>
      <c r="B136" s="66"/>
      <c r="C136" s="66"/>
      <c r="D136" s="73"/>
      <c r="E136" s="66"/>
      <c r="F136" s="66"/>
      <c r="G136" s="66"/>
      <c r="H136" s="66"/>
      <c r="I136" s="66"/>
      <c r="J136" s="66"/>
      <c r="K136" s="94"/>
    </row>
    <row r="137" spans="1:11">
      <c r="A137" s="66"/>
      <c r="B137" s="66"/>
      <c r="C137" s="66"/>
      <c r="D137" s="66"/>
      <c r="E137" s="66"/>
      <c r="F137" s="66"/>
      <c r="G137" s="66"/>
      <c r="H137" s="66"/>
      <c r="I137" s="66"/>
      <c r="J137" s="66"/>
      <c r="K137" s="94"/>
    </row>
    <row r="138" spans="1:11" ht="19">
      <c r="A138" s="66"/>
      <c r="B138" s="66"/>
      <c r="C138" s="66"/>
      <c r="D138" s="61"/>
      <c r="E138" s="74"/>
      <c r="F138" s="66"/>
      <c r="G138" s="66"/>
      <c r="H138" s="66"/>
      <c r="I138" s="66"/>
      <c r="J138" s="66"/>
      <c r="K138" s="94"/>
    </row>
    <row r="139" spans="1:11">
      <c r="A139" s="66"/>
      <c r="B139" s="66"/>
      <c r="C139" s="66"/>
      <c r="D139" s="66"/>
      <c r="E139" s="117"/>
      <c r="F139" s="66"/>
      <c r="G139" s="66"/>
      <c r="H139" s="66"/>
      <c r="I139" s="66"/>
      <c r="J139" s="66"/>
      <c r="K139" s="94"/>
    </row>
    <row r="140" spans="1:11">
      <c r="A140" s="66"/>
      <c r="B140" s="66"/>
      <c r="C140" s="66"/>
      <c r="D140" s="66"/>
      <c r="E140" s="117"/>
      <c r="F140" s="66"/>
      <c r="G140" s="66"/>
      <c r="H140" s="66"/>
      <c r="I140" s="66"/>
      <c r="J140" s="66"/>
      <c r="K140" s="94"/>
    </row>
    <row r="141" spans="1:11">
      <c r="A141" s="66"/>
      <c r="B141" s="66"/>
      <c r="C141" s="66"/>
      <c r="D141" s="66"/>
      <c r="E141" s="117"/>
      <c r="F141" s="66"/>
      <c r="G141" s="66"/>
      <c r="H141" s="66"/>
      <c r="I141" s="66"/>
      <c r="J141" s="66"/>
      <c r="K141" s="94"/>
    </row>
    <row r="142" spans="1:11">
      <c r="A142" s="66"/>
      <c r="B142" s="66"/>
      <c r="C142" s="66"/>
      <c r="D142" s="66"/>
      <c r="E142" s="117"/>
      <c r="F142" s="66"/>
      <c r="G142" s="66"/>
      <c r="H142" s="66"/>
      <c r="I142" s="66"/>
      <c r="J142" s="66"/>
      <c r="K142" s="94"/>
    </row>
    <row r="143" spans="1:11">
      <c r="A143" s="66"/>
      <c r="B143" s="66"/>
      <c r="C143" s="66"/>
      <c r="D143" s="66"/>
      <c r="E143" s="117"/>
      <c r="F143" s="66"/>
      <c r="G143" s="66"/>
      <c r="H143" s="66"/>
      <c r="I143" s="66"/>
      <c r="J143" s="66"/>
      <c r="K143" s="94"/>
    </row>
    <row r="144" spans="1:11">
      <c r="A144" s="66"/>
      <c r="B144" s="66"/>
      <c r="C144" s="66"/>
      <c r="D144" s="66"/>
      <c r="E144" s="117"/>
      <c r="F144" s="66"/>
      <c r="G144" s="66"/>
      <c r="H144" s="66"/>
      <c r="I144" s="66"/>
      <c r="J144" s="66"/>
      <c r="K144" s="94"/>
    </row>
    <row r="145" spans="1:11">
      <c r="A145" s="66"/>
      <c r="B145" s="66"/>
      <c r="C145" s="66"/>
      <c r="D145" s="66"/>
      <c r="E145" s="117"/>
      <c r="F145" s="66"/>
      <c r="G145" s="66"/>
      <c r="H145" s="66"/>
      <c r="I145" s="66"/>
      <c r="J145" s="66"/>
      <c r="K145" s="94"/>
    </row>
    <row r="146" spans="1:11" ht="19" customHeight="1">
      <c r="A146" s="66"/>
      <c r="B146" s="66"/>
      <c r="C146" s="66"/>
      <c r="D146" s="66"/>
      <c r="E146" s="117"/>
      <c r="F146" s="66"/>
      <c r="G146" s="66"/>
      <c r="H146" s="66"/>
      <c r="I146" s="66"/>
      <c r="J146" s="66"/>
      <c r="K146" s="94"/>
    </row>
    <row r="147" spans="1:11">
      <c r="A147" s="66"/>
      <c r="B147" s="66"/>
      <c r="C147" s="66"/>
      <c r="D147" s="66"/>
      <c r="E147" s="66"/>
      <c r="F147" s="66"/>
      <c r="G147" s="66"/>
      <c r="H147" s="66"/>
      <c r="I147" s="66"/>
      <c r="J147" s="66"/>
      <c r="K147" s="94"/>
    </row>
    <row r="148" spans="1:11" ht="19">
      <c r="A148" s="66"/>
      <c r="B148" s="66"/>
      <c r="C148" s="66"/>
      <c r="D148" s="66"/>
      <c r="E148" s="75"/>
      <c r="F148" s="76"/>
      <c r="G148" s="156"/>
      <c r="H148" s="66"/>
      <c r="I148" s="66"/>
      <c r="J148" s="66"/>
      <c r="K148" s="94"/>
    </row>
    <row r="149" spans="1:11" ht="19">
      <c r="A149" s="66"/>
      <c r="B149" s="66"/>
      <c r="C149" s="66"/>
      <c r="D149" s="61"/>
      <c r="E149" s="61"/>
      <c r="F149" s="61"/>
      <c r="G149" s="61"/>
      <c r="H149" s="157"/>
      <c r="I149" s="66"/>
      <c r="J149" s="77"/>
      <c r="K149" s="94"/>
    </row>
    <row r="150" spans="1:11" ht="19">
      <c r="A150" s="66"/>
      <c r="B150" s="66"/>
      <c r="C150" s="66"/>
      <c r="D150" s="66"/>
      <c r="E150" s="117"/>
      <c r="F150" s="117"/>
      <c r="G150" s="117"/>
      <c r="H150" s="61"/>
      <c r="I150" s="66"/>
      <c r="J150" s="77"/>
      <c r="K150" s="94"/>
    </row>
    <row r="151" spans="1:11">
      <c r="A151" s="66"/>
      <c r="B151" s="66"/>
      <c r="C151" s="66"/>
      <c r="D151" s="66"/>
      <c r="E151" s="117"/>
      <c r="F151" s="117"/>
      <c r="G151" s="117"/>
      <c r="H151" s="117"/>
      <c r="I151" s="66"/>
      <c r="J151" s="66"/>
      <c r="K151" s="94"/>
    </row>
    <row r="152" spans="1:11">
      <c r="A152" s="66"/>
      <c r="B152" s="66"/>
      <c r="C152" s="66"/>
      <c r="D152" s="66"/>
      <c r="E152" s="117"/>
      <c r="F152" s="117"/>
      <c r="G152" s="117"/>
      <c r="H152" s="117"/>
      <c r="I152" s="77"/>
      <c r="J152" s="66"/>
      <c r="K152" s="94"/>
    </row>
    <row r="153" spans="1:11">
      <c r="A153" s="66"/>
      <c r="B153" s="66"/>
      <c r="C153" s="66"/>
      <c r="D153" s="66"/>
      <c r="E153" s="117"/>
      <c r="F153" s="117"/>
      <c r="G153" s="117"/>
      <c r="H153" s="117"/>
      <c r="I153" s="77"/>
      <c r="J153" s="66"/>
      <c r="K153" s="94"/>
    </row>
    <row r="154" spans="1:11">
      <c r="A154" s="66"/>
      <c r="B154" s="66"/>
      <c r="C154" s="66"/>
      <c r="D154" s="66"/>
      <c r="E154" s="117"/>
      <c r="F154" s="117"/>
      <c r="G154" s="117"/>
      <c r="H154" s="117"/>
      <c r="I154" s="66"/>
      <c r="J154" s="66"/>
      <c r="K154" s="94"/>
    </row>
    <row r="155" spans="1:11">
      <c r="A155" s="66"/>
      <c r="B155" s="66"/>
      <c r="C155" s="66"/>
      <c r="D155" s="66"/>
      <c r="E155" s="117"/>
      <c r="F155" s="117"/>
      <c r="G155" s="117"/>
      <c r="H155" s="117"/>
      <c r="I155" s="66"/>
      <c r="J155" s="66"/>
      <c r="K155" s="94"/>
    </row>
    <row r="156" spans="1:11">
      <c r="A156" s="66"/>
      <c r="B156" s="66"/>
      <c r="C156" s="66"/>
      <c r="D156" s="66"/>
      <c r="E156" s="117"/>
      <c r="F156" s="117"/>
      <c r="G156" s="117"/>
      <c r="H156" s="117"/>
      <c r="I156" s="66"/>
      <c r="J156" s="66"/>
      <c r="K156" s="94"/>
    </row>
    <row r="157" spans="1:11">
      <c r="A157" s="66"/>
      <c r="B157" s="66"/>
      <c r="C157" s="66"/>
      <c r="D157" s="66"/>
      <c r="E157" s="117"/>
      <c r="F157" s="117"/>
      <c r="G157" s="117"/>
      <c r="H157" s="117"/>
      <c r="I157" s="66"/>
      <c r="J157" s="66"/>
      <c r="K157" s="94"/>
    </row>
    <row r="158" spans="1:11">
      <c r="A158" s="66"/>
      <c r="B158" s="66"/>
      <c r="C158" s="66"/>
      <c r="D158" s="66"/>
      <c r="E158" s="117"/>
      <c r="F158" s="117"/>
      <c r="G158" s="117"/>
      <c r="H158" s="117"/>
      <c r="I158" s="66"/>
      <c r="J158" s="66"/>
      <c r="K158" s="78"/>
    </row>
    <row r="159" spans="1:11">
      <c r="A159" s="66"/>
      <c r="B159" s="66"/>
      <c r="C159" s="66"/>
      <c r="D159" s="66"/>
      <c r="E159" s="66"/>
      <c r="F159" s="66"/>
      <c r="G159" s="66"/>
      <c r="H159" s="117"/>
      <c r="I159" s="66"/>
      <c r="J159" s="66"/>
      <c r="K159" s="78"/>
    </row>
    <row r="160" spans="1:11">
      <c r="A160" s="66"/>
      <c r="B160" s="66"/>
      <c r="C160" s="66"/>
      <c r="D160" s="66"/>
      <c r="E160" s="66"/>
      <c r="F160" s="66"/>
      <c r="G160" s="66"/>
      <c r="H160" s="66"/>
      <c r="I160" s="66"/>
      <c r="J160" s="66"/>
      <c r="K160" s="78"/>
    </row>
    <row r="161" spans="1:11">
      <c r="A161" s="66"/>
      <c r="B161" s="66"/>
      <c r="C161" s="66"/>
      <c r="D161" s="66"/>
      <c r="E161" s="66"/>
      <c r="F161" s="66"/>
      <c r="G161" s="66"/>
      <c r="H161" s="66"/>
      <c r="I161" s="66"/>
      <c r="J161" s="66"/>
      <c r="K161" s="78"/>
    </row>
    <row r="162" spans="1:11">
      <c r="A162" s="66"/>
      <c r="H162" s="66"/>
      <c r="I162" s="66"/>
      <c r="J162" s="66"/>
    </row>
    <row r="163" spans="1:11">
      <c r="I163" s="66"/>
    </row>
    <row r="164" spans="1:11">
      <c r="I164" s="66"/>
    </row>
    <row r="165" spans="1:11">
      <c r="I165" s="66"/>
    </row>
    <row r="167" spans="1:11">
      <c r="J167" s="78"/>
      <c r="K167" s="78"/>
    </row>
  </sheetData>
  <customSheetViews>
    <customSheetView guid="{8967CA62-3554-8A40-ACFF-3515F2B518C8}" scale="75" showGridLines="0" topLeftCell="U3">
      <selection activeCell="AZ19" sqref="AZ19:BT19"/>
      <colBreaks count="1" manualBreakCount="1">
        <brk id="28" max="1048575" man="1"/>
      </colBreaks>
      <pageMargins left="0.7" right="0.7" top="0.75" bottom="0.75" header="0.3" footer="0.3"/>
      <pageSetup paperSize="9" orientation="portrait" horizontalDpi="4294967292" verticalDpi="4294967292"/>
    </customSheetView>
    <customSheetView guid="{EB877D66-0749-4C48-89AA-FFA94A34014C}" scale="75" showGridLines="0" state="hidden" topLeftCell="D1">
      <selection activeCell="N48" sqref="N48"/>
      <colBreaks count="1" manualBreakCount="1">
        <brk id="28" max="1048575" man="1"/>
      </colBreaks>
      <pageMargins left="0.7" right="0.7" top="0.75" bottom="0.75" header="0.3" footer="0.3"/>
      <pageSetup paperSize="9" orientation="portrait" horizontalDpi="4294967292" verticalDpi="4294967292"/>
    </customSheetView>
  </customSheetViews>
  <mergeCells count="3">
    <mergeCell ref="D70:G70"/>
    <mergeCell ref="D68:G68"/>
    <mergeCell ref="D69:G69"/>
  </mergeCells>
  <phoneticPr fontId="2" type="noConversion"/>
  <pageMargins left="0.7" right="0.7" top="0.75" bottom="0.75" header="0.3" footer="0.3"/>
  <pageSetup paperSize="9" orientation="portrait" horizontalDpi="4294967292" verticalDpi="4294967292"/>
  <colBreaks count="1" manualBreakCount="1">
    <brk id="28"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dimension ref="A2:BU137"/>
  <sheetViews>
    <sheetView showGridLines="0" topLeftCell="A5" zoomScale="67" workbookViewId="0">
      <selection activeCell="N48" sqref="N48"/>
    </sheetView>
  </sheetViews>
  <sheetFormatPr baseColWidth="10" defaultColWidth="10.83203125" defaultRowHeight="16"/>
  <cols>
    <col min="1" max="1" width="3.33203125" style="64" customWidth="1"/>
    <col min="2" max="2" width="8.6640625" style="64" customWidth="1"/>
    <col min="3" max="3" width="3.33203125" style="17" customWidth="1"/>
    <col min="4" max="4" width="2" style="17" customWidth="1"/>
    <col min="5" max="5" width="53.1640625" style="17" customWidth="1"/>
    <col min="6" max="6" width="10.1640625" style="17" customWidth="1"/>
    <col min="7" max="7" width="14" style="86" customWidth="1"/>
    <col min="8" max="11" width="8" style="86" customWidth="1"/>
    <col min="12" max="12" width="8" style="360" customWidth="1"/>
    <col min="13" max="13" width="8" style="86" customWidth="1"/>
    <col min="14" max="14" width="8" style="64" customWidth="1"/>
    <col min="15" max="26" width="8" style="17" customWidth="1"/>
    <col min="27" max="27" width="12.83203125" style="17" bestFit="1" customWidth="1"/>
    <col min="28" max="49" width="10.83203125" style="17"/>
    <col min="50" max="51" width="10.83203125" style="113"/>
    <col min="52" max="16384" width="10.83203125" style="17"/>
  </cols>
  <sheetData>
    <row r="2" spans="1:73" ht="39">
      <c r="E2" s="16" t="s">
        <v>8</v>
      </c>
      <c r="F2" s="16"/>
    </row>
    <row r="4" spans="1:73" ht="21">
      <c r="E4" s="35" t="s">
        <v>1</v>
      </c>
      <c r="F4" s="35"/>
      <c r="G4" s="36" t="str">
        <f>'Prediction tool'!G6</f>
        <v>India</v>
      </c>
      <c r="H4" s="36"/>
      <c r="I4" s="36"/>
      <c r="AC4" s="17" t="s">
        <v>886</v>
      </c>
      <c r="AZ4" s="17" t="s">
        <v>887</v>
      </c>
    </row>
    <row r="6" spans="1:73" s="25" customFormat="1" ht="21">
      <c r="A6" s="324"/>
      <c r="B6" s="324"/>
      <c r="E6" s="24" t="s">
        <v>6</v>
      </c>
      <c r="F6" s="361">
        <v>2010</v>
      </c>
      <c r="G6" s="361">
        <v>2011</v>
      </c>
      <c r="H6" s="361">
        <v>2012</v>
      </c>
      <c r="I6" s="361">
        <v>2013</v>
      </c>
      <c r="J6" s="361">
        <v>2014</v>
      </c>
      <c r="K6" s="361">
        <v>2015</v>
      </c>
      <c r="L6" s="361">
        <v>2016</v>
      </c>
      <c r="M6" s="361">
        <v>2017</v>
      </c>
      <c r="N6" s="361">
        <v>2018</v>
      </c>
      <c r="O6" s="24">
        <v>2019</v>
      </c>
      <c r="P6" s="24">
        <v>2020</v>
      </c>
      <c r="Q6" s="24">
        <v>2021</v>
      </c>
      <c r="R6" s="24">
        <v>2022</v>
      </c>
      <c r="S6" s="24">
        <v>2023</v>
      </c>
      <c r="T6" s="24">
        <v>2024</v>
      </c>
      <c r="U6" s="24">
        <v>2025</v>
      </c>
      <c r="V6" s="24">
        <v>2026</v>
      </c>
      <c r="W6" s="24">
        <v>2027</v>
      </c>
      <c r="X6" s="24">
        <v>2028</v>
      </c>
      <c r="Y6" s="24">
        <v>2029</v>
      </c>
      <c r="Z6" s="24">
        <v>2030</v>
      </c>
      <c r="AC6" s="361">
        <v>2010</v>
      </c>
      <c r="AD6" s="361">
        <v>2011</v>
      </c>
      <c r="AE6" s="361">
        <v>2012</v>
      </c>
      <c r="AF6" s="361">
        <v>2013</v>
      </c>
      <c r="AG6" s="361">
        <v>2014</v>
      </c>
      <c r="AH6" s="361">
        <v>2015</v>
      </c>
      <c r="AI6" s="361">
        <v>2016</v>
      </c>
      <c r="AJ6" s="361">
        <v>2017</v>
      </c>
      <c r="AK6" s="361">
        <v>2018</v>
      </c>
      <c r="AL6" s="24">
        <v>2019</v>
      </c>
      <c r="AM6" s="24">
        <v>2020</v>
      </c>
      <c r="AN6" s="24">
        <v>2021</v>
      </c>
      <c r="AO6" s="24">
        <v>2022</v>
      </c>
      <c r="AP6" s="24">
        <v>2023</v>
      </c>
      <c r="AQ6" s="24">
        <v>2024</v>
      </c>
      <c r="AR6" s="24">
        <v>2025</v>
      </c>
      <c r="AS6" s="24">
        <v>2026</v>
      </c>
      <c r="AT6" s="24">
        <v>2027</v>
      </c>
      <c r="AU6" s="24">
        <v>2028</v>
      </c>
      <c r="AV6" s="24">
        <v>2029</v>
      </c>
      <c r="AW6" s="24">
        <v>2030</v>
      </c>
      <c r="AX6" s="698"/>
      <c r="AY6" s="698"/>
      <c r="AZ6" s="361">
        <v>2010</v>
      </c>
      <c r="BA6" s="361">
        <v>2011</v>
      </c>
      <c r="BB6" s="361">
        <v>2012</v>
      </c>
      <c r="BC6" s="361">
        <v>2013</v>
      </c>
      <c r="BD6" s="361">
        <v>2014</v>
      </c>
      <c r="BE6" s="361">
        <v>2015</v>
      </c>
      <c r="BF6" s="361">
        <v>2016</v>
      </c>
      <c r="BG6" s="361">
        <v>2017</v>
      </c>
      <c r="BH6" s="361">
        <v>2018</v>
      </c>
      <c r="BI6" s="24">
        <v>2019</v>
      </c>
      <c r="BJ6" s="24">
        <v>2020</v>
      </c>
      <c r="BK6" s="24">
        <v>2021</v>
      </c>
      <c r="BL6" s="24">
        <v>2022</v>
      </c>
      <c r="BM6" s="24">
        <v>2023</v>
      </c>
      <c r="BN6" s="24">
        <v>2024</v>
      </c>
      <c r="BO6" s="24">
        <v>2025</v>
      </c>
      <c r="BP6" s="24">
        <v>2026</v>
      </c>
      <c r="BQ6" s="24">
        <v>2027</v>
      </c>
      <c r="BR6" s="24">
        <v>2028</v>
      </c>
      <c r="BS6" s="24">
        <v>2029</v>
      </c>
      <c r="BT6" s="24">
        <v>2030</v>
      </c>
    </row>
    <row r="7" spans="1:73" s="19" customFormat="1" ht="19">
      <c r="A7" s="325"/>
      <c r="B7" s="325"/>
      <c r="E7" s="22">
        <v>50</v>
      </c>
      <c r="F7" s="22"/>
      <c r="G7" s="362">
        <v>50</v>
      </c>
      <c r="H7" s="362"/>
      <c r="I7" s="362">
        <v>50</v>
      </c>
      <c r="J7" s="362">
        <v>50</v>
      </c>
      <c r="K7" s="362">
        <v>50</v>
      </c>
      <c r="L7" s="362">
        <v>50</v>
      </c>
      <c r="M7" s="362">
        <v>50</v>
      </c>
      <c r="N7" s="362">
        <v>50</v>
      </c>
      <c r="O7" s="22">
        <v>50</v>
      </c>
      <c r="P7" s="22">
        <v>50</v>
      </c>
      <c r="Q7" s="22">
        <v>50</v>
      </c>
      <c r="R7" s="22">
        <v>50</v>
      </c>
      <c r="S7" s="22">
        <v>50</v>
      </c>
      <c r="T7" s="22">
        <v>50</v>
      </c>
      <c r="U7" s="22">
        <v>50</v>
      </c>
      <c r="V7" s="22">
        <v>50</v>
      </c>
      <c r="W7" s="22">
        <v>50</v>
      </c>
      <c r="X7" s="22">
        <v>50</v>
      </c>
      <c r="Y7" s="22">
        <v>50</v>
      </c>
      <c r="Z7" s="22">
        <v>50</v>
      </c>
      <c r="AA7" s="22"/>
      <c r="AX7" s="699"/>
      <c r="AY7" s="699"/>
    </row>
    <row r="8" spans="1:73" s="64" customFormat="1" ht="15" customHeight="1">
      <c r="B8" s="88"/>
      <c r="D8" s="17"/>
      <c r="E8" s="17"/>
      <c r="F8" s="91"/>
      <c r="G8" s="320"/>
      <c r="H8" s="320"/>
      <c r="I8" s="320"/>
      <c r="J8" s="320"/>
      <c r="K8" s="320"/>
      <c r="L8" s="320"/>
      <c r="M8" s="320"/>
      <c r="N8" s="320"/>
      <c r="O8" s="320"/>
      <c r="P8" s="320"/>
      <c r="Q8" s="320"/>
      <c r="R8" s="320"/>
      <c r="S8" s="320"/>
      <c r="T8" s="320"/>
      <c r="U8" s="320"/>
      <c r="V8" s="320"/>
      <c r="W8" s="320"/>
      <c r="X8" s="320"/>
      <c r="Y8" s="320"/>
      <c r="Z8" s="320"/>
      <c r="AX8" s="113"/>
      <c r="AY8" s="113"/>
    </row>
    <row r="9" spans="1:73" ht="19">
      <c r="C9" s="83"/>
      <c r="E9" s="178" t="s">
        <v>223</v>
      </c>
      <c r="F9" s="178"/>
      <c r="G9" s="368"/>
      <c r="H9" s="368"/>
      <c r="I9" s="368"/>
      <c r="J9" s="368"/>
      <c r="K9" s="368"/>
      <c r="L9" s="368"/>
      <c r="M9" s="368"/>
      <c r="N9" s="368"/>
      <c r="O9" s="368"/>
      <c r="P9" s="368"/>
      <c r="Q9" s="368"/>
      <c r="R9" s="368"/>
      <c r="S9" s="368"/>
      <c r="T9" s="368"/>
      <c r="U9" s="368"/>
      <c r="V9" s="368"/>
      <c r="W9" s="368"/>
      <c r="X9" s="368"/>
      <c r="Y9" s="368"/>
      <c r="Z9" s="368"/>
    </row>
    <row r="10" spans="1:73">
      <c r="L10" s="86"/>
      <c r="N10" s="86"/>
      <c r="O10" s="86"/>
      <c r="P10" s="86"/>
      <c r="Q10" s="86"/>
      <c r="R10" s="86"/>
      <c r="S10" s="86"/>
      <c r="T10" s="86"/>
      <c r="U10" s="86"/>
      <c r="V10" s="86"/>
      <c r="W10" s="86"/>
      <c r="X10" s="86"/>
      <c r="Y10" s="86"/>
      <c r="Z10" s="86"/>
    </row>
    <row r="11" spans="1:73">
      <c r="A11" s="17"/>
      <c r="E11" s="176" t="s">
        <v>217</v>
      </c>
      <c r="F11" s="176"/>
      <c r="G11" s="176"/>
      <c r="H11" s="176"/>
      <c r="I11" s="176"/>
      <c r="J11" s="176"/>
      <c r="K11" s="176"/>
      <c r="L11" s="176"/>
      <c r="M11" s="176"/>
      <c r="N11" s="176"/>
      <c r="O11" s="176"/>
      <c r="P11" s="176"/>
      <c r="Q11" s="176"/>
      <c r="R11" s="176"/>
      <c r="S11" s="176"/>
      <c r="T11" s="176"/>
      <c r="U11" s="176"/>
      <c r="V11" s="176"/>
      <c r="W11" s="176"/>
      <c r="X11" s="176"/>
      <c r="Y11" s="176"/>
      <c r="Z11" s="176"/>
      <c r="AC11" s="176"/>
      <c r="AD11" s="176"/>
      <c r="AE11" s="176"/>
      <c r="AF11" s="176"/>
      <c r="AG11" s="176"/>
      <c r="AH11" s="176"/>
      <c r="AI11" s="176"/>
      <c r="AJ11" s="176"/>
      <c r="AK11" s="176"/>
      <c r="AL11" s="176"/>
      <c r="AM11" s="176"/>
      <c r="AN11" s="176"/>
      <c r="AO11" s="176"/>
      <c r="AP11" s="176"/>
      <c r="AQ11" s="176"/>
      <c r="AR11" s="176"/>
      <c r="AS11" s="176"/>
      <c r="AT11" s="176"/>
      <c r="AU11" s="176"/>
      <c r="AV11" s="176"/>
      <c r="AW11" s="176"/>
      <c r="AZ11" s="176"/>
      <c r="BA11" s="176"/>
      <c r="BB11" s="176"/>
      <c r="BC11" s="176"/>
      <c r="BD11" s="176"/>
      <c r="BE11" s="176"/>
      <c r="BF11" s="176"/>
      <c r="BG11" s="176"/>
      <c r="BH11" s="176"/>
      <c r="BI11" s="176"/>
      <c r="BJ11" s="176"/>
      <c r="BK11" s="176"/>
      <c r="BL11" s="176"/>
      <c r="BM11" s="176"/>
      <c r="BN11" s="176"/>
      <c r="BO11" s="176"/>
      <c r="BP11" s="176"/>
      <c r="BQ11" s="176"/>
      <c r="BR11" s="176"/>
      <c r="BS11" s="176"/>
      <c r="BT11" s="176"/>
    </row>
    <row r="12" spans="1:73" s="64" customFormat="1">
      <c r="E12" s="320"/>
      <c r="F12" s="320"/>
      <c r="G12" s="320"/>
      <c r="H12" s="320"/>
      <c r="I12" s="320"/>
      <c r="J12" s="320"/>
      <c r="K12" s="320"/>
      <c r="L12" s="320"/>
      <c r="M12" s="320"/>
      <c r="N12" s="320"/>
      <c r="O12" s="320"/>
      <c r="P12" s="320"/>
      <c r="Q12" s="320"/>
      <c r="R12" s="320"/>
      <c r="S12" s="320"/>
      <c r="T12" s="320"/>
      <c r="U12" s="320"/>
      <c r="V12" s="320"/>
      <c r="W12" s="320"/>
      <c r="X12" s="320"/>
      <c r="Y12" s="320"/>
      <c r="Z12" s="320"/>
      <c r="AC12" s="320"/>
      <c r="AD12" s="320"/>
      <c r="AE12" s="320"/>
      <c r="AF12" s="320"/>
      <c r="AG12" s="320"/>
      <c r="AH12" s="320"/>
      <c r="AI12" s="320"/>
      <c r="AJ12" s="320"/>
      <c r="AK12" s="320"/>
      <c r="AL12" s="320"/>
      <c r="AM12" s="320"/>
      <c r="AN12" s="320"/>
      <c r="AO12" s="320"/>
      <c r="AP12" s="320"/>
      <c r="AQ12" s="320"/>
      <c r="AR12" s="320"/>
      <c r="AS12" s="320"/>
      <c r="AT12" s="320"/>
      <c r="AU12" s="320"/>
      <c r="AV12" s="320"/>
      <c r="AW12" s="320"/>
      <c r="AX12" s="113"/>
      <c r="AY12" s="113"/>
      <c r="AZ12" s="320"/>
      <c r="BA12" s="320"/>
      <c r="BB12" s="320"/>
      <c r="BC12" s="320"/>
      <c r="BD12" s="320"/>
      <c r="BE12" s="320"/>
      <c r="BF12" s="320"/>
      <c r="BG12" s="320"/>
      <c r="BH12" s="320"/>
      <c r="BI12" s="320"/>
      <c r="BJ12" s="320"/>
      <c r="BK12" s="320"/>
      <c r="BL12" s="320"/>
      <c r="BM12" s="320"/>
      <c r="BN12" s="320"/>
      <c r="BO12" s="320"/>
      <c r="BP12" s="320"/>
      <c r="BQ12" s="320"/>
      <c r="BR12" s="320"/>
      <c r="BS12" s="320"/>
      <c r="BT12" s="320"/>
    </row>
    <row r="13" spans="1:73">
      <c r="A13" s="17"/>
      <c r="E13" s="17" t="s">
        <v>255</v>
      </c>
      <c r="F13" s="268" t="e">
        <f>'Data (Calculations)'!F22*'Data (Calculations)'!F19*'Data (Calculations)'!F30*'Data (Calculations)'!F35*'Data (Calculations)'!F40*'Data (Calculations)'!F47</f>
        <v>#VALUE!</v>
      </c>
      <c r="G13" s="268">
        <f>'Data (Calculations)'!G22*'Data (Calculations)'!G19*'Data (Calculations)'!G30*'Data (Calculations)'!G35*'Data (Calculations)'!G40*'Data (Calculations)'!G47</f>
        <v>2149.3384605099118</v>
      </c>
      <c r="H13" s="268">
        <f>'Data (Calculations)'!H22*'Data (Calculations)'!H19*'Data (Calculations)'!H30*'Data (Calculations)'!H35*'Data (Calculations)'!H40*'Data (Calculations)'!H47</f>
        <v>7894.3508035474451</v>
      </c>
      <c r="I13" s="268">
        <f>'Data (Calculations)'!I22*'Data (Calculations)'!I19*'Data (Calculations)'!I30*'Data (Calculations)'!I35*'Data (Calculations)'!I40*'Data (Calculations)'!I47</f>
        <v>1448.4957003463967</v>
      </c>
      <c r="J13" s="268">
        <f>'Data (Calculations)'!J22*'Data (Calculations)'!J19*'Data (Calculations)'!J30*'Data (Calculations)'!J35*'Data (Calculations)'!J40*'Data (Calculations)'!J47</f>
        <v>808.33650094132315</v>
      </c>
      <c r="K13" s="268">
        <f>'Data (Calculations)'!K22*'Data (Calculations)'!K19*'Data (Calculations)'!K30*'Data (Calculations)'!K35*'Data (Calculations)'!K40*'Data (Calculations)'!K47</f>
        <v>851.771036386368</v>
      </c>
      <c r="L13" s="268">
        <f>'Data (Calculations)'!L22*'Data (Calculations)'!L19*'Data (Calculations)'!L30*'Data (Calculations)'!L35*'Data (Calculations)'!L40*'Data (Calculations)'!L47</f>
        <v>1643.1514056496351</v>
      </c>
      <c r="M13" s="268">
        <f>'Data (Calculations)'!M22*'Data (Calculations)'!M19*'Data (Calculations)'!M30*'Data (Calculations)'!M35*'Data (Calculations)'!M40*'Data (Calculations)'!M47</f>
        <v>1666.1864807871693</v>
      </c>
      <c r="N13" s="268" t="e">
        <f>'Data (Calculations)'!N22*'Data (Calculations)'!N19*'Data (Calculations)'!N30*'Data (Calculations)'!N35*'Data (Calculations)'!N40*'Data (Calculations)'!N47</f>
        <v>#VALUE!</v>
      </c>
      <c r="O13" s="268">
        <f>'Data (Calculations)'!O22*'Data (Calculations)'!O19*'Data (Calculations)'!O30*'Data (Calculations)'!O35*'Data (Calculations)'!O40*'Data (Calculations)'!O47</f>
        <v>4013.9040822383658</v>
      </c>
      <c r="P13" s="268">
        <f>'Data (Calculations)'!P22*'Data (Calculations)'!P19*'Data (Calculations)'!P30*'Data (Calculations)'!P35*'Data (Calculations)'!P40*'Data (Calculations)'!P47</f>
        <v>4003.8684650799892</v>
      </c>
      <c r="Q13" s="268">
        <f>'Data (Calculations)'!Q22*'Data (Calculations)'!Q19*'Data (Calculations)'!Q30*'Data (Calculations)'!Q35*'Data (Calculations)'!Q40*'Data (Calculations)'!Q47</f>
        <v>4951.9888069840526</v>
      </c>
      <c r="R13" s="268">
        <f>'Data (Calculations)'!R22*'Data (Calculations)'!R19*'Data (Calculations)'!R30*'Data (Calculations)'!R35*'Data (Calculations)'!R40*'Data (Calculations)'!R47</f>
        <v>5952.7451497826787</v>
      </c>
      <c r="S13" s="268">
        <f>'Data (Calculations)'!S22*'Data (Calculations)'!S19*'Data (Calculations)'!S30*'Data (Calculations)'!S35*'Data (Calculations)'!S40*'Data (Calculations)'!S47</f>
        <v>7005.1211528259564</v>
      </c>
      <c r="T13" s="268">
        <f>'Data (Calculations)'!T22*'Data (Calculations)'!T19*'Data (Calculations)'!T30*'Data (Calculations)'!T35*'Data (Calculations)'!T40*'Data (Calculations)'!T47</f>
        <v>8107.2253498167629</v>
      </c>
      <c r="U13" s="268">
        <f>'Data (Calculations)'!U22*'Data (Calculations)'!U19*'Data (Calculations)'!U30*'Data (Calculations)'!U35*'Data (Calculations)'!U40*'Data (Calculations)'!U47</f>
        <v>9256.7324560425859</v>
      </c>
      <c r="V13" s="268">
        <f>'Data (Calculations)'!V22*'Data (Calculations)'!V19*'Data (Calculations)'!V30*'Data (Calculations)'!V35*'Data (Calculations)'!V40*'Data (Calculations)'!V47</f>
        <v>10450.840126347313</v>
      </c>
      <c r="W13" s="268">
        <f>'Data (Calculations)'!W22*'Data (Calculations)'!W19*'Data (Calculations)'!W30*'Data (Calculations)'!W35*'Data (Calculations)'!W40*'Data (Calculations)'!W47</f>
        <v>11686.53472777298</v>
      </c>
      <c r="X13" s="268">
        <f>'Data (Calculations)'!X22*'Data (Calculations)'!X19*'Data (Calculations)'!X30*'Data (Calculations)'!X35*'Data (Calculations)'!X40*'Data (Calculations)'!X47</f>
        <v>12960.803084688932</v>
      </c>
      <c r="Y13" s="268">
        <f>'Data (Calculations)'!Y22*'Data (Calculations)'!Y19*'Data (Calculations)'!Y30*'Data (Calculations)'!Y35*'Data (Calculations)'!Y40*'Data (Calculations)'!Y47</f>
        <v>14270.844140682562</v>
      </c>
      <c r="Z13" s="268">
        <f>'Data (Calculations)'!Z22*'Data (Calculations)'!Z19*'Data (Calculations)'!Z30*'Data (Calculations)'!Z35*'Data (Calculations)'!Z40*'Data (Calculations)'!Z47</f>
        <v>15613.408041925015</v>
      </c>
      <c r="AA13" s="268"/>
      <c r="AB13" s="268"/>
      <c r="AC13" s="268" t="e">
        <f>'Data (Calculations)'!AC22*'Data (Calculations)'!AC19*'Data (Calculations)'!AC30*'Data (Calculations)'!AC35*'Data (Calculations)'!AC40*'Data (Calculations)'!AC47</f>
        <v>#VALUE!</v>
      </c>
      <c r="AD13" s="268">
        <f>'Data (Calculations)'!AD22*'Data (Calculations)'!AD19*'Data (Calculations)'!AD30*'Data (Calculations)'!AD35*'Data (Calculations)'!AD40*'Data (Calculations)'!AD47</f>
        <v>2736.5270378821765</v>
      </c>
      <c r="AE13" s="268">
        <f>'Data (Calculations)'!AE22*'Data (Calculations)'!AE19*'Data (Calculations)'!AE30*'Data (Calculations)'!AE35*'Data (Calculations)'!AE40*'Data (Calculations)'!AE47</f>
        <v>11032.411838360455</v>
      </c>
      <c r="AF13" s="268">
        <f>'Data (Calculations)'!AF22*'Data (Calculations)'!AF19*'Data (Calculations)'!AF30*'Data (Calculations)'!AF35*'Data (Calculations)'!AF40*'Data (Calculations)'!AF47</f>
        <v>0</v>
      </c>
      <c r="AG13" s="268">
        <f>'Data (Calculations)'!AG22*'Data (Calculations)'!AG19*'Data (Calculations)'!AG30*'Data (Calculations)'!AG35*'Data (Calculations)'!AG40*'Data (Calculations)'!AG47</f>
        <v>819.03370791584359</v>
      </c>
      <c r="AH13" s="268">
        <f>'Data (Calculations)'!AH22*'Data (Calculations)'!AH19*'Data (Calculations)'!AH30*'Data (Calculations)'!AH35*'Data (Calculations)'!AH40*'Data (Calculations)'!AH47</f>
        <v>778.01654970284312</v>
      </c>
      <c r="AI13" s="268">
        <f>'Data (Calculations)'!AI22*'Data (Calculations)'!AI19*'Data (Calculations)'!AI30*'Data (Calculations)'!AI35*'Data (Calculations)'!AI40*'Data (Calculations)'!AI47</f>
        <v>0</v>
      </c>
      <c r="AJ13" s="268">
        <f>'Data (Calculations)'!AJ22*'Data (Calculations)'!AJ19*'Data (Calculations)'!AJ30*'Data (Calculations)'!AJ35*'Data (Calculations)'!AJ40*'Data (Calculations)'!AJ47</f>
        <v>0</v>
      </c>
      <c r="AK13" s="268" t="e">
        <f>'Data (Calculations)'!AK22*'Data (Calculations)'!AK19*'Data (Calculations)'!AK30*'Data (Calculations)'!AK35*'Data (Calculations)'!AK40*'Data (Calculations)'!AK47</f>
        <v>#VALUE!</v>
      </c>
      <c r="AL13" s="268">
        <f>'Data (Calculations)'!AL22*'Data (Calculations)'!AL19*'Data (Calculations)'!AL30*'Data (Calculations)'!AL35*'Data (Calculations)'!AL40*'Data (Calculations)'!AL47</f>
        <v>0</v>
      </c>
      <c r="AM13" s="268">
        <f>'Data (Calculations)'!AM22*'Data (Calculations)'!AM19*'Data (Calculations)'!AM30*'Data (Calculations)'!AM35*'Data (Calculations)'!AM40*'Data (Calculations)'!AM47</f>
        <v>0</v>
      </c>
      <c r="AN13" s="268">
        <f>'Data (Calculations)'!AN22*'Data (Calculations)'!AN19*'Data (Calculations)'!AN30*'Data (Calculations)'!AN35*'Data (Calculations)'!AN40*'Data (Calculations)'!AN47</f>
        <v>0</v>
      </c>
      <c r="AO13" s="268">
        <f>'Data (Calculations)'!AO22*'Data (Calculations)'!AO19*'Data (Calculations)'!AO30*'Data (Calculations)'!AO35*'Data (Calculations)'!AO40*'Data (Calculations)'!AO47</f>
        <v>0</v>
      </c>
      <c r="AP13" s="268">
        <f>'Data (Calculations)'!AP22*'Data (Calculations)'!AP19*'Data (Calculations)'!AP30*'Data (Calculations)'!AP35*'Data (Calculations)'!AP40*'Data (Calculations)'!AP47</f>
        <v>0</v>
      </c>
      <c r="AQ13" s="268">
        <f>'Data (Calculations)'!AQ22*'Data (Calculations)'!AQ19*'Data (Calculations)'!AQ30*'Data (Calculations)'!AQ35*'Data (Calculations)'!AQ40*'Data (Calculations)'!AQ47</f>
        <v>0</v>
      </c>
      <c r="AR13" s="268">
        <f>'Data (Calculations)'!AR22*'Data (Calculations)'!AR19*'Data (Calculations)'!AR30*'Data (Calculations)'!AR35*'Data (Calculations)'!AR40*'Data (Calculations)'!AR47</f>
        <v>0</v>
      </c>
      <c r="AS13" s="268">
        <f>'Data (Calculations)'!AS22*'Data (Calculations)'!AS19*'Data (Calculations)'!AS30*'Data (Calculations)'!AS35*'Data (Calculations)'!AS40*'Data (Calculations)'!AS47</f>
        <v>0</v>
      </c>
      <c r="AT13" s="268">
        <f>'Data (Calculations)'!AT22*'Data (Calculations)'!AT19*'Data (Calculations)'!AT30*'Data (Calculations)'!AT35*'Data (Calculations)'!AT40*'Data (Calculations)'!AT47</f>
        <v>0</v>
      </c>
      <c r="AU13" s="268">
        <f>'Data (Calculations)'!AU22*'Data (Calculations)'!AU19*'Data (Calculations)'!AU30*'Data (Calculations)'!AU35*'Data (Calculations)'!AU40*'Data (Calculations)'!AU47</f>
        <v>0</v>
      </c>
      <c r="AV13" s="268">
        <f>'Data (Calculations)'!AV22*'Data (Calculations)'!AV19*'Data (Calculations)'!AV30*'Data (Calculations)'!AV35*'Data (Calculations)'!AV40*'Data (Calculations)'!AV47</f>
        <v>0</v>
      </c>
      <c r="AW13" s="268">
        <f>'Data (Calculations)'!AW22*'Data (Calculations)'!AW19*'Data (Calculations)'!AW30*'Data (Calculations)'!AW35*'Data (Calculations)'!AW40*'Data (Calculations)'!AW47</f>
        <v>0</v>
      </c>
      <c r="AX13" s="268"/>
      <c r="AY13" s="268"/>
      <c r="AZ13" s="268" t="e">
        <f>'Data (Calculations)'!AZ22*'Data (Calculations)'!AZ19*'Data (Calculations)'!AZ30*'Data (Calculations)'!AZ35*'Data (Calculations)'!AZ40*'Data (Calculations)'!AZ47</f>
        <v>#VALUE!</v>
      </c>
      <c r="BA13" s="268">
        <f>'Data (Calculations)'!BA22*'Data (Calculations)'!BA19*'Data (Calculations)'!BA30*'Data (Calculations)'!BA35*'Data (Calculations)'!BA40*'Data (Calculations)'!BA47</f>
        <v>732.54418879168804</v>
      </c>
      <c r="BB13" s="268">
        <f>'Data (Calculations)'!BB22*'Data (Calculations)'!BB19*'Data (Calculations)'!BB30*'Data (Calculations)'!BB35*'Data (Calculations)'!BB40*'Data (Calculations)'!BB47</f>
        <v>4281.4328662611269</v>
      </c>
      <c r="BC13" s="268">
        <f>'Data (Calculations)'!BC22*'Data (Calculations)'!BC19*'Data (Calculations)'!BC30*'Data (Calculations)'!BC35*'Data (Calculations)'!BC40*'Data (Calculations)'!BC47</f>
        <v>1796.5847103175038</v>
      </c>
      <c r="BD13" s="268">
        <f>'Data (Calculations)'!BD22*'Data (Calculations)'!BD19*'Data (Calculations)'!BD30*'Data (Calculations)'!BD35*'Data (Calculations)'!BD40*'Data (Calculations)'!BD47</f>
        <v>534.8440141701841</v>
      </c>
      <c r="BE13" s="268">
        <f>'Data (Calculations)'!BE22*'Data (Calculations)'!BE19*'Data (Calculations)'!BE30*'Data (Calculations)'!BE35*'Data (Calculations)'!BE40*'Data (Calculations)'!BE47</f>
        <v>606.87873356117234</v>
      </c>
      <c r="BF13" s="268">
        <f>'Data (Calculations)'!BF22*'Data (Calculations)'!BF19*'Data (Calculations)'!BF30*'Data (Calculations)'!BF35*'Data (Calculations)'!BF40*'Data (Calculations)'!BF47</f>
        <v>2137.4914375228318</v>
      </c>
      <c r="BG13" s="268">
        <f>'Data (Calculations)'!BG22*'Data (Calculations)'!BG19*'Data (Calculations)'!BG30*'Data (Calculations)'!BG35*'Data (Calculations)'!BG40*'Data (Calculations)'!BG47</f>
        <v>2118.8113226307596</v>
      </c>
      <c r="BH13" s="268" t="e">
        <f>'Data (Calculations)'!BH22*'Data (Calculations)'!BH19*'Data (Calculations)'!BH30*'Data (Calculations)'!BH35*'Data (Calculations)'!BH40*'Data (Calculations)'!BH47</f>
        <v>#VALUE!</v>
      </c>
      <c r="BI13" s="268">
        <f>'Data (Calculations)'!BI22*'Data (Calculations)'!BI19*'Data (Calculations)'!BI30*'Data (Calculations)'!BI35*'Data (Calculations)'!BI40*'Data (Calculations)'!BI47</f>
        <v>6149.7939146622966</v>
      </c>
      <c r="BJ13" s="268">
        <f>'Data (Calculations)'!BJ22*'Data (Calculations)'!BJ19*'Data (Calculations)'!BJ30*'Data (Calculations)'!BJ35*'Data (Calculations)'!BJ40*'Data (Calculations)'!BJ47</f>
        <v>6134.4181169187596</v>
      </c>
      <c r="BK13" s="268">
        <f>'Data (Calculations)'!BK22*'Data (Calculations)'!BK19*'Data (Calculations)'!BK30*'Data (Calculations)'!BK35*'Data (Calculations)'!BK40*'Data (Calculations)'!BK47</f>
        <v>7822.8390257728115</v>
      </c>
      <c r="BL13" s="268">
        <f>'Data (Calculations)'!BL22*'Data (Calculations)'!BL19*'Data (Calculations)'!BL30*'Data (Calculations)'!BL35*'Data (Calculations)'!BL40*'Data (Calculations)'!BL47</f>
        <v>9615.1500456144404</v>
      </c>
      <c r="BM13" s="268">
        <f>'Data (Calculations)'!BM22*'Data (Calculations)'!BM19*'Data (Calculations)'!BM30*'Data (Calculations)'!BM35*'Data (Calculations)'!BM40*'Data (Calculations)'!BM47</f>
        <v>11509.200136243649</v>
      </c>
      <c r="BN13" s="268">
        <f>'Data (Calculations)'!BN22*'Data (Calculations)'!BN19*'Data (Calculations)'!BN30*'Data (Calculations)'!BN35*'Data (Calculations)'!BN40*'Data (Calculations)'!BN47</f>
        <v>13501.449711046278</v>
      </c>
      <c r="BO13" s="268">
        <f>'Data (Calculations)'!BO22*'Data (Calculations)'!BO19*'Data (Calculations)'!BO30*'Data (Calculations)'!BO35*'Data (Calculations)'!BO40*'Data (Calculations)'!BO47</f>
        <v>15587.599577705792</v>
      </c>
      <c r="BP13" s="268">
        <f>'Data (Calculations)'!BP22*'Data (Calculations)'!BP19*'Data (Calculations)'!BP30*'Data (Calculations)'!BP35*'Data (Calculations)'!BP40*'Data (Calculations)'!BP47</f>
        <v>17762.492970034415</v>
      </c>
      <c r="BQ13" s="268">
        <f>'Data (Calculations)'!BQ22*'Data (Calculations)'!BQ19*'Data (Calculations)'!BQ30*'Data (Calculations)'!BQ35*'Data (Calculations)'!BQ40*'Data (Calculations)'!BQ47</f>
        <v>20020.553696294548</v>
      </c>
      <c r="BR13" s="268">
        <f>'Data (Calculations)'!BR22*'Data (Calculations)'!BR19*'Data (Calculations)'!BR30*'Data (Calculations)'!BR35*'Data (Calculations)'!BR40*'Data (Calculations)'!BR47</f>
        <v>22356.156189596753</v>
      </c>
      <c r="BS13" s="268">
        <f>'Data (Calculations)'!BS22*'Data (Calculations)'!BS19*'Data (Calculations)'!BS30*'Data (Calculations)'!BS35*'Data (Calculations)'!BS40*'Data (Calculations)'!BS47</f>
        <v>24764.006565335822</v>
      </c>
      <c r="BT13" s="268">
        <f>'Data (Calculations)'!BT22*'Data (Calculations)'!BT19*'Data (Calculations)'!BT30*'Data (Calculations)'!BT35*'Data (Calculations)'!BT40*'Data (Calculations)'!BT47</f>
        <v>27238.008462431633</v>
      </c>
      <c r="BU13" s="268"/>
    </row>
    <row r="14" spans="1:73">
      <c r="A14" s="17"/>
      <c r="E14" s="17" t="s">
        <v>248</v>
      </c>
      <c r="F14" s="268" t="e">
        <f>'Data (Calculations)'!F22*'Data (Calculations)'!F19*'Data (Calculations)'!F30*'Data (Calculations)'!F35*'Data (Calculations)'!F40*(1-'Data (Calculations)'!F47)</f>
        <v>#VALUE!</v>
      </c>
      <c r="G14" s="268">
        <f>'Data (Calculations)'!G22*'Data (Calculations)'!G19*'Data (Calculations)'!G30*'Data (Calculations)'!G35*'Data (Calculations)'!G40*(1-'Data (Calculations)'!G47)</f>
        <v>983.80798338208774</v>
      </c>
      <c r="H14" s="268">
        <f>'Data (Calculations)'!H22*'Data (Calculations)'!H19*'Data (Calculations)'!H30*'Data (Calculations)'!H35*'Data (Calculations)'!H40*(1-'Data (Calculations)'!H47)</f>
        <v>3613.4492016237568</v>
      </c>
      <c r="I14" s="268">
        <f>'Data (Calculations)'!I22*'Data (Calculations)'!I19*'Data (Calculations)'!I30*'Data (Calculations)'!I35*'Data (Calculations)'!I40*(1-'Data (Calculations)'!I47)</f>
        <v>663.014066922403</v>
      </c>
      <c r="J14" s="268">
        <f>'Data (Calculations)'!J22*'Data (Calculations)'!J19*'Data (Calculations)'!J30*'Data (Calculations)'!J35*'Data (Calculations)'!J40*(1-'Data (Calculations)'!J47)</f>
        <v>369.99659080987669</v>
      </c>
      <c r="K14" s="268">
        <f>'Data (Calculations)'!K22*'Data (Calculations)'!K19*'Data (Calculations)'!K30*'Data (Calculations)'!K35*'Data (Calculations)'!K40*(1-'Data (Calculations)'!K47)</f>
        <v>389.8777047016319</v>
      </c>
      <c r="L14" s="268">
        <f>'Data (Calculations)'!L22*'Data (Calculations)'!L19*'Data (Calculations)'!L30*'Data (Calculations)'!L35*'Data (Calculations)'!L40*(1-'Data (Calculations)'!L47)</f>
        <v>752.11303407286482</v>
      </c>
      <c r="M14" s="268">
        <f>'Data (Calculations)'!M22*'Data (Calculations)'!M19*'Data (Calculations)'!M30*'Data (Calculations)'!M35*'Data (Calculations)'!M40*(1-'Data (Calculations)'!M47)</f>
        <v>762.6567856664301</v>
      </c>
      <c r="N14" s="268" t="e">
        <f>'Data (Calculations)'!N22*'Data (Calculations)'!N19*'Data (Calculations)'!N30*'Data (Calculations)'!N35*'Data (Calculations)'!N40*(1-'Data (Calculations)'!N47)</f>
        <v>#VALUE!</v>
      </c>
      <c r="O14" s="268">
        <f>'Data (Calculations)'!O22*'Data (Calculations)'!O19*'Data (Calculations)'!O30*'Data (Calculations)'!O35*'Data (Calculations)'!O40*(1-'Data (Calculations)'!O47)</f>
        <v>1837.2680493044411</v>
      </c>
      <c r="P14" s="268">
        <f>'Data (Calculations)'!P22*'Data (Calculations)'!P19*'Data (Calculations)'!P30*'Data (Calculations)'!P35*'Data (Calculations)'!P40*(1-'Data (Calculations)'!P47)</f>
        <v>1832.6744869316565</v>
      </c>
      <c r="Q14" s="268">
        <f>'Data (Calculations)'!Q22*'Data (Calculations)'!Q19*'Data (Calculations)'!Q30*'Data (Calculations)'!Q35*'Data (Calculations)'!Q40*(1-'Data (Calculations)'!Q47)</f>
        <v>2266.6537687944492</v>
      </c>
      <c r="R14" s="268">
        <f>'Data (Calculations)'!R22*'Data (Calculations)'!R19*'Data (Calculations)'!R30*'Data (Calculations)'!R35*'Data (Calculations)'!R40*(1-'Data (Calculations)'!R47)</f>
        <v>2724.7259140404676</v>
      </c>
      <c r="S14" s="268">
        <f>'Data (Calculations)'!S22*'Data (Calculations)'!S19*'Data (Calculations)'!S30*'Data (Calculations)'!S35*'Data (Calculations)'!S40*(1-'Data (Calculations)'!S47)</f>
        <v>3206.4257171827257</v>
      </c>
      <c r="T14" s="268">
        <f>'Data (Calculations)'!T22*'Data (Calculations)'!T19*'Data (Calculations)'!T30*'Data (Calculations)'!T35*'Data (Calculations)'!T40*(1-'Data (Calculations)'!T47)</f>
        <v>3710.8874050181676</v>
      </c>
      <c r="U14" s="268">
        <f>'Data (Calculations)'!U22*'Data (Calculations)'!U19*'Data (Calculations)'!U30*'Data (Calculations)'!U35*'Data (Calculations)'!U40*(1-'Data (Calculations)'!U47)</f>
        <v>4237.0466343985008</v>
      </c>
      <c r="V14" s="268">
        <f>'Data (Calculations)'!V22*'Data (Calculations)'!V19*'Data (Calculations)'!V30*'Data (Calculations)'!V35*'Data (Calculations)'!V40*(1-'Data (Calculations)'!V47)</f>
        <v>4783.6206992318594</v>
      </c>
      <c r="W14" s="268">
        <f>'Data (Calculations)'!W22*'Data (Calculations)'!W19*'Data (Calculations)'!W30*'Data (Calculations)'!W35*'Data (Calculations)'!W40*(1-'Data (Calculations)'!W47)</f>
        <v>5349.2301815170767</v>
      </c>
      <c r="X14" s="268">
        <f>'Data (Calculations)'!X22*'Data (Calculations)'!X19*'Data (Calculations)'!X30*'Data (Calculations)'!X35*'Data (Calculations)'!X40*(1-'Data (Calculations)'!X47)</f>
        <v>5932.4958725835622</v>
      </c>
      <c r="Y14" s="268">
        <f>'Data (Calculations)'!Y22*'Data (Calculations)'!Y19*'Data (Calculations)'!Y30*'Data (Calculations)'!Y35*'Data (Calculations)'!Y40*(1-'Data (Calculations)'!Y47)</f>
        <v>6532.1356562307919</v>
      </c>
      <c r="Z14" s="268">
        <f>'Data (Calculations)'!Z22*'Data (Calculations)'!Z19*'Data (Calculations)'!Z30*'Data (Calculations)'!Z35*'Data (Calculations)'!Z40*(1-'Data (Calculations)'!Z47)</f>
        <v>7146.6619900356463</v>
      </c>
      <c r="AA14" s="268"/>
      <c r="AB14" s="268"/>
      <c r="AC14" s="268" t="e">
        <f>'Data (Calculations)'!AC22*'Data (Calculations)'!AC19*'Data (Calculations)'!AC30*'Data (Calculations)'!AC35*'Data (Calculations)'!AC40*(1-'Data (Calculations)'!AC47)</f>
        <v>#VALUE!</v>
      </c>
      <c r="AD14" s="268">
        <f>'Data (Calculations)'!AD22*'Data (Calculations)'!AD19*'Data (Calculations)'!AD30*'Data (Calculations)'!AD35*'Data (Calculations)'!AD40*(1-'Data (Calculations)'!AD47)</f>
        <v>1252.579431333824</v>
      </c>
      <c r="AE14" s="268">
        <f>'Data (Calculations)'!AE22*'Data (Calculations)'!AE19*'Data (Calculations)'!AE30*'Data (Calculations)'!AE35*'Data (Calculations)'!AE40*(1-'Data (Calculations)'!AE47)</f>
        <v>5049.821162164988</v>
      </c>
      <c r="AF14" s="268">
        <f>'Data (Calculations)'!AF22*'Data (Calculations)'!AF19*'Data (Calculations)'!AF30*'Data (Calculations)'!AF35*'Data (Calculations)'!AF40*(1-'Data (Calculations)'!AF47)</f>
        <v>0</v>
      </c>
      <c r="AG14" s="268">
        <f>'Data (Calculations)'!AG22*'Data (Calculations)'!AG19*'Data (Calculations)'!AG30*'Data (Calculations)'!AG35*'Data (Calculations)'!AG40*(1-'Data (Calculations)'!AG47)</f>
        <v>374.89298000812653</v>
      </c>
      <c r="AH14" s="268">
        <f>'Data (Calculations)'!AH22*'Data (Calculations)'!AH19*'Data (Calculations)'!AH30*'Data (Calculations)'!AH35*'Data (Calculations)'!AH40*(1-'Data (Calculations)'!AH47)</f>
        <v>356.11836240042663</v>
      </c>
      <c r="AI14" s="268">
        <f>'Data (Calculations)'!AI22*'Data (Calculations)'!AI19*'Data (Calculations)'!AI30*'Data (Calculations)'!AI35*'Data (Calculations)'!AI40*(1-'Data (Calculations)'!AI47)</f>
        <v>0</v>
      </c>
      <c r="AJ14" s="268">
        <f>'Data (Calculations)'!AJ22*'Data (Calculations)'!AJ19*'Data (Calculations)'!AJ30*'Data (Calculations)'!AJ35*'Data (Calculations)'!AJ40*(1-'Data (Calculations)'!AJ47)</f>
        <v>0</v>
      </c>
      <c r="AK14" s="268" t="e">
        <f>'Data (Calculations)'!AK22*'Data (Calculations)'!AK19*'Data (Calculations)'!AK30*'Data (Calculations)'!AK35*'Data (Calculations)'!AK40*(1-'Data (Calculations)'!AK47)</f>
        <v>#VALUE!</v>
      </c>
      <c r="AL14" s="268">
        <f>'Data (Calculations)'!AL22*'Data (Calculations)'!AL19*'Data (Calculations)'!AL30*'Data (Calculations)'!AL35*'Data (Calculations)'!AL40*(1-'Data (Calculations)'!AL47)</f>
        <v>0</v>
      </c>
      <c r="AM14" s="268">
        <f>'Data (Calculations)'!AM22*'Data (Calculations)'!AM19*'Data (Calculations)'!AM30*'Data (Calculations)'!AM35*'Data (Calculations)'!AM40*(1-'Data (Calculations)'!AM47)</f>
        <v>0</v>
      </c>
      <c r="AN14" s="268">
        <f>'Data (Calculations)'!AN22*'Data (Calculations)'!AN19*'Data (Calculations)'!AN30*'Data (Calculations)'!AN35*'Data (Calculations)'!AN40*(1-'Data (Calculations)'!AN47)</f>
        <v>0</v>
      </c>
      <c r="AO14" s="268">
        <f>'Data (Calculations)'!AO22*'Data (Calculations)'!AO19*'Data (Calculations)'!AO30*'Data (Calculations)'!AO35*'Data (Calculations)'!AO40*(1-'Data (Calculations)'!AO47)</f>
        <v>0</v>
      </c>
      <c r="AP14" s="268">
        <f>'Data (Calculations)'!AP22*'Data (Calculations)'!AP19*'Data (Calculations)'!AP30*'Data (Calculations)'!AP35*'Data (Calculations)'!AP40*(1-'Data (Calculations)'!AP47)</f>
        <v>0</v>
      </c>
      <c r="AQ14" s="268">
        <f>'Data (Calculations)'!AQ22*'Data (Calculations)'!AQ19*'Data (Calculations)'!AQ30*'Data (Calculations)'!AQ35*'Data (Calculations)'!AQ40*(1-'Data (Calculations)'!AQ47)</f>
        <v>0</v>
      </c>
      <c r="AR14" s="268">
        <f>'Data (Calculations)'!AR22*'Data (Calculations)'!AR19*'Data (Calculations)'!AR30*'Data (Calculations)'!AR35*'Data (Calculations)'!AR40*(1-'Data (Calculations)'!AR47)</f>
        <v>0</v>
      </c>
      <c r="AS14" s="268">
        <f>'Data (Calculations)'!AS22*'Data (Calculations)'!AS19*'Data (Calculations)'!AS30*'Data (Calculations)'!AS35*'Data (Calculations)'!AS40*(1-'Data (Calculations)'!AS47)</f>
        <v>0</v>
      </c>
      <c r="AT14" s="268">
        <f>'Data (Calculations)'!AT22*'Data (Calculations)'!AT19*'Data (Calculations)'!AT30*'Data (Calculations)'!AT35*'Data (Calculations)'!AT40*(1-'Data (Calculations)'!AT47)</f>
        <v>0</v>
      </c>
      <c r="AU14" s="268">
        <f>'Data (Calculations)'!AU22*'Data (Calculations)'!AU19*'Data (Calculations)'!AU30*'Data (Calculations)'!AU35*'Data (Calculations)'!AU40*(1-'Data (Calculations)'!AU47)</f>
        <v>0</v>
      </c>
      <c r="AV14" s="268">
        <f>'Data (Calculations)'!AV22*'Data (Calculations)'!AV19*'Data (Calculations)'!AV30*'Data (Calculations)'!AV35*'Data (Calculations)'!AV40*(1-'Data (Calculations)'!AV47)</f>
        <v>0</v>
      </c>
      <c r="AW14" s="268">
        <f>'Data (Calculations)'!AW22*'Data (Calculations)'!AW19*'Data (Calculations)'!AW30*'Data (Calculations)'!AW35*'Data (Calculations)'!AW40*(1-'Data (Calculations)'!AW47)</f>
        <v>0</v>
      </c>
      <c r="AX14" s="268"/>
      <c r="AY14" s="268"/>
      <c r="AZ14" s="268" t="e">
        <f>'Data (Calculations)'!AZ22*'Data (Calculations)'!AZ19*'Data (Calculations)'!AZ30*'Data (Calculations)'!AZ35*'Data (Calculations)'!AZ40*(1-'Data (Calculations)'!AZ47)</f>
        <v>#VALUE!</v>
      </c>
      <c r="BA14" s="268">
        <f>'Data (Calculations)'!BA22*'Data (Calculations)'!BA19*'Data (Calculations)'!BA30*'Data (Calculations)'!BA35*'Data (Calculations)'!BA40*(1-'Data (Calculations)'!BA47)</f>
        <v>335.30448291631194</v>
      </c>
      <c r="BB14" s="268">
        <f>'Data (Calculations)'!BB22*'Data (Calculations)'!BB19*'Data (Calculations)'!BB30*'Data (Calculations)'!BB35*'Data (Calculations)'!BB40*(1-'Data (Calculations)'!BB47)</f>
        <v>1959.7229154606321</v>
      </c>
      <c r="BC14" s="268">
        <f>'Data (Calculations)'!BC22*'Data (Calculations)'!BC19*'Data (Calculations)'!BC30*'Data (Calculations)'!BC35*'Data (Calculations)'!BC40*(1-'Data (Calculations)'!BC47)</f>
        <v>822.34343883337624</v>
      </c>
      <c r="BD14" s="268">
        <f>'Data (Calculations)'!BD22*'Data (Calculations)'!BD19*'Data (Calculations)'!BD30*'Data (Calculations)'!BD35*'Data (Calculations)'!BD40*(1-'Data (Calculations)'!BD47)</f>
        <v>244.8119831624457</v>
      </c>
      <c r="BE14" s="268">
        <f>'Data (Calculations)'!BE22*'Data (Calculations)'!BE19*'Data (Calculations)'!BE30*'Data (Calculations)'!BE35*'Data (Calculations)'!BE40*(1-'Data (Calculations)'!BE47)</f>
        <v>277.78414335015754</v>
      </c>
      <c r="BF14" s="268">
        <f>'Data (Calculations)'!BF22*'Data (Calculations)'!BF19*'Data (Calculations)'!BF30*'Data (Calculations)'!BF35*'Data (Calculations)'!BF40*(1-'Data (Calculations)'!BF47)</f>
        <v>978.38529356001311</v>
      </c>
      <c r="BG14" s="268">
        <f>'Data (Calculations)'!BG22*'Data (Calculations)'!BG19*'Data (Calculations)'!BG30*'Data (Calculations)'!BG35*'Data (Calculations)'!BG40*(1-'Data (Calculations)'!BG47)</f>
        <v>969.83492027122202</v>
      </c>
      <c r="BH14" s="268" t="e">
        <f>'Data (Calculations)'!BH22*'Data (Calculations)'!BH19*'Data (Calculations)'!BH30*'Data (Calculations)'!BH35*'Data (Calculations)'!BH40*(1-'Data (Calculations)'!BH47)</f>
        <v>#VALUE!</v>
      </c>
      <c r="BI14" s="268">
        <f>'Data (Calculations)'!BI22*'Data (Calculations)'!BI19*'Data (Calculations)'!BI30*'Data (Calculations)'!BI35*'Data (Calculations)'!BI40*(1-'Data (Calculations)'!BI47)</f>
        <v>2814.9202466530037</v>
      </c>
      <c r="BJ14" s="268">
        <f>'Data (Calculations)'!BJ22*'Data (Calculations)'!BJ19*'Data (Calculations)'!BJ30*'Data (Calculations)'!BJ35*'Data (Calculations)'!BJ40*(1-'Data (Calculations)'!BJ47)</f>
        <v>2807.8823450619388</v>
      </c>
      <c r="BK14" s="268">
        <f>'Data (Calculations)'!BK22*'Data (Calculations)'!BK19*'Data (Calculations)'!BK30*'Data (Calculations)'!BK35*'Data (Calculations)'!BK40*(1-'Data (Calculations)'!BK47)</f>
        <v>3580.7164053828892</v>
      </c>
      <c r="BL14" s="268">
        <f>'Data (Calculations)'!BL22*'Data (Calculations)'!BL19*'Data (Calculations)'!BL30*'Data (Calculations)'!BL35*'Data (Calculations)'!BL40*(1-'Data (Calculations)'!BL47)</f>
        <v>4401.1036651937811</v>
      </c>
      <c r="BM14" s="268">
        <f>'Data (Calculations)'!BM22*'Data (Calculations)'!BM19*'Data (Calculations)'!BM30*'Data (Calculations)'!BM35*'Data (Calculations)'!BM40*(1-'Data (Calculations)'!BM47)</f>
        <v>5268.0595375809107</v>
      </c>
      <c r="BN14" s="268">
        <f>'Data (Calculations)'!BN22*'Data (Calculations)'!BN19*'Data (Calculations)'!BN30*'Data (Calculations)'!BN35*'Data (Calculations)'!BN40*(1-'Data (Calculations)'!BN47)</f>
        <v>6179.9638619074785</v>
      </c>
      <c r="BO14" s="268">
        <f>'Data (Calculations)'!BO22*'Data (Calculations)'!BO19*'Data (Calculations)'!BO30*'Data (Calculations)'!BO35*'Data (Calculations)'!BO40*(1-'Data (Calculations)'!BO47)</f>
        <v>7134.8487862968186</v>
      </c>
      <c r="BP14" s="268">
        <f>'Data (Calculations)'!BP22*'Data (Calculations)'!BP19*'Data (Calculations)'!BP30*'Data (Calculations)'!BP35*'Data (Calculations)'!BP40*(1-'Data (Calculations)'!BP47)</f>
        <v>8130.3539250594831</v>
      </c>
      <c r="BQ14" s="268">
        <f>'Data (Calculations)'!BQ22*'Data (Calculations)'!BQ19*'Data (Calculations)'!BQ30*'Data (Calculations)'!BQ35*'Data (Calculations)'!BQ40*(1-'Data (Calculations)'!BQ47)</f>
        <v>9163.9269105488147</v>
      </c>
      <c r="BR14" s="268">
        <f>'Data (Calculations)'!BR22*'Data (Calculations)'!BR19*'Data (Calculations)'!BR30*'Data (Calculations)'!BR35*'Data (Calculations)'!BR40*(1-'Data (Calculations)'!BR47)</f>
        <v>10232.992774829998</v>
      </c>
      <c r="BS14" s="268">
        <f>'Data (Calculations)'!BS22*'Data (Calculations)'!BS19*'Data (Calculations)'!BS30*'Data (Calculations)'!BS35*'Data (Calculations)'!BS40*(1-'Data (Calculations)'!BS47)</f>
        <v>11335.128369556043</v>
      </c>
      <c r="BT14" s="268">
        <f>'Data (Calculations)'!BT22*'Data (Calculations)'!BT19*'Data (Calculations)'!BT30*'Data (Calculations)'!BT35*'Data (Calculations)'!BT40*(1-'Data (Calculations)'!BT47)</f>
        <v>12467.543232075117</v>
      </c>
      <c r="BU14" s="268"/>
    </row>
    <row r="15" spans="1:73">
      <c r="A15" s="17"/>
      <c r="B15" s="331"/>
      <c r="E15" s="17" t="s">
        <v>256</v>
      </c>
      <c r="F15" s="268" t="e">
        <f>'Data (Calculations)'!F22*'Data (Calculations)'!F19*'Data (Calculations)'!F30*'Data (Calculations)'!F35*(1-'Data (Calculations)'!F40)*'Data (Calculations)'!F47</f>
        <v>#VALUE!</v>
      </c>
      <c r="G15" s="268">
        <f>'Data (Calculations)'!G22*'Data (Calculations)'!G19*'Data (Calculations)'!G30*'Data (Calculations)'!G35*(1-'Data (Calculations)'!G40)*'Data (Calculations)'!G47</f>
        <v>265.64857377088799</v>
      </c>
      <c r="H15" s="268">
        <f>'Data (Calculations)'!H22*'Data (Calculations)'!H19*'Data (Calculations)'!H30*'Data (Calculations)'!H35*(1-'Data (Calculations)'!H40)*'Data (Calculations)'!H47</f>
        <v>630.86604693575657</v>
      </c>
      <c r="I15" s="268">
        <f>'Data (Calculations)'!I22*'Data (Calculations)'!I19*'Data (Calculations)'!I30*'Data (Calculations)'!I35*(1-'Data (Calculations)'!I40)*'Data (Calculations)'!I47</f>
        <v>115.75451601040314</v>
      </c>
      <c r="J15" s="268">
        <f>'Data (Calculations)'!J22*'Data (Calculations)'!J19*'Data (Calculations)'!J30*'Data (Calculations)'!J35*(1-'Data (Calculations)'!J40)*'Data (Calculations)'!J47</f>
        <v>3059.3022595434772</v>
      </c>
      <c r="K15" s="268">
        <f>'Data (Calculations)'!K22*'Data (Calculations)'!K19*'Data (Calculations)'!K30*'Data (Calculations)'!K35*(1-'Data (Calculations)'!K40)*'Data (Calculations)'!K47</f>
        <v>2742.1995812776322</v>
      </c>
      <c r="L15" s="268">
        <f>'Data (Calculations)'!L22*'Data (Calculations)'!L19*'Data (Calculations)'!L30*'Data (Calculations)'!L35*(1-'Data (Calculations)'!L40)*'Data (Calculations)'!L47</f>
        <v>556.51580405536504</v>
      </c>
      <c r="M15" s="268">
        <f>'Data (Calculations)'!M22*'Data (Calculations)'!M19*'Data (Calculations)'!M30*'Data (Calculations)'!M35*(1-'Data (Calculations)'!M40)*'Data (Calculations)'!M47</f>
        <v>1834.2052855724301</v>
      </c>
      <c r="N15" s="268" t="e">
        <f>'Data (Calculations)'!N22*'Data (Calculations)'!N19*'Data (Calculations)'!N30*'Data (Calculations)'!N35*(1-'Data (Calculations)'!N40)*'Data (Calculations)'!N47</f>
        <v>#VALUE!</v>
      </c>
      <c r="O15" s="268">
        <f>'Data (Calculations)'!O22*'Data (Calculations)'!O19*'Data (Calculations)'!O30*'Data (Calculations)'!O35*(1-'Data (Calculations)'!O40)*'Data (Calculations)'!O47</f>
        <v>1725.7641080853718</v>
      </c>
      <c r="P15" s="268">
        <f>'Data (Calculations)'!P22*'Data (Calculations)'!P19*'Data (Calculations)'!P30*'Data (Calculations)'!P35*(1-'Data (Calculations)'!P40)*'Data (Calculations)'!P47</f>
        <v>1721.4493293712894</v>
      </c>
      <c r="Q15" s="268">
        <f>'Data (Calculations)'!Q22*'Data (Calculations)'!Q19*'Data (Calculations)'!Q30*'Data (Calculations)'!Q35*(1-'Data (Calculations)'!Q40)*'Data (Calculations)'!Q47</f>
        <v>1846.5126608175565</v>
      </c>
      <c r="R15" s="268">
        <f>'Data (Calculations)'!R22*'Data (Calculations)'!R19*'Data (Calculations)'!R30*'Data (Calculations)'!R35*(1-'Data (Calculations)'!R40)*'Data (Calculations)'!R47</f>
        <v>1906.063911364603</v>
      </c>
      <c r="S15" s="268">
        <f>'Data (Calculations)'!S22*'Data (Calculations)'!S19*'Data (Calculations)'!S30*'Data (Calculations)'!S35*(1-'Data (Calculations)'!S40)*'Data (Calculations)'!S47</f>
        <v>1901.254799497912</v>
      </c>
      <c r="T15" s="268">
        <f>'Data (Calculations)'!T22*'Data (Calculations)'!T19*'Data (Calculations)'!T30*'Data (Calculations)'!T35*(1-'Data (Calculations)'!T40)*'Data (Calculations)'!T47</f>
        <v>1833.0198812479823</v>
      </c>
      <c r="U15" s="268">
        <f>'Data (Calculations)'!U22*'Data (Calculations)'!U19*'Data (Calculations)'!U30*'Data (Calculations)'!U35*(1-'Data (Calculations)'!U40)*'Data (Calculations)'!U47</f>
        <v>1702.3456521282433</v>
      </c>
      <c r="V15" s="268">
        <f>'Data (Calculations)'!V22*'Data (Calculations)'!V19*'Data (Calculations)'!V30*'Data (Calculations)'!V35*(1-'Data (Calculations)'!V40)*'Data (Calculations)'!V47</f>
        <v>1510.327819741691</v>
      </c>
      <c r="W15" s="268">
        <f>'Data (Calculations)'!W22*'Data (Calculations)'!W19*'Data (Calculations)'!W30*'Data (Calculations)'!W35*(1-'Data (Calculations)'!W40)*'Data (Calculations)'!W47</f>
        <v>1258.2591367539735</v>
      </c>
      <c r="X15" s="268">
        <f>'Data (Calculations)'!X22*'Data (Calculations)'!X19*'Data (Calculations)'!X30*'Data (Calculations)'!X35*(1-'Data (Calculations)'!X40)*'Data (Calculations)'!X47</f>
        <v>947.64710427354589</v>
      </c>
      <c r="Y15" s="268">
        <f>'Data (Calculations)'!Y22*'Data (Calculations)'!Y19*'Data (Calculations)'!Y30*'Data (Calculations)'!Y35*(1-'Data (Calculations)'!Y40)*'Data (Calculations)'!Y47</f>
        <v>580.19002823101641</v>
      </c>
      <c r="Z15" s="268">
        <f>'Data (Calculations)'!Z22*'Data (Calculations)'!Z19*'Data (Calculations)'!Z30*'Data (Calculations)'!Z35*(1-'Data (Calculations)'!Z40)*'Data (Calculations)'!Z47</f>
        <v>157.71119234268238</v>
      </c>
      <c r="AA15" s="268"/>
      <c r="AB15" s="268"/>
      <c r="AC15" s="268" t="e">
        <f>'Data (Calculations)'!AC22*'Data (Calculations)'!AC19*'Data (Calculations)'!AC30*'Data (Calculations)'!AC35*(1-'Data (Calculations)'!AC40)*'Data (Calculations)'!AC47</f>
        <v>#VALUE!</v>
      </c>
      <c r="AD15" s="268">
        <f>'Data (Calculations)'!AD22*'Data (Calculations)'!AD19*'Data (Calculations)'!AD30*'Data (Calculations)'!AD35*(1-'Data (Calculations)'!AD40)*'Data (Calculations)'!AD47</f>
        <v>174.67193858822384</v>
      </c>
      <c r="AE15" s="268">
        <f>'Data (Calculations)'!AE22*'Data (Calculations)'!AE19*'Data (Calculations)'!AE30*'Data (Calculations)'!AE35*(1-'Data (Calculations)'!AE40)*'Data (Calculations)'!AE47</f>
        <v>271.28881569738718</v>
      </c>
      <c r="AF15" s="268">
        <f>'Data (Calculations)'!AF22*'Data (Calculations)'!AF19*'Data (Calculations)'!AF30*'Data (Calculations)'!AF35*(1-'Data (Calculations)'!AF40)*'Data (Calculations)'!AF47</f>
        <v>0</v>
      </c>
      <c r="AG15" s="268">
        <f>'Data (Calculations)'!AG22*'Data (Calculations)'!AG19*'Data (Calculations)'!AG30*'Data (Calculations)'!AG35*(1-'Data (Calculations)'!AG40)*'Data (Calculations)'!AG47</f>
        <v>2343.2586006395368</v>
      </c>
      <c r="AH15" s="268">
        <f>'Data (Calculations)'!AH22*'Data (Calculations)'!AH19*'Data (Calculations)'!AH30*'Data (Calculations)'!AH35*(1-'Data (Calculations)'!AH40)*'Data (Calculations)'!AH47</f>
        <v>1932.8425084952169</v>
      </c>
      <c r="AI15" s="268">
        <f>'Data (Calculations)'!AI22*'Data (Calculations)'!AI19*'Data (Calculations)'!AI30*'Data (Calculations)'!AI35*(1-'Data (Calculations)'!AI40)*'Data (Calculations)'!AI47</f>
        <v>0</v>
      </c>
      <c r="AJ15" s="268">
        <f>'Data (Calculations)'!AJ22*'Data (Calculations)'!AJ19*'Data (Calculations)'!AJ30*'Data (Calculations)'!AJ35*(1-'Data (Calculations)'!AJ40)*'Data (Calculations)'!AJ47</f>
        <v>0</v>
      </c>
      <c r="AK15" s="268" t="e">
        <f>'Data (Calculations)'!AK22*'Data (Calculations)'!AK19*'Data (Calculations)'!AK30*'Data (Calculations)'!AK35*(1-'Data (Calculations)'!AK40)*'Data (Calculations)'!AK47</f>
        <v>#VALUE!</v>
      </c>
      <c r="AL15" s="268">
        <f>'Data (Calculations)'!AL22*'Data (Calculations)'!AL19*'Data (Calculations)'!AL30*'Data (Calculations)'!AL35*(1-'Data (Calculations)'!AL40)*'Data (Calculations)'!AL47</f>
        <v>0</v>
      </c>
      <c r="AM15" s="268">
        <f>'Data (Calculations)'!AM22*'Data (Calculations)'!AM19*'Data (Calculations)'!AM30*'Data (Calculations)'!AM35*(1-'Data (Calculations)'!AM40)*'Data (Calculations)'!AM47</f>
        <v>0</v>
      </c>
      <c r="AN15" s="268">
        <f>'Data (Calculations)'!AN22*'Data (Calculations)'!AN19*'Data (Calculations)'!AN30*'Data (Calculations)'!AN35*(1-'Data (Calculations)'!AN40)*'Data (Calculations)'!AN47</f>
        <v>0</v>
      </c>
      <c r="AO15" s="268">
        <f>'Data (Calculations)'!AO22*'Data (Calculations)'!AO19*'Data (Calculations)'!AO30*'Data (Calculations)'!AO35*(1-'Data (Calculations)'!AO40)*'Data (Calculations)'!AO47</f>
        <v>0</v>
      </c>
      <c r="AP15" s="268">
        <f>'Data (Calculations)'!AP22*'Data (Calculations)'!AP19*'Data (Calculations)'!AP30*'Data (Calculations)'!AP35*(1-'Data (Calculations)'!AP40)*'Data (Calculations)'!AP47</f>
        <v>0</v>
      </c>
      <c r="AQ15" s="268">
        <f>'Data (Calculations)'!AQ22*'Data (Calculations)'!AQ19*'Data (Calculations)'!AQ30*'Data (Calculations)'!AQ35*(1-'Data (Calculations)'!AQ40)*'Data (Calculations)'!AQ47</f>
        <v>0</v>
      </c>
      <c r="AR15" s="268">
        <f>'Data (Calculations)'!AR22*'Data (Calculations)'!AR19*'Data (Calculations)'!AR30*'Data (Calculations)'!AR35*(1-'Data (Calculations)'!AR40)*'Data (Calculations)'!AR47</f>
        <v>0</v>
      </c>
      <c r="AS15" s="268">
        <f>'Data (Calculations)'!AS22*'Data (Calculations)'!AS19*'Data (Calculations)'!AS30*'Data (Calculations)'!AS35*(1-'Data (Calculations)'!AS40)*'Data (Calculations)'!AS47</f>
        <v>0</v>
      </c>
      <c r="AT15" s="268">
        <f>'Data (Calculations)'!AT22*'Data (Calculations)'!AT19*'Data (Calculations)'!AT30*'Data (Calculations)'!AT35*(1-'Data (Calculations)'!AT40)*'Data (Calculations)'!AT47</f>
        <v>0</v>
      </c>
      <c r="AU15" s="268">
        <f>'Data (Calculations)'!AU22*'Data (Calculations)'!AU19*'Data (Calculations)'!AU30*'Data (Calculations)'!AU35*(1-'Data (Calculations)'!AU40)*'Data (Calculations)'!AU47</f>
        <v>0</v>
      </c>
      <c r="AV15" s="268">
        <f>'Data (Calculations)'!AV22*'Data (Calculations)'!AV19*'Data (Calculations)'!AV30*'Data (Calculations)'!AV35*(1-'Data (Calculations)'!AV40)*'Data (Calculations)'!AV47</f>
        <v>0</v>
      </c>
      <c r="AW15" s="268">
        <f>'Data (Calculations)'!AW22*'Data (Calculations)'!AW19*'Data (Calculations)'!AW30*'Data (Calculations)'!AW35*(1-'Data (Calculations)'!AW40)*'Data (Calculations)'!AW47</f>
        <v>0</v>
      </c>
      <c r="AX15" s="268"/>
      <c r="AY15" s="268"/>
      <c r="AZ15" s="268" t="e">
        <f>'Data (Calculations)'!AZ22*'Data (Calculations)'!AZ19*'Data (Calculations)'!AZ30*'Data (Calculations)'!AZ35*(1-'Data (Calculations)'!AZ40)*'Data (Calculations)'!AZ47</f>
        <v>#VALUE!</v>
      </c>
      <c r="BA15" s="268">
        <f>'Data (Calculations)'!BA22*'Data (Calculations)'!BA19*'Data (Calculations)'!BA30*'Data (Calculations)'!BA35*(1-'Data (Calculations)'!BA40)*'Data (Calculations)'!BA47</f>
        <v>139.53222643651205</v>
      </c>
      <c r="BB15" s="268">
        <f>'Data (Calculations)'!BB22*'Data (Calculations)'!BB19*'Data (Calculations)'!BB30*'Data (Calculations)'!BB35*(1-'Data (Calculations)'!BB40)*'Data (Calculations)'!BB47</f>
        <v>606.04757467623256</v>
      </c>
      <c r="BC15" s="268">
        <f>'Data (Calculations)'!BC22*'Data (Calculations)'!BC19*'Data (Calculations)'!BC30*'Data (Calculations)'!BC35*(1-'Data (Calculations)'!BC40)*'Data (Calculations)'!BC47</f>
        <v>254.31107771617633</v>
      </c>
      <c r="BD15" s="268">
        <f>'Data (Calculations)'!BD22*'Data (Calculations)'!BD19*'Data (Calculations)'!BD30*'Data (Calculations)'!BD35*(1-'Data (Calculations)'!BD40)*'Data (Calculations)'!BD47</f>
        <v>2828.9548170888356</v>
      </c>
      <c r="BE15" s="268">
        <f>'Data (Calculations)'!BE22*'Data (Calculations)'!BE19*'Data (Calculations)'!BE30*'Data (Calculations)'!BE35*(1-'Data (Calculations)'!BE40)*'Data (Calculations)'!BE47</f>
        <v>2638.4620876215677</v>
      </c>
      <c r="BF15" s="268">
        <f>'Data (Calculations)'!BF22*'Data (Calculations)'!BF19*'Data (Calculations)'!BF30*'Data (Calculations)'!BF35*(1-'Data (Calculations)'!BF40)*'Data (Calculations)'!BF47</f>
        <v>929.21076839227851</v>
      </c>
      <c r="BG15" s="268">
        <f>'Data (Calculations)'!BG22*'Data (Calculations)'!BG19*'Data (Calculations)'!BG30*'Data (Calculations)'!BG35*(1-'Data (Calculations)'!BG40)*'Data (Calculations)'!BG47</f>
        <v>2854.9241765024794</v>
      </c>
      <c r="BH15" s="268" t="e">
        <f>'Data (Calculations)'!BH22*'Data (Calculations)'!BH19*'Data (Calculations)'!BH30*'Data (Calculations)'!BH35*(1-'Data (Calculations)'!BH40)*'Data (Calculations)'!BH47</f>
        <v>#VALUE!</v>
      </c>
      <c r="BI15" s="268">
        <f>'Data (Calculations)'!BI22*'Data (Calculations)'!BI19*'Data (Calculations)'!BI30*'Data (Calculations)'!BI35*(1-'Data (Calculations)'!BI40)*'Data (Calculations)'!BI47</f>
        <v>3321.2358197194239</v>
      </c>
      <c r="BJ15" s="268">
        <f>'Data (Calculations)'!BJ22*'Data (Calculations)'!BJ19*'Data (Calculations)'!BJ30*'Data (Calculations)'!BJ35*(1-'Data (Calculations)'!BJ40)*'Data (Calculations)'!BJ47</f>
        <v>3312.9320210993037</v>
      </c>
      <c r="BK15" s="268">
        <f>'Data (Calculations)'!BK22*'Data (Calculations)'!BK19*'Data (Calculations)'!BK30*'Data (Calculations)'!BK35*(1-'Data (Calculations)'!BK40)*'Data (Calculations)'!BK47</f>
        <v>3708.5676657059762</v>
      </c>
      <c r="BL15" s="268">
        <f>'Data (Calculations)'!BL22*'Data (Calculations)'!BL19*'Data (Calculations)'!BL30*'Data (Calculations)'!BL35*(1-'Data (Calculations)'!BL40)*'Data (Calculations)'!BL47</f>
        <v>3975.9079905197977</v>
      </c>
      <c r="BM15" s="268">
        <f>'Data (Calculations)'!BM22*'Data (Calculations)'!BM19*'Data (Calculations)'!BM30*'Data (Calculations)'!BM35*(1-'Data (Calculations)'!BM40)*'Data (Calculations)'!BM47</f>
        <v>4117.0730002501441</v>
      </c>
      <c r="BN15" s="268">
        <f>'Data (Calculations)'!BN22*'Data (Calculations)'!BN19*'Data (Calculations)'!BN30*'Data (Calculations)'!BN35*(1-'Data (Calculations)'!BN40)*'Data (Calculations)'!BN47</f>
        <v>4133.7622792281427</v>
      </c>
      <c r="BO15" s="268">
        <f>'Data (Calculations)'!BO22*'Data (Calculations)'!BO19*'Data (Calculations)'!BO30*'Data (Calculations)'!BO35*(1-'Data (Calculations)'!BO40)*'Data (Calculations)'!BO47</f>
        <v>4027.7483494190069</v>
      </c>
      <c r="BP15" s="268">
        <f>'Data (Calculations)'!BP22*'Data (Calculations)'!BP19*'Data (Calculations)'!BP30*'Data (Calculations)'!BP35*(1-'Data (Calculations)'!BP40)*'Data (Calculations)'!BP47</f>
        <v>3800.9768599672016</v>
      </c>
      <c r="BQ15" s="268">
        <f>'Data (Calculations)'!BQ22*'Data (Calculations)'!BQ19*'Data (Calculations)'!BQ30*'Data (Calculations)'!BQ35*(1-'Data (Calculations)'!BQ40)*'Data (Calculations)'!BQ47</f>
        <v>3455.7588618170489</v>
      </c>
      <c r="BR15" s="268">
        <f>'Data (Calculations)'!BR22*'Data (Calculations)'!BR19*'Data (Calculations)'!BR30*'Data (Calculations)'!BR35*(1-'Data (Calculations)'!BR40)*'Data (Calculations)'!BR47</f>
        <v>2994.8292830710548</v>
      </c>
      <c r="BS15" s="268">
        <f>'Data (Calculations)'!BS22*'Data (Calculations)'!BS19*'Data (Calculations)'!BS30*'Data (Calculations)'!BS35*(1-'Data (Calculations)'!BS40)*'Data (Calculations)'!BS47</f>
        <v>2421.3244365748228</v>
      </c>
      <c r="BT15" s="268">
        <f>'Data (Calculations)'!BT22*'Data (Calculations)'!BT19*'Data (Calculations)'!BT30*'Data (Calculations)'!BT35*(1-'Data (Calculations)'!BT40)*'Data (Calculations)'!BT47</f>
        <v>1738.5962848360737</v>
      </c>
      <c r="BU15" s="268"/>
    </row>
    <row r="16" spans="1:73">
      <c r="A16" s="17"/>
      <c r="E16" s="17" t="s">
        <v>249</v>
      </c>
      <c r="F16" s="268" t="e">
        <f>'Data (Calculations)'!F22*'Data (Calculations)'!F19*'Data (Calculations)'!F30*'Data (Calculations)'!F35*(1-'Data (Calculations)'!F40)*(1-'Data (Calculations)'!F47)</f>
        <v>#VALUE!</v>
      </c>
      <c r="G16" s="268">
        <f>'Data (Calculations)'!G22*'Data (Calculations)'!G19*'Data (Calculations)'!G30*'Data (Calculations)'!G35*(1-'Data (Calculations)'!G40)*(1-'Data (Calculations)'!G47)</f>
        <v>121.59424513711197</v>
      </c>
      <c r="H16" s="268">
        <f>'Data (Calculations)'!H22*'Data (Calculations)'!H19*'Data (Calculations)'!H30*'Data (Calculations)'!H35*(1-'Data (Calculations)'!H40)*(1-'Data (Calculations)'!H47)</f>
        <v>288.76375909304301</v>
      </c>
      <c r="I16" s="268">
        <f>'Data (Calculations)'!I22*'Data (Calculations)'!I19*'Data (Calculations)'!I30*'Data (Calculations)'!I35*(1-'Data (Calculations)'!I40)*(1-'Data (Calculations)'!I47)</f>
        <v>52.983845520796763</v>
      </c>
      <c r="J16" s="268">
        <f>'Data (Calculations)'!J22*'Data (Calculations)'!J19*'Data (Calculations)'!J30*'Data (Calculations)'!J35*(1-'Data (Calculations)'!J40)*(1-'Data (Calculations)'!J47)</f>
        <v>1400.3220255053232</v>
      </c>
      <c r="K16" s="268">
        <f>'Data (Calculations)'!K22*'Data (Calculations)'!K19*'Data (Calculations)'!K30*'Data (Calculations)'!K35*(1-'Data (Calculations)'!K40)*(1-'Data (Calculations)'!K47)</f>
        <v>1255.1759016343676</v>
      </c>
      <c r="L16" s="268">
        <f>'Data (Calculations)'!L22*'Data (Calculations)'!L19*'Data (Calculations)'!L30*'Data (Calculations)'!L35*(1-'Data (Calculations)'!L40)*(1-'Data (Calculations)'!L47)</f>
        <v>254.73172372213494</v>
      </c>
      <c r="M16" s="268">
        <f>'Data (Calculations)'!M22*'Data (Calculations)'!M19*'Data (Calculations)'!M30*'Data (Calculations)'!M35*(1-'Data (Calculations)'!M40)*(1-'Data (Calculations)'!M47)</f>
        <v>839.56335228825492</v>
      </c>
      <c r="N16" s="268" t="e">
        <f>'Data (Calculations)'!N22*'Data (Calculations)'!N19*'Data (Calculations)'!N30*'Data (Calculations)'!N35*(1-'Data (Calculations)'!N40)*(1-'Data (Calculations)'!N47)</f>
        <v>#VALUE!</v>
      </c>
      <c r="O16" s="268">
        <f>'Data (Calculations)'!O22*'Data (Calculations)'!O19*'Data (Calculations)'!O30*'Data (Calculations)'!O35*(1-'Data (Calculations)'!O40)*(1-'Data (Calculations)'!O47)</f>
        <v>789.92701157260444</v>
      </c>
      <c r="P16" s="268">
        <f>'Data (Calculations)'!P22*'Data (Calculations)'!P19*'Data (Calculations)'!P30*'Data (Calculations)'!P35*(1-'Data (Calculations)'!P40)*(1-'Data (Calculations)'!P47)</f>
        <v>787.95202539735385</v>
      </c>
      <c r="Q16" s="268">
        <f>'Data (Calculations)'!Q22*'Data (Calculations)'!Q19*'Data (Calculations)'!Q30*'Data (Calculations)'!Q35*(1-'Data (Calculations)'!Q40)*(1-'Data (Calculations)'!Q47)</f>
        <v>845.19675728383754</v>
      </c>
      <c r="R16" s="268">
        <f>'Data (Calculations)'!R22*'Data (Calculations)'!R19*'Data (Calculations)'!R30*'Data (Calculations)'!R35*(1-'Data (Calculations)'!R40)*(1-'Data (Calculations)'!R47)</f>
        <v>872.45490986659649</v>
      </c>
      <c r="S16" s="268">
        <f>'Data (Calculations)'!S22*'Data (Calculations)'!S19*'Data (Calculations)'!S30*'Data (Calculations)'!S35*(1-'Data (Calculations)'!S40)*(1-'Data (Calculations)'!S47)</f>
        <v>870.25365458067677</v>
      </c>
      <c r="T16" s="268">
        <f>'Data (Calculations)'!T22*'Data (Calculations)'!T19*'Data (Calculations)'!T30*'Data (Calculations)'!T35*(1-'Data (Calculations)'!T40)*(1-'Data (Calculations)'!T47)</f>
        <v>839.0207619706506</v>
      </c>
      <c r="U16" s="268">
        <f>'Data (Calculations)'!U22*'Data (Calculations)'!U19*'Data (Calculations)'!U30*'Data (Calculations)'!U35*(1-'Data (Calculations)'!U40)*(1-'Data (Calculations)'!U47)</f>
        <v>779.20777663012859</v>
      </c>
      <c r="V16" s="268">
        <f>'Data (Calculations)'!V22*'Data (Calculations)'!V19*'Data (Calculations)'!V30*'Data (Calculations)'!V35*(1-'Data (Calculations)'!V40)*(1-'Data (Calculations)'!V47)</f>
        <v>691.31623235989923</v>
      </c>
      <c r="W16" s="268">
        <f>'Data (Calculations)'!W22*'Data (Calculations)'!W19*'Data (Calculations)'!W30*'Data (Calculations)'!W35*(1-'Data (Calculations)'!W40)*(1-'Data (Calculations)'!W47)</f>
        <v>575.93785559875744</v>
      </c>
      <c r="X16" s="268">
        <f>'Data (Calculations)'!X22*'Data (Calculations)'!X19*'Data (Calculations)'!X30*'Data (Calculations)'!X35*(1-'Data (Calculations)'!X40)*(1-'Data (Calculations)'!X47)</f>
        <v>433.76266871996114</v>
      </c>
      <c r="Y16" s="268">
        <f>'Data (Calculations)'!Y22*'Data (Calculations)'!Y19*'Data (Calculations)'!Y30*'Data (Calculations)'!Y35*(1-'Data (Calculations)'!Y40)*(1-'Data (Calculations)'!Y47)</f>
        <v>265.56803041478003</v>
      </c>
      <c r="Z16" s="268">
        <f>'Data (Calculations)'!Z22*'Data (Calculations)'!Z19*'Data (Calculations)'!Z30*'Data (Calculations)'!Z35*(1-'Data (Calculations)'!Z40)*(1-'Data (Calculations)'!Z47)</f>
        <v>72.188504949857517</v>
      </c>
      <c r="AA16" s="268"/>
      <c r="AB16" s="268"/>
      <c r="AC16" s="268" t="e">
        <f>'Data (Calculations)'!AC22*'Data (Calculations)'!AC19*'Data (Calculations)'!AC30*'Data (Calculations)'!AC35*(1-'Data (Calculations)'!AC40)*(1-'Data (Calculations)'!AC47)</f>
        <v>#VALUE!</v>
      </c>
      <c r="AD16" s="268">
        <f>'Data (Calculations)'!AD22*'Data (Calculations)'!AD19*'Data (Calculations)'!AD30*'Data (Calculations)'!AD35*(1-'Data (Calculations)'!AD40)*(1-'Data (Calculations)'!AD47)</f>
        <v>79.951878595775909</v>
      </c>
      <c r="AE16" s="268">
        <f>'Data (Calculations)'!AE22*'Data (Calculations)'!AE19*'Data (Calculations)'!AE30*'Data (Calculations)'!AE35*(1-'Data (Calculations)'!AE40)*(1-'Data (Calculations)'!AE47)</f>
        <v>124.17593021717136</v>
      </c>
      <c r="AF16" s="268">
        <f>'Data (Calculations)'!AF22*'Data (Calculations)'!AF19*'Data (Calculations)'!AF30*'Data (Calculations)'!AF35*(1-'Data (Calculations)'!AF40)*(1-'Data (Calculations)'!AF47)</f>
        <v>0</v>
      </c>
      <c r="AG16" s="268">
        <f>'Data (Calculations)'!AG22*'Data (Calculations)'!AG19*'Data (Calculations)'!AG30*'Data (Calculations)'!AG35*(1-'Data (Calculations)'!AG40)*(1-'Data (Calculations)'!AG47)</f>
        <v>1072.5702632664934</v>
      </c>
      <c r="AH16" s="268">
        <f>'Data (Calculations)'!AH22*'Data (Calculations)'!AH19*'Data (Calculations)'!AH30*'Data (Calculations)'!AH35*(1-'Data (Calculations)'!AH40)*(1-'Data (Calculations)'!AH47)</f>
        <v>884.71216861151299</v>
      </c>
      <c r="AI16" s="268">
        <f>'Data (Calculations)'!AI22*'Data (Calculations)'!AI19*'Data (Calculations)'!AI30*'Data (Calculations)'!AI35*(1-'Data (Calculations)'!AI40)*(1-'Data (Calculations)'!AI47)</f>
        <v>0</v>
      </c>
      <c r="AJ16" s="268">
        <f>'Data (Calculations)'!AJ22*'Data (Calculations)'!AJ19*'Data (Calculations)'!AJ30*'Data (Calculations)'!AJ35*(1-'Data (Calculations)'!AJ40)*(1-'Data (Calculations)'!AJ47)</f>
        <v>0</v>
      </c>
      <c r="AK16" s="268" t="e">
        <f>'Data (Calculations)'!AK22*'Data (Calculations)'!AK19*'Data (Calculations)'!AK30*'Data (Calculations)'!AK35*(1-'Data (Calculations)'!AK40)*(1-'Data (Calculations)'!AK47)</f>
        <v>#VALUE!</v>
      </c>
      <c r="AL16" s="268">
        <f>'Data (Calculations)'!AL22*'Data (Calculations)'!AL19*'Data (Calculations)'!AL30*'Data (Calculations)'!AL35*(1-'Data (Calculations)'!AL40)*(1-'Data (Calculations)'!AL47)</f>
        <v>0</v>
      </c>
      <c r="AM16" s="268">
        <f>'Data (Calculations)'!AM22*'Data (Calculations)'!AM19*'Data (Calculations)'!AM30*'Data (Calculations)'!AM35*(1-'Data (Calculations)'!AM40)*(1-'Data (Calculations)'!AM47)</f>
        <v>0</v>
      </c>
      <c r="AN16" s="268">
        <f>'Data (Calculations)'!AN22*'Data (Calculations)'!AN19*'Data (Calculations)'!AN30*'Data (Calculations)'!AN35*(1-'Data (Calculations)'!AN40)*(1-'Data (Calculations)'!AN47)</f>
        <v>0</v>
      </c>
      <c r="AO16" s="268">
        <f>'Data (Calculations)'!AO22*'Data (Calculations)'!AO19*'Data (Calculations)'!AO30*'Data (Calculations)'!AO35*(1-'Data (Calculations)'!AO40)*(1-'Data (Calculations)'!AO47)</f>
        <v>0</v>
      </c>
      <c r="AP16" s="268">
        <f>'Data (Calculations)'!AP22*'Data (Calculations)'!AP19*'Data (Calculations)'!AP30*'Data (Calculations)'!AP35*(1-'Data (Calculations)'!AP40)*(1-'Data (Calculations)'!AP47)</f>
        <v>0</v>
      </c>
      <c r="AQ16" s="268">
        <f>'Data (Calculations)'!AQ22*'Data (Calculations)'!AQ19*'Data (Calculations)'!AQ30*'Data (Calculations)'!AQ35*(1-'Data (Calculations)'!AQ40)*(1-'Data (Calculations)'!AQ47)</f>
        <v>0</v>
      </c>
      <c r="AR16" s="268">
        <f>'Data (Calculations)'!AR22*'Data (Calculations)'!AR19*'Data (Calculations)'!AR30*'Data (Calculations)'!AR35*(1-'Data (Calculations)'!AR40)*(1-'Data (Calculations)'!AR47)</f>
        <v>0</v>
      </c>
      <c r="AS16" s="268">
        <f>'Data (Calculations)'!AS22*'Data (Calculations)'!AS19*'Data (Calculations)'!AS30*'Data (Calculations)'!AS35*(1-'Data (Calculations)'!AS40)*(1-'Data (Calculations)'!AS47)</f>
        <v>0</v>
      </c>
      <c r="AT16" s="268">
        <f>'Data (Calculations)'!AT22*'Data (Calculations)'!AT19*'Data (Calculations)'!AT30*'Data (Calculations)'!AT35*(1-'Data (Calculations)'!AT40)*(1-'Data (Calculations)'!AT47)</f>
        <v>0</v>
      </c>
      <c r="AU16" s="268">
        <f>'Data (Calculations)'!AU22*'Data (Calculations)'!AU19*'Data (Calculations)'!AU30*'Data (Calculations)'!AU35*(1-'Data (Calculations)'!AU40)*(1-'Data (Calculations)'!AU47)</f>
        <v>0</v>
      </c>
      <c r="AV16" s="268">
        <f>'Data (Calculations)'!AV22*'Data (Calculations)'!AV19*'Data (Calculations)'!AV30*'Data (Calculations)'!AV35*(1-'Data (Calculations)'!AV40)*(1-'Data (Calculations)'!AV47)</f>
        <v>0</v>
      </c>
      <c r="AW16" s="268">
        <f>'Data (Calculations)'!AW22*'Data (Calculations)'!AW19*'Data (Calculations)'!AW30*'Data (Calculations)'!AW35*(1-'Data (Calculations)'!AW40)*(1-'Data (Calculations)'!AW47)</f>
        <v>0</v>
      </c>
      <c r="AX16" s="268"/>
      <c r="AY16" s="268"/>
      <c r="AZ16" s="268" t="e">
        <f>'Data (Calculations)'!AZ22*'Data (Calculations)'!AZ19*'Data (Calculations)'!AZ30*'Data (Calculations)'!AZ35*(1-'Data (Calculations)'!AZ40)*(1-'Data (Calculations)'!AZ47)</f>
        <v>#VALUE!</v>
      </c>
      <c r="BA16" s="268">
        <f>'Data (Calculations)'!BA22*'Data (Calculations)'!BA19*'Data (Calculations)'!BA30*'Data (Calculations)'!BA35*(1-'Data (Calculations)'!BA40)*(1-'Data (Calculations)'!BA47)</f>
        <v>63.867520555488007</v>
      </c>
      <c r="BB16" s="268">
        <f>'Data (Calculations)'!BB22*'Data (Calculations)'!BB19*'Data (Calculations)'!BB30*'Data (Calculations)'!BB35*(1-'Data (Calculations)'!BB40)*(1-'Data (Calculations)'!BB47)</f>
        <v>277.40370036200727</v>
      </c>
      <c r="BC16" s="268">
        <f>'Data (Calculations)'!BC22*'Data (Calculations)'!BC19*'Data (Calculations)'!BC30*'Data (Calculations)'!BC35*(1-'Data (Calculations)'!BC40)*(1-'Data (Calculations)'!BC47)</f>
        <v>116.40477901294366</v>
      </c>
      <c r="BD16" s="268">
        <f>'Data (Calculations)'!BD22*'Data (Calculations)'!BD19*'Data (Calculations)'!BD30*'Data (Calculations)'!BD35*(1-'Data (Calculations)'!BD40)*(1-'Data (Calculations)'!BD47)</f>
        <v>1294.8860241485338</v>
      </c>
      <c r="BE16" s="268">
        <f>'Data (Calculations)'!BE22*'Data (Calculations)'!BE19*'Data (Calculations)'!BE30*'Data (Calculations)'!BE35*(1-'Data (Calculations)'!BE40)*(1-'Data (Calculations)'!BE47)</f>
        <v>1207.692559057102</v>
      </c>
      <c r="BF16" s="268">
        <f>'Data (Calculations)'!BF22*'Data (Calculations)'!BF19*'Data (Calculations)'!BF30*'Data (Calculations)'!BF35*(1-'Data (Calculations)'!BF40)*(1-'Data (Calculations)'!BF47)</f>
        <v>425.32387940987667</v>
      </c>
      <c r="BG16" s="268">
        <f>'Data (Calculations)'!BG22*'Data (Calculations)'!BG19*'Data (Calculations)'!BG30*'Data (Calculations)'!BG35*(1-'Data (Calculations)'!BG40)*(1-'Data (Calculations)'!BG47)</f>
        <v>1306.7728737926798</v>
      </c>
      <c r="BH16" s="268" t="e">
        <f>'Data (Calculations)'!BH22*'Data (Calculations)'!BH19*'Data (Calculations)'!BH30*'Data (Calculations)'!BH35*(1-'Data (Calculations)'!BH40)*(1-'Data (Calculations)'!BH47)</f>
        <v>#VALUE!</v>
      </c>
      <c r="BI16" s="268">
        <f>'Data (Calculations)'!BI22*'Data (Calculations)'!BI19*'Data (Calculations)'!BI30*'Data (Calculations)'!BI35*(1-'Data (Calculations)'!BI40)*(1-'Data (Calculations)'!BI47)</f>
        <v>1520.2158125246337</v>
      </c>
      <c r="BJ16" s="268">
        <f>'Data (Calculations)'!BJ22*'Data (Calculations)'!BJ19*'Data (Calculations)'!BJ30*'Data (Calculations)'!BJ35*(1-'Data (Calculations)'!BJ40)*(1-'Data (Calculations)'!BJ47)</f>
        <v>1516.4149484332086</v>
      </c>
      <c r="BK16" s="268">
        <f>'Data (Calculations)'!BK22*'Data (Calculations)'!BK19*'Data (Calculations)'!BK30*'Data (Calculations)'!BK35*(1-'Data (Calculations)'!BK40)*(1-'Data (Calculations)'!BK47)</f>
        <v>1697.5076487342219</v>
      </c>
      <c r="BL16" s="268">
        <f>'Data (Calculations)'!BL22*'Data (Calculations)'!BL19*'Data (Calculations)'!BL30*'Data (Calculations)'!BL35*(1-'Data (Calculations)'!BL40)*(1-'Data (Calculations)'!BL47)</f>
        <v>1819.8762522204318</v>
      </c>
      <c r="BM16" s="268">
        <f>'Data (Calculations)'!BM22*'Data (Calculations)'!BM19*'Data (Calculations)'!BM30*'Data (Calculations)'!BM35*(1-'Data (Calculations)'!BM40)*(1-'Data (Calculations)'!BM47)</f>
        <v>1884.491140056188</v>
      </c>
      <c r="BN16" s="268">
        <f>'Data (Calculations)'!BN22*'Data (Calculations)'!BN19*'Data (Calculations)'!BN30*'Data (Calculations)'!BN35*(1-'Data (Calculations)'!BN40)*(1-'Data (Calculations)'!BN47)</f>
        <v>1892.1302560898489</v>
      </c>
      <c r="BO16" s="268">
        <f>'Data (Calculations)'!BO22*'Data (Calculations)'!BO19*'Data (Calculations)'!BO30*'Data (Calculations)'!BO35*(1-'Data (Calculations)'!BO40)*(1-'Data (Calculations)'!BO47)</f>
        <v>1843.6049296174458</v>
      </c>
      <c r="BP16" s="268">
        <f>'Data (Calculations)'!BP22*'Data (Calculations)'!BP19*'Data (Calculations)'!BP30*'Data (Calculations)'!BP35*(1-'Data (Calculations)'!BP40)*(1-'Data (Calculations)'!BP47)</f>
        <v>1739.8057347371735</v>
      </c>
      <c r="BQ16" s="268">
        <f>'Data (Calculations)'!BQ22*'Data (Calculations)'!BQ19*'Data (Calculations)'!BQ30*'Data (Calculations)'!BQ35*(1-'Data (Calculations)'!BQ40)*(1-'Data (Calculations)'!BQ47)</f>
        <v>1581.790499432293</v>
      </c>
      <c r="BR16" s="268">
        <f>'Data (Calculations)'!BR22*'Data (Calculations)'!BR19*'Data (Calculations)'!BR30*'Data (Calculations)'!BR35*(1-'Data (Calculations)'!BR40)*(1-'Data (Calculations)'!BR47)</f>
        <v>1370.8110712599287</v>
      </c>
      <c r="BS16" s="268">
        <f>'Data (Calculations)'!BS22*'Data (Calculations)'!BS19*'Data (Calculations)'!BS30*'Data (Calculations)'!BS35*(1-'Data (Calculations)'!BS40)*(1-'Data (Calculations)'!BS47)</f>
        <v>1108.3030219890586</v>
      </c>
      <c r="BT16" s="268">
        <f>'Data (Calculations)'!BT22*'Data (Calculations)'!BT19*'Data (Calculations)'!BT30*'Data (Calculations)'!BT35*(1-'Data (Calculations)'!BT40)*(1-'Data (Calculations)'!BT47)</f>
        <v>795.80063183458742</v>
      </c>
      <c r="BU16" s="268"/>
    </row>
    <row r="17" spans="1:73">
      <c r="A17" s="17"/>
      <c r="E17" s="17" t="s">
        <v>257</v>
      </c>
      <c r="F17" s="268" t="e">
        <f>'Data (Calculations)'!F47*(1-'Data (Calculations)'!F35)*'Data (Calculations)'!F22*'Data (Calculations)'!F30*'Data (Calculations)'!F19         +           'Data (Calculations)'!F47*'Data (Calculations)'!F22*(1-'Data (Calculations)'!F30)*'Data (Calculations)'!F19</f>
        <v>#VALUE!</v>
      </c>
      <c r="G17" s="268">
        <f>'Data (Calculations)'!G47*(1-'Data (Calculations)'!G35)*'Data (Calculations)'!G22*'Data (Calculations)'!G30*'Data (Calculations)'!G19         +           'Data (Calculations)'!G47*'Data (Calculations)'!G22*(1-'Data (Calculations)'!G30)*'Data (Calculations)'!G19</f>
        <v>49965.407668719206</v>
      </c>
      <c r="H17" s="268">
        <f>'Data (Calculations)'!H47*(1-'Data (Calculations)'!H35)*'Data (Calculations)'!H22*'Data (Calculations)'!H30*'Data (Calculations)'!H19         +           'Data (Calculations)'!H47*'Data (Calculations)'!H22*(1-'Data (Calculations)'!H30)*'Data (Calculations)'!H19</f>
        <v>106185.77576391683</v>
      </c>
      <c r="I17" s="268">
        <f>'Data (Calculations)'!I47*(1-'Data (Calculations)'!I35)*'Data (Calculations)'!I22*'Data (Calculations)'!I30*'Data (Calculations)'!I19         +           'Data (Calculations)'!I47*'Data (Calculations)'!I22*(1-'Data (Calculations)'!I30)*'Data (Calculations)'!I19</f>
        <v>14469.798186043201</v>
      </c>
      <c r="J17" s="268">
        <f>'Data (Calculations)'!J47*(1-'Data (Calculations)'!J35)*'Data (Calculations)'!J22*'Data (Calculations)'!J30*'Data (Calculations)'!J19         +           'Data (Calculations)'!J47*'Data (Calculations)'!J22*(1-'Data (Calculations)'!J30)*'Data (Calculations)'!J19</f>
        <v>36934.998183115211</v>
      </c>
      <c r="K17" s="268">
        <f>'Data (Calculations)'!K47*(1-'Data (Calculations)'!K35)*'Data (Calculations)'!K22*'Data (Calculations)'!K30*'Data (Calculations)'!K19         +           'Data (Calculations)'!K47*'Data (Calculations)'!K22*(1-'Data (Calculations)'!K30)*'Data (Calculations)'!K19</f>
        <v>33564.396146735999</v>
      </c>
      <c r="L17" s="268">
        <f>'Data (Calculations)'!L47*(1-'Data (Calculations)'!L35)*'Data (Calculations)'!L22*'Data (Calculations)'!L30*'Data (Calculations)'!L19         +           'Data (Calculations)'!L47*'Data (Calculations)'!L22*(1-'Data (Calculations)'!L30)*'Data (Calculations)'!L19</f>
        <v>13703.215180095001</v>
      </c>
      <c r="M17" s="268">
        <f>'Data (Calculations)'!M47*(1-'Data (Calculations)'!M35)*'Data (Calculations)'!M22*'Data (Calculations)'!M30*'Data (Calculations)'!M19         +           'Data (Calculations)'!M47*'Data (Calculations)'!M22*(1-'Data (Calculations)'!M30)*'Data (Calculations)'!M19</f>
        <v>14152.333043640401</v>
      </c>
      <c r="N17" s="268" t="e">
        <f>'Data (Calculations)'!N47*(1-'Data (Calculations)'!N35)*'Data (Calculations)'!N22*'Data (Calculations)'!N30*'Data (Calculations)'!N19         +           'Data (Calculations)'!N47*'Data (Calculations)'!N22*(1-'Data (Calculations)'!N30)*'Data (Calculations)'!N19</f>
        <v>#VALUE!</v>
      </c>
      <c r="O17" s="268">
        <f>'Data (Calculations)'!O47*(1-'Data (Calculations)'!O35)*'Data (Calculations)'!O22*'Data (Calculations)'!O30*'Data (Calculations)'!O19         +           'Data (Calculations)'!O47*'Data (Calculations)'!O22*(1-'Data (Calculations)'!O30)*'Data (Calculations)'!O19</f>
        <v>11216.515532936932</v>
      </c>
      <c r="P17" s="268">
        <f>'Data (Calculations)'!P47*(1-'Data (Calculations)'!P35)*'Data (Calculations)'!P22*'Data (Calculations)'!P30*'Data (Calculations)'!P19         +           'Data (Calculations)'!P47*'Data (Calculations)'!P22*(1-'Data (Calculations)'!P30)*'Data (Calculations)'!P19</f>
        <v>11188.471849422513</v>
      </c>
      <c r="Q17" s="268">
        <f>'Data (Calculations)'!Q47*(1-'Data (Calculations)'!Q35)*'Data (Calculations)'!Q22*'Data (Calculations)'!Q30*'Data (Calculations)'!Q19         +           'Data (Calculations)'!Q47*'Data (Calculations)'!Q22*(1-'Data (Calculations)'!Q30)*'Data (Calculations)'!Q19</f>
        <v>10060.923218377469</v>
      </c>
      <c r="R17" s="268">
        <f>'Data (Calculations)'!R47*(1-'Data (Calculations)'!R35)*'Data (Calculations)'!R22*'Data (Calculations)'!R30*'Data (Calculations)'!R19         +           'Data (Calculations)'!R47*'Data (Calculations)'!R22*(1-'Data (Calculations)'!R30)*'Data (Calculations)'!R19</f>
        <v>8938.4566758456513</v>
      </c>
      <c r="S17" s="268">
        <f>'Data (Calculations)'!S47*(1-'Data (Calculations)'!S35)*'Data (Calculations)'!S22*'Data (Calculations)'!S30*'Data (Calculations)'!S19         +           'Data (Calculations)'!S47*'Data (Calculations)'!S22*(1-'Data (Calculations)'!S30)*'Data (Calculations)'!S19</f>
        <v>7823.9835921281374</v>
      </c>
      <c r="T17" s="268">
        <f>'Data (Calculations)'!T47*(1-'Data (Calculations)'!T35)*'Data (Calculations)'!T22*'Data (Calculations)'!T30*'Data (Calculations)'!T19         +           'Data (Calculations)'!T47*'Data (Calculations)'!T22*(1-'Data (Calculations)'!T30)*'Data (Calculations)'!T19</f>
        <v>6718.3524899222639</v>
      </c>
      <c r="U17" s="268">
        <f>'Data (Calculations)'!U47*(1-'Data (Calculations)'!U35)*'Data (Calculations)'!U22*'Data (Calculations)'!U30*'Data (Calculations)'!U19         +           'Data (Calculations)'!U47*'Data (Calculations)'!U22*(1-'Data (Calculations)'!U30)*'Data (Calculations)'!U19</f>
        <v>5622.2524939112063</v>
      </c>
      <c r="V17" s="268">
        <f>'Data (Calculations)'!V47*(1-'Data (Calculations)'!V35)*'Data (Calculations)'!V22*'Data (Calculations)'!V30*'Data (Calculations)'!V19         +           'Data (Calculations)'!V47*'Data (Calculations)'!V22*(1-'Data (Calculations)'!V30)*'Data (Calculations)'!V19</f>
        <v>4536.4577120123331</v>
      </c>
      <c r="W17" s="268">
        <f>'Data (Calculations)'!W47*(1-'Data (Calculations)'!W35)*'Data (Calculations)'!W22*'Data (Calculations)'!W30*'Data (Calculations)'!W19         +           'Data (Calculations)'!W47*'Data (Calculations)'!W22*(1-'Data (Calculations)'!W30)*'Data (Calculations)'!W19</f>
        <v>3462.0353946031737</v>
      </c>
      <c r="X17" s="268">
        <f>'Data (Calculations)'!X47*(1-'Data (Calculations)'!X35)*'Data (Calculations)'!X22*'Data (Calculations)'!X30*'Data (Calculations)'!X19         +           'Data (Calculations)'!X47*'Data (Calculations)'!X22*(1-'Data (Calculations)'!X30)*'Data (Calculations)'!X19</f>
        <v>2400.2797282658612</v>
      </c>
      <c r="Y17" s="268">
        <f>'Data (Calculations)'!Y47*(1-'Data (Calculations)'!Y35)*'Data (Calculations)'!Y22*'Data (Calculations)'!Y30*'Data (Calculations)'!Y19         +           'Data (Calculations)'!Y47*'Data (Calculations)'!Y22*(1-'Data (Calculations)'!Y30)*'Data (Calculations)'!Y19</f>
        <v>1352.5743459027976</v>
      </c>
      <c r="Z17" s="268">
        <f>'Data (Calculations)'!Z47*(1-'Data (Calculations)'!Z35)*'Data (Calculations)'!Z22*'Data (Calculations)'!Z30*'Data (Calculations)'!Z19         +           'Data (Calculations)'!Z47*'Data (Calculations)'!Z22*(1-'Data (Calculations)'!Z30)*'Data (Calculations)'!Z19</f>
        <v>320.21760306287337</v>
      </c>
      <c r="AA17" s="268"/>
      <c r="AB17" s="268"/>
      <c r="AC17" s="268" t="e">
        <f>'Data (Calculations)'!AC47*(1-'Data (Calculations)'!AC35)*'Data (Calculations)'!AC22*'Data (Calculations)'!AC30*'Data (Calculations)'!AC19         +           'Data (Calculations)'!AC47*'Data (Calculations)'!AC22*(1-'Data (Calculations)'!AC30)*'Data (Calculations)'!AC19</f>
        <v>#VALUE!</v>
      </c>
      <c r="AD17" s="268">
        <f>'Data (Calculations)'!AD47*(1-'Data (Calculations)'!AD35)*'Data (Calculations)'!AD22*'Data (Calculations)'!AD30*'Data (Calculations)'!AD19         +           'Data (Calculations)'!AD47*'Data (Calculations)'!AD22*(1-'Data (Calculations)'!AD30)*'Data (Calculations)'!AD19</f>
        <v>31406.990656529597</v>
      </c>
      <c r="AE17" s="268">
        <f>'Data (Calculations)'!AE47*(1-'Data (Calculations)'!AE35)*'Data (Calculations)'!AE22*'Data (Calculations)'!AE30*'Data (Calculations)'!AE19         +           'Data (Calculations)'!AE47*'Data (Calculations)'!AE22*(1-'Data (Calculations)'!AE30)*'Data (Calculations)'!AE19</f>
        <v>85483.699364342188</v>
      </c>
      <c r="AF17" s="268">
        <f>'Data (Calculations)'!AF47*(1-'Data (Calculations)'!AF35)*'Data (Calculations)'!AF22*'Data (Calculations)'!AF30*'Data (Calculations)'!AF19         +           'Data (Calculations)'!AF47*'Data (Calculations)'!AF22*(1-'Data (Calculations)'!AF30)*'Data (Calculations)'!AF19</f>
        <v>0</v>
      </c>
      <c r="AG17" s="268">
        <f>'Data (Calculations)'!AG47*(1-'Data (Calculations)'!AG35)*'Data (Calculations)'!AG22*'Data (Calculations)'!AG30*'Data (Calculations)'!AG19         +           'Data (Calculations)'!AG47*'Data (Calculations)'!AG22*(1-'Data (Calculations)'!AG30)*'Data (Calculations)'!AG19</f>
        <v>19900.067703044617</v>
      </c>
      <c r="AH17" s="268">
        <f>'Data (Calculations)'!AH47*(1-'Data (Calculations)'!AH35)*'Data (Calculations)'!AH22*'Data (Calculations)'!AH30*'Data (Calculations)'!AH19         +           'Data (Calculations)'!AH47*'Data (Calculations)'!AH22*(1-'Data (Calculations)'!AH30)*'Data (Calculations)'!AH19</f>
        <v>16753.047342201935</v>
      </c>
      <c r="AI17" s="268">
        <f>'Data (Calculations)'!AI47*(1-'Data (Calculations)'!AI35)*'Data (Calculations)'!AI22*'Data (Calculations)'!AI30*'Data (Calculations)'!AI19         +           'Data (Calculations)'!AI47*'Data (Calculations)'!AI22*(1-'Data (Calculations)'!AI30)*'Data (Calculations)'!AI19</f>
        <v>0</v>
      </c>
      <c r="AJ17" s="268">
        <f>'Data (Calculations)'!AJ47*(1-'Data (Calculations)'!AJ35)*'Data (Calculations)'!AJ22*'Data (Calculations)'!AJ30*'Data (Calculations)'!AJ19         +           'Data (Calculations)'!AJ47*'Data (Calculations)'!AJ22*(1-'Data (Calculations)'!AJ30)*'Data (Calculations)'!AJ19</f>
        <v>0</v>
      </c>
      <c r="AK17" s="268" t="e">
        <f>'Data (Calculations)'!AK47*(1-'Data (Calculations)'!AK35)*'Data (Calculations)'!AK22*'Data (Calculations)'!AK30*'Data (Calculations)'!AK19         +           'Data (Calculations)'!AK47*'Data (Calculations)'!AK22*(1-'Data (Calculations)'!AK30)*'Data (Calculations)'!AK19</f>
        <v>#VALUE!</v>
      </c>
      <c r="AL17" s="268">
        <f>'Data (Calculations)'!AL47*(1-'Data (Calculations)'!AL35)*'Data (Calculations)'!AL22*'Data (Calculations)'!AL30*'Data (Calculations)'!AL19         +           'Data (Calculations)'!AL47*'Data (Calculations)'!AL22*(1-'Data (Calculations)'!AL30)*'Data (Calculations)'!AL19</f>
        <v>0</v>
      </c>
      <c r="AM17" s="268">
        <f>'Data (Calculations)'!AM47*(1-'Data (Calculations)'!AM35)*'Data (Calculations)'!AM22*'Data (Calculations)'!AM30*'Data (Calculations)'!AM19         +           'Data (Calculations)'!AM47*'Data (Calculations)'!AM22*(1-'Data (Calculations)'!AM30)*'Data (Calculations)'!AM19</f>
        <v>0</v>
      </c>
      <c r="AN17" s="268">
        <f>'Data (Calculations)'!AN47*(1-'Data (Calculations)'!AN35)*'Data (Calculations)'!AN22*'Data (Calculations)'!AN30*'Data (Calculations)'!AN19         +           'Data (Calculations)'!AN47*'Data (Calculations)'!AN22*(1-'Data (Calculations)'!AN30)*'Data (Calculations)'!AN19</f>
        <v>0</v>
      </c>
      <c r="AO17" s="268">
        <f>'Data (Calculations)'!AO47*(1-'Data (Calculations)'!AO35)*'Data (Calculations)'!AO22*'Data (Calculations)'!AO30*'Data (Calculations)'!AO19         +           'Data (Calculations)'!AO47*'Data (Calculations)'!AO22*(1-'Data (Calculations)'!AO30)*'Data (Calculations)'!AO19</f>
        <v>0</v>
      </c>
      <c r="AP17" s="268">
        <f>'Data (Calculations)'!AP47*(1-'Data (Calculations)'!AP35)*'Data (Calculations)'!AP22*'Data (Calculations)'!AP30*'Data (Calculations)'!AP19         +           'Data (Calculations)'!AP47*'Data (Calculations)'!AP22*(1-'Data (Calculations)'!AP30)*'Data (Calculations)'!AP19</f>
        <v>0</v>
      </c>
      <c r="AQ17" s="268">
        <f>'Data (Calculations)'!AQ47*(1-'Data (Calculations)'!AQ35)*'Data (Calculations)'!AQ22*'Data (Calculations)'!AQ30*'Data (Calculations)'!AQ19         +           'Data (Calculations)'!AQ47*'Data (Calculations)'!AQ22*(1-'Data (Calculations)'!AQ30)*'Data (Calculations)'!AQ19</f>
        <v>0</v>
      </c>
      <c r="AR17" s="268">
        <f>'Data (Calculations)'!AR47*(1-'Data (Calculations)'!AR35)*'Data (Calculations)'!AR22*'Data (Calculations)'!AR30*'Data (Calculations)'!AR19         +           'Data (Calculations)'!AR47*'Data (Calculations)'!AR22*(1-'Data (Calculations)'!AR30)*'Data (Calculations)'!AR19</f>
        <v>0</v>
      </c>
      <c r="AS17" s="268">
        <f>'Data (Calculations)'!AS47*(1-'Data (Calculations)'!AS35)*'Data (Calculations)'!AS22*'Data (Calculations)'!AS30*'Data (Calculations)'!AS19         +           'Data (Calculations)'!AS47*'Data (Calculations)'!AS22*(1-'Data (Calculations)'!AS30)*'Data (Calculations)'!AS19</f>
        <v>0</v>
      </c>
      <c r="AT17" s="268">
        <f>'Data (Calculations)'!AT47*(1-'Data (Calculations)'!AT35)*'Data (Calculations)'!AT22*'Data (Calculations)'!AT30*'Data (Calculations)'!AT19         +           'Data (Calculations)'!AT47*'Data (Calculations)'!AT22*(1-'Data (Calculations)'!AT30)*'Data (Calculations)'!AT19</f>
        <v>0</v>
      </c>
      <c r="AU17" s="268">
        <f>'Data (Calculations)'!AU47*(1-'Data (Calculations)'!AU35)*'Data (Calculations)'!AU22*'Data (Calculations)'!AU30*'Data (Calculations)'!AU19         +           'Data (Calculations)'!AU47*'Data (Calculations)'!AU22*(1-'Data (Calculations)'!AU30)*'Data (Calculations)'!AU19</f>
        <v>0</v>
      </c>
      <c r="AV17" s="268">
        <f>'Data (Calculations)'!AV47*(1-'Data (Calculations)'!AV35)*'Data (Calculations)'!AV22*'Data (Calculations)'!AV30*'Data (Calculations)'!AV19         +           'Data (Calculations)'!AV47*'Data (Calculations)'!AV22*(1-'Data (Calculations)'!AV30)*'Data (Calculations)'!AV19</f>
        <v>0</v>
      </c>
      <c r="AW17" s="268">
        <f>'Data (Calculations)'!AW47*(1-'Data (Calculations)'!AW35)*'Data (Calculations)'!AW22*'Data (Calculations)'!AW30*'Data (Calculations)'!AW19         +           'Data (Calculations)'!AW47*'Data (Calculations)'!AW22*(1-'Data (Calculations)'!AW30)*'Data (Calculations)'!AW19</f>
        <v>0</v>
      </c>
      <c r="AX17" s="268"/>
      <c r="AY17" s="268"/>
      <c r="AZ17" s="268" t="e">
        <f>'Data (Calculations)'!AZ47*(1-'Data (Calculations)'!AZ35)*'Data (Calculations)'!AZ22*'Data (Calculations)'!AZ30*'Data (Calculations)'!AZ19         +           'Data (Calculations)'!AZ47*'Data (Calculations)'!AZ22*(1-'Data (Calculations)'!AZ30)*'Data (Calculations)'!AZ19</f>
        <v>#VALUE!</v>
      </c>
      <c r="BA17" s="268">
        <f>'Data (Calculations)'!BA47*(1-'Data (Calculations)'!BA35)*'Data (Calculations)'!BA22*'Data (Calculations)'!BA30*'Data (Calculations)'!BA19         +           'Data (Calculations)'!BA47*'Data (Calculations)'!BA22*(1-'Data (Calculations)'!BA30)*'Data (Calculations)'!BA19</f>
        <v>69570.523357771803</v>
      </c>
      <c r="BB17" s="268">
        <f>'Data (Calculations)'!BB47*(1-'Data (Calculations)'!BB35)*'Data (Calculations)'!BB22*'Data (Calculations)'!BB30*'Data (Calculations)'!BB19         +           'Data (Calculations)'!BB47*'Data (Calculations)'!BB22*(1-'Data (Calculations)'!BB30)*'Data (Calculations)'!BB19</f>
        <v>127747.10476946266</v>
      </c>
      <c r="BC17" s="268">
        <f>'Data (Calculations)'!BC47*(1-'Data (Calculations)'!BC35)*'Data (Calculations)'!BC22*'Data (Calculations)'!BC30*'Data (Calculations)'!BC19         +           'Data (Calculations)'!BC47*'Data (Calculations)'!BC22*(1-'Data (Calculations)'!BC30)*'Data (Calculations)'!BC19</f>
        <v>31798.761950366326</v>
      </c>
      <c r="BD17" s="268">
        <f>'Data (Calculations)'!BD47*(1-'Data (Calculations)'!BD35)*'Data (Calculations)'!BD22*'Data (Calculations)'!BD30*'Data (Calculations)'!BD19         +           'Data (Calculations)'!BD47*'Data (Calculations)'!BD22*(1-'Data (Calculations)'!BD30)*'Data (Calculations)'!BD19</f>
        <v>55179.115044340993</v>
      </c>
      <c r="BE17" s="268">
        <f>'Data (Calculations)'!BE47*(1-'Data (Calculations)'!BE35)*'Data (Calculations)'!BE22*'Data (Calculations)'!BE30*'Data (Calculations)'!BE19         +           'Data (Calculations)'!BE47*'Data (Calculations)'!BE22*(1-'Data (Calculations)'!BE30)*'Data (Calculations)'!BE19</f>
        <v>51607.486307217267</v>
      </c>
      <c r="BF17" s="268">
        <f>'Data (Calculations)'!BF47*(1-'Data (Calculations)'!BF35)*'Data (Calculations)'!BF22*'Data (Calculations)'!BF30*'Data (Calculations)'!BF19         +           'Data (Calculations)'!BF47*'Data (Calculations)'!BF22*(1-'Data (Calculations)'!BF30)*'Data (Calculations)'!BF19</f>
        <v>30506.04950588489</v>
      </c>
      <c r="BG17" s="268">
        <f>'Data (Calculations)'!BG47*(1-'Data (Calculations)'!BG35)*'Data (Calculations)'!BG22*'Data (Calculations)'!BG30*'Data (Calculations)'!BG19         +           'Data (Calculations)'!BG47*'Data (Calculations)'!BG22*(1-'Data (Calculations)'!BG30)*'Data (Calculations)'!BG19</f>
        <v>30331.71412086676</v>
      </c>
      <c r="BH17" s="268" t="e">
        <f>'Data (Calculations)'!BH47*(1-'Data (Calculations)'!BH35)*'Data (Calculations)'!BH22*'Data (Calculations)'!BH30*'Data (Calculations)'!BH19         +           'Data (Calculations)'!BH47*'Data (Calculations)'!BH22*(1-'Data (Calculations)'!BH30)*'Data (Calculations)'!BH19</f>
        <v>#VALUE!</v>
      </c>
      <c r="BI17" s="268">
        <f>'Data (Calculations)'!BI47*(1-'Data (Calculations)'!BI35)*'Data (Calculations)'!BI22*'Data (Calculations)'!BI30*'Data (Calculations)'!BI19         +           'Data (Calculations)'!BI47*'Data (Calculations)'!BI22*(1-'Data (Calculations)'!BI30)*'Data (Calculations)'!BI19</f>
        <v>25085.313362878955</v>
      </c>
      <c r="BJ17" s="268">
        <f>'Data (Calculations)'!BJ47*(1-'Data (Calculations)'!BJ35)*'Data (Calculations)'!BJ22*'Data (Calculations)'!BJ30*'Data (Calculations)'!BJ19         +           'Data (Calculations)'!BJ47*'Data (Calculations)'!BJ22*(1-'Data (Calculations)'!BJ30)*'Data (Calculations)'!BJ19</f>
        <v>25022.594723855738</v>
      </c>
      <c r="BK17" s="268">
        <f>'Data (Calculations)'!BK47*(1-'Data (Calculations)'!BK35)*'Data (Calculations)'!BK22*'Data (Calculations)'!BK30*'Data (Calculations)'!BK19         +           'Data (Calculations)'!BK47*'Data (Calculations)'!BK22*(1-'Data (Calculations)'!BK30)*'Data (Calculations)'!BK19</f>
        <v>22827.743538700295</v>
      </c>
      <c r="BL17" s="268">
        <f>'Data (Calculations)'!BL47*(1-'Data (Calculations)'!BL35)*'Data (Calculations)'!BL22*'Data (Calculations)'!BL30*'Data (Calculations)'!BL19         +           'Data (Calculations)'!BL47*'Data (Calculations)'!BL22*(1-'Data (Calculations)'!BL30)*'Data (Calculations)'!BL19</f>
        <v>20641.413572858699</v>
      </c>
      <c r="BM17" s="268">
        <f>'Data (Calculations)'!BM47*(1-'Data (Calculations)'!BM35)*'Data (Calculations)'!BM22*'Data (Calculations)'!BM30*'Data (Calculations)'!BM19         +           'Data (Calculations)'!BM47*'Data (Calculations)'!BM22*(1-'Data (Calculations)'!BM30)*'Data (Calculations)'!BM19</f>
        <v>18469.845069958217</v>
      </c>
      <c r="BN17" s="268">
        <f>'Data (Calculations)'!BN47*(1-'Data (Calculations)'!BN35)*'Data (Calculations)'!BN22*'Data (Calculations)'!BN30*'Data (Calculations)'!BN19         +           'Data (Calculations)'!BN47*'Data (Calculations)'!BN22*(1-'Data (Calculations)'!BN30)*'Data (Calculations)'!BN19</f>
        <v>16314.65714071259</v>
      </c>
      <c r="BO17" s="268">
        <f>'Data (Calculations)'!BO47*(1-'Data (Calculations)'!BO35)*'Data (Calculations)'!BO22*'Data (Calculations)'!BO30*'Data (Calculations)'!BO19         +           'Data (Calculations)'!BO47*'Data (Calculations)'!BO22*(1-'Data (Calculations)'!BO30)*'Data (Calculations)'!BO19</f>
        <v>14177.052452957241</v>
      </c>
      <c r="BP17" s="268">
        <f>'Data (Calculations)'!BP47*(1-'Data (Calculations)'!BP35)*'Data (Calculations)'!BP22*'Data (Calculations)'!BP30*'Data (Calculations)'!BP19         +           'Data (Calculations)'!BP47*'Data (Calculations)'!BP22*(1-'Data (Calculations)'!BP30)*'Data (Calculations)'!BP19</f>
        <v>12058.341648099722</v>
      </c>
      <c r="BQ17" s="268">
        <f>'Data (Calculations)'!BQ47*(1-'Data (Calculations)'!BQ35)*'Data (Calculations)'!BQ22*'Data (Calculations)'!BQ30*'Data (Calculations)'!BQ19         +           'Data (Calculations)'!BQ47*'Data (Calculations)'!BQ22*(1-'Data (Calculations)'!BQ30)*'Data (Calculations)'!BQ19</f>
        <v>9960.4577830185299</v>
      </c>
      <c r="BR17" s="268">
        <f>'Data (Calculations)'!BR47*(1-'Data (Calculations)'!BR35)*'Data (Calculations)'!BR22*'Data (Calculations)'!BR30*'Data (Calculations)'!BR19         +           'Data (Calculations)'!BR47*'Data (Calculations)'!BR22*(1-'Data (Calculations)'!BR30)*'Data (Calculations)'!BR19</f>
        <v>7885.86048856053</v>
      </c>
      <c r="BS17" s="268">
        <f>'Data (Calculations)'!BS47*(1-'Data (Calculations)'!BS35)*'Data (Calculations)'!BS22*'Data (Calculations)'!BS30*'Data (Calculations)'!BS19         +           'Data (Calculations)'!BS47*'Data (Calculations)'!BS22*(1-'Data (Calculations)'!BS30)*'Data (Calculations)'!BS19</f>
        <v>5837.279768905737</v>
      </c>
      <c r="BT17" s="268">
        <f>'Data (Calculations)'!BT47*(1-'Data (Calculations)'!BT35)*'Data (Calculations)'!BT22*'Data (Calculations)'!BT30*'Data (Calculations)'!BT19         +           'Data (Calculations)'!BT47*'Data (Calculations)'!BT22*(1-'Data (Calculations)'!BT30)*'Data (Calculations)'!BT19</f>
        <v>3817.1987240628723</v>
      </c>
      <c r="BU17" s="268"/>
    </row>
    <row r="18" spans="1:73">
      <c r="A18" s="17"/>
      <c r="E18" s="17" t="s">
        <v>250</v>
      </c>
      <c r="F18" s="268" t="e">
        <f xml:space="preserve"> 'Data (Calculations)'!F19*'Data (Calculations)'!F22* (('Data (Calculations)'!F30*(1-'Data (Calculations)'!F35)*(1-'Data (Calculations)'!F47)) + ((1-'Data (Calculations)'!F30)*(1-'Data (Calculations)'!F47)))</f>
        <v>#VALUE!</v>
      </c>
      <c r="G18" s="268">
        <f xml:space="preserve"> 'Data (Calculations)'!G19*'Data (Calculations)'!G22* (('Data (Calculations)'!G30*(1-'Data (Calculations)'!G35)*(1-'Data (Calculations)'!G47)) + ((1-'Data (Calculations)'!G30)*(1-'Data (Calculations)'!G47)))</f>
        <v>22870.463568480791</v>
      </c>
      <c r="H18" s="268">
        <f xml:space="preserve"> 'Data (Calculations)'!H19*'Data (Calculations)'!H22* (('Data (Calculations)'!H30*(1-'Data (Calculations)'!H35)*(1-'Data (Calculations)'!H47)) + ((1-'Data (Calculations)'!H30)*(1-'Data (Calculations)'!H47)))</f>
        <v>48603.984824883199</v>
      </c>
      <c r="I18" s="268">
        <f xml:space="preserve"> 'Data (Calculations)'!I19*'Data (Calculations)'!I22* (('Data (Calculations)'!I30*(1-'Data (Calculations)'!I35)*(1-'Data (Calculations)'!I47)) + ((1-'Data (Calculations)'!I30)*(1-'Data (Calculations)'!I47)))</f>
        <v>6623.2020851567986</v>
      </c>
      <c r="J18" s="268">
        <f xml:space="preserve"> 'Data (Calculations)'!J19*'Data (Calculations)'!J22* (('Data (Calculations)'!J30*(1-'Data (Calculations)'!J35)*(1-'Data (Calculations)'!J47)) + ((1-'Data (Calculations)'!J30)*(1-'Data (Calculations)'!J47)))</f>
        <v>16906.107040084797</v>
      </c>
      <c r="K18" s="268">
        <f xml:space="preserve"> 'Data (Calculations)'!K19*'Data (Calculations)'!K22* (('Data (Calculations)'!K30*(1-'Data (Calculations)'!K35)*(1-'Data (Calculations)'!K47)) + ((1-'Data (Calculations)'!K30)*(1-'Data (Calculations)'!K47)))</f>
        <v>15363.295029263996</v>
      </c>
      <c r="L18" s="268">
        <f xml:space="preserve"> 'Data (Calculations)'!L19*'Data (Calculations)'!L22* (('Data (Calculations)'!L30*(1-'Data (Calculations)'!L35)*(1-'Data (Calculations)'!L47)) + ((1-'Data (Calculations)'!L30)*(1-'Data (Calculations)'!L47)))</f>
        <v>6272.3171524049985</v>
      </c>
      <c r="M18" s="268">
        <f xml:space="preserve"> 'Data (Calculations)'!M19*'Data (Calculations)'!M22* (('Data (Calculations)'!M30*(1-'Data (Calculations)'!M35)*(1-'Data (Calculations)'!M47)) + ((1-'Data (Calculations)'!M30)*(1-'Data (Calculations)'!M47)))</f>
        <v>6477.8900520453126</v>
      </c>
      <c r="N18" s="268" t="e">
        <f xml:space="preserve"> 'Data (Calculations)'!N19*'Data (Calculations)'!N22* (('Data (Calculations)'!N30*(1-'Data (Calculations)'!N35)*(1-'Data (Calculations)'!N47)) + ((1-'Data (Calculations)'!N30)*(1-'Data (Calculations)'!N47)))</f>
        <v>#VALUE!</v>
      </c>
      <c r="O18" s="268">
        <f xml:space="preserve"> 'Data (Calculations)'!O19*'Data (Calculations)'!O22* (('Data (Calculations)'!O30*(1-'Data (Calculations)'!O35)*(1-'Data (Calculations)'!O47)) + ((1-'Data (Calculations)'!O30)*(1-'Data (Calculations)'!O47)))</f>
        <v>5134.0902002072826</v>
      </c>
      <c r="P18" s="268">
        <f xml:space="preserve"> 'Data (Calculations)'!P19*'Data (Calculations)'!P22* (('Data (Calculations)'!P30*(1-'Data (Calculations)'!P35)*(1-'Data (Calculations)'!P47)) + ((1-'Data (Calculations)'!P30)*(1-'Data (Calculations)'!P47)))</f>
        <v>5121.2538785986417</v>
      </c>
      <c r="Q18" s="268">
        <f xml:space="preserve"> 'Data (Calculations)'!Q19*'Data (Calculations)'!Q22* (('Data (Calculations)'!Q30*(1-'Data (Calculations)'!Q35)*(1-'Data (Calculations)'!Q47)) + ((1-'Data (Calculations)'!Q30)*(1-'Data (Calculations)'!Q47)))</f>
        <v>4605.1456130765664</v>
      </c>
      <c r="R18" s="268">
        <f xml:space="preserve"> 'Data (Calculations)'!R19*'Data (Calculations)'!R22* (('Data (Calculations)'!R30*(1-'Data (Calculations)'!R35)*(1-'Data (Calculations)'!R47)) + ((1-'Data (Calculations)'!R30)*(1-'Data (Calculations)'!R47)))</f>
        <v>4091.3635513345976</v>
      </c>
      <c r="S18" s="268">
        <f xml:space="preserve"> 'Data (Calculations)'!S19*'Data (Calculations)'!S22* (('Data (Calculations)'!S30*(1-'Data (Calculations)'!S35)*(1-'Data (Calculations)'!S47)) + ((1-'Data (Calculations)'!S30)*(1-'Data (Calculations)'!S47)))</f>
        <v>3581.2403031023828</v>
      </c>
      <c r="T18" s="268">
        <f xml:space="preserve"> 'Data (Calculations)'!T19*'Data (Calculations)'!T22* (('Data (Calculations)'!T30*(1-'Data (Calculations)'!T35)*(1-'Data (Calculations)'!T47)) + ((1-'Data (Calculations)'!T30)*(1-'Data (Calculations)'!T47)))</f>
        <v>3075.1642592355547</v>
      </c>
      <c r="U18" s="268">
        <f xml:space="preserve"> 'Data (Calculations)'!U19*'Data (Calculations)'!U22* (('Data (Calculations)'!U30*(1-'Data (Calculations)'!U35)*(1-'Data (Calculations)'!U47)) + ((1-'Data (Calculations)'!U30)*(1-'Data (Calculations)'!U47)))</f>
        <v>2573.4508499826798</v>
      </c>
      <c r="V18" s="268">
        <f xml:space="preserve"> 'Data (Calculations)'!V19*'Data (Calculations)'!V22* (('Data (Calculations)'!V30*(1-'Data (Calculations)'!V35)*(1-'Data (Calculations)'!V47)) + ((1-'Data (Calculations)'!V30)*(1-'Data (Calculations)'!V47)))</f>
        <v>2076.4544046237206</v>
      </c>
      <c r="W18" s="268">
        <f xml:space="preserve"> 'Data (Calculations)'!W19*'Data (Calculations)'!W22* (('Data (Calculations)'!W30*(1-'Data (Calculations)'!W35)*(1-'Data (Calculations)'!W47)) + ((1-'Data (Calculations)'!W30)*(1-'Data (Calculations)'!W47)))</f>
        <v>1584.6634313489744</v>
      </c>
      <c r="X18" s="268">
        <f xml:space="preserve"> 'Data (Calculations)'!X19*'Data (Calculations)'!X22* (('Data (Calculations)'!X30*(1-'Data (Calculations)'!X35)*(1-'Data (Calculations)'!X47)) + ((1-'Data (Calculations)'!X30)*(1-'Data (Calculations)'!X47)))</f>
        <v>1098.670312938018</v>
      </c>
      <c r="Y18" s="268">
        <f xml:space="preserve"> 'Data (Calculations)'!Y19*'Data (Calculations)'!Y22* (('Data (Calculations)'!Y30*(1-'Data (Calculations)'!Y35)*(1-'Data (Calculations)'!Y47)) + ((1-'Data (Calculations)'!Y30)*(1-'Data (Calculations)'!Y47)))</f>
        <v>619.10837407212591</v>
      </c>
      <c r="Z18" s="268">
        <f xml:space="preserve"> 'Data (Calculations)'!Z19*'Data (Calculations)'!Z22* (('Data (Calculations)'!Z30*(1-'Data (Calculations)'!Z35)*(1-'Data (Calculations)'!Z47)) + ((1-'Data (Calculations)'!Z30)*(1-'Data (Calculations)'!Z47)))</f>
        <v>146.57190577513444</v>
      </c>
      <c r="AA18" s="268"/>
      <c r="AB18" s="268"/>
      <c r="AC18" s="268" t="e">
        <f xml:space="preserve"> 'Data (Calculations)'!AC19*'Data (Calculations)'!AC22* (('Data (Calculations)'!AC30*(1-'Data (Calculations)'!AC35)*(1-'Data (Calculations)'!AC47)) + ((1-'Data (Calculations)'!AC30)*(1-'Data (Calculations)'!AC47)))</f>
        <v>#VALUE!</v>
      </c>
      <c r="AD18" s="268">
        <f xml:space="preserve"> 'Data (Calculations)'!AD19*'Data (Calculations)'!AD22* (('Data (Calculations)'!AD30*(1-'Data (Calculations)'!AD35)*(1-'Data (Calculations)'!AD47)) + ((1-'Data (Calculations)'!AD30)*(1-'Data (Calculations)'!AD47)))</f>
        <v>14375.794557070396</v>
      </c>
      <c r="AE18" s="268">
        <f xml:space="preserve"> 'Data (Calculations)'!AE19*'Data (Calculations)'!AE22* (('Data (Calculations)'!AE30*(1-'Data (Calculations)'!AE35)*(1-'Data (Calculations)'!AE47)) + ((1-'Data (Calculations)'!AE30)*(1-'Data (Calculations)'!AE47)))</f>
        <v>39128.107289217834</v>
      </c>
      <c r="AF18" s="268">
        <f xml:space="preserve"> 'Data (Calculations)'!AF19*'Data (Calculations)'!AF22* (('Data (Calculations)'!AF30*(1-'Data (Calculations)'!AF35)*(1-'Data (Calculations)'!AF47)) + ((1-'Data (Calculations)'!AF30)*(1-'Data (Calculations)'!AF47)))</f>
        <v>0</v>
      </c>
      <c r="AG18" s="268">
        <f xml:space="preserve"> 'Data (Calculations)'!AG19*'Data (Calculations)'!AG22* (('Data (Calculations)'!AG30*(1-'Data (Calculations)'!AG35)*(1-'Data (Calculations)'!AG47)) + ((1-'Data (Calculations)'!AG30)*(1-'Data (Calculations)'!AG47)))</f>
        <v>9108.7773451253779</v>
      </c>
      <c r="AH18" s="268">
        <f xml:space="preserve"> 'Data (Calculations)'!AH19*'Data (Calculations)'!AH22* (('Data (Calculations)'!AH30*(1-'Data (Calculations)'!AH35)*(1-'Data (Calculations)'!AH47)) + ((1-'Data (Calculations)'!AH30)*(1-'Data (Calculations)'!AH47)))</f>
        <v>7668.3044685880568</v>
      </c>
      <c r="AI18" s="268">
        <f xml:space="preserve"> 'Data (Calculations)'!AI19*'Data (Calculations)'!AI22* (('Data (Calculations)'!AI30*(1-'Data (Calculations)'!AI35)*(1-'Data (Calculations)'!AI47)) + ((1-'Data (Calculations)'!AI30)*(1-'Data (Calculations)'!AI47)))</f>
        <v>0</v>
      </c>
      <c r="AJ18" s="268">
        <f xml:space="preserve"> 'Data (Calculations)'!AJ19*'Data (Calculations)'!AJ22* (('Data (Calculations)'!AJ30*(1-'Data (Calculations)'!AJ35)*(1-'Data (Calculations)'!AJ47)) + ((1-'Data (Calculations)'!AJ30)*(1-'Data (Calculations)'!AJ47)))</f>
        <v>0</v>
      </c>
      <c r="AK18" s="268" t="e">
        <f xml:space="preserve"> 'Data (Calculations)'!AK19*'Data (Calculations)'!AK22* (('Data (Calculations)'!AK30*(1-'Data (Calculations)'!AK35)*(1-'Data (Calculations)'!AK47)) + ((1-'Data (Calculations)'!AK30)*(1-'Data (Calculations)'!AK47)))</f>
        <v>#VALUE!</v>
      </c>
      <c r="AL18" s="268">
        <f xml:space="preserve"> 'Data (Calculations)'!AL19*'Data (Calculations)'!AL22* (('Data (Calculations)'!AL30*(1-'Data (Calculations)'!AL35)*(1-'Data (Calculations)'!AL47)) + ((1-'Data (Calculations)'!AL30)*(1-'Data (Calculations)'!AL47)))</f>
        <v>0</v>
      </c>
      <c r="AM18" s="268">
        <f xml:space="preserve"> 'Data (Calculations)'!AM19*'Data (Calculations)'!AM22* (('Data (Calculations)'!AM30*(1-'Data (Calculations)'!AM35)*(1-'Data (Calculations)'!AM47)) + ((1-'Data (Calculations)'!AM30)*(1-'Data (Calculations)'!AM47)))</f>
        <v>0</v>
      </c>
      <c r="AN18" s="268">
        <f xml:space="preserve"> 'Data (Calculations)'!AN19*'Data (Calculations)'!AN22* (('Data (Calculations)'!AN30*(1-'Data (Calculations)'!AN35)*(1-'Data (Calculations)'!AN47)) + ((1-'Data (Calculations)'!AN30)*(1-'Data (Calculations)'!AN47)))</f>
        <v>0</v>
      </c>
      <c r="AO18" s="268">
        <f xml:space="preserve"> 'Data (Calculations)'!AO19*'Data (Calculations)'!AO22* (('Data (Calculations)'!AO30*(1-'Data (Calculations)'!AO35)*(1-'Data (Calculations)'!AO47)) + ((1-'Data (Calculations)'!AO30)*(1-'Data (Calculations)'!AO47)))</f>
        <v>0</v>
      </c>
      <c r="AP18" s="268">
        <f xml:space="preserve"> 'Data (Calculations)'!AP19*'Data (Calculations)'!AP22* (('Data (Calculations)'!AP30*(1-'Data (Calculations)'!AP35)*(1-'Data (Calculations)'!AP47)) + ((1-'Data (Calculations)'!AP30)*(1-'Data (Calculations)'!AP47)))</f>
        <v>0</v>
      </c>
      <c r="AQ18" s="268">
        <f xml:space="preserve"> 'Data (Calculations)'!AQ19*'Data (Calculations)'!AQ22* (('Data (Calculations)'!AQ30*(1-'Data (Calculations)'!AQ35)*(1-'Data (Calculations)'!AQ47)) + ((1-'Data (Calculations)'!AQ30)*(1-'Data (Calculations)'!AQ47)))</f>
        <v>0</v>
      </c>
      <c r="AR18" s="268">
        <f xml:space="preserve"> 'Data (Calculations)'!AR19*'Data (Calculations)'!AR22* (('Data (Calculations)'!AR30*(1-'Data (Calculations)'!AR35)*(1-'Data (Calculations)'!AR47)) + ((1-'Data (Calculations)'!AR30)*(1-'Data (Calculations)'!AR47)))</f>
        <v>0</v>
      </c>
      <c r="AS18" s="268">
        <f xml:space="preserve"> 'Data (Calculations)'!AS19*'Data (Calculations)'!AS22* (('Data (Calculations)'!AS30*(1-'Data (Calculations)'!AS35)*(1-'Data (Calculations)'!AS47)) + ((1-'Data (Calculations)'!AS30)*(1-'Data (Calculations)'!AS47)))</f>
        <v>0</v>
      </c>
      <c r="AT18" s="268">
        <f xml:space="preserve"> 'Data (Calculations)'!AT19*'Data (Calculations)'!AT22* (('Data (Calculations)'!AT30*(1-'Data (Calculations)'!AT35)*(1-'Data (Calculations)'!AT47)) + ((1-'Data (Calculations)'!AT30)*(1-'Data (Calculations)'!AT47)))</f>
        <v>0</v>
      </c>
      <c r="AU18" s="268">
        <f xml:space="preserve"> 'Data (Calculations)'!AU19*'Data (Calculations)'!AU22* (('Data (Calculations)'!AU30*(1-'Data (Calculations)'!AU35)*(1-'Data (Calculations)'!AU47)) + ((1-'Data (Calculations)'!AU30)*(1-'Data (Calculations)'!AU47)))</f>
        <v>0</v>
      </c>
      <c r="AV18" s="268">
        <f xml:space="preserve"> 'Data (Calculations)'!AV19*'Data (Calculations)'!AV22* (('Data (Calculations)'!AV30*(1-'Data (Calculations)'!AV35)*(1-'Data (Calculations)'!AV47)) + ((1-'Data (Calculations)'!AV30)*(1-'Data (Calculations)'!AV47)))</f>
        <v>0</v>
      </c>
      <c r="AW18" s="268">
        <f xml:space="preserve"> 'Data (Calculations)'!AW19*'Data (Calculations)'!AW22* (('Data (Calculations)'!AW30*(1-'Data (Calculations)'!AW35)*(1-'Data (Calculations)'!AW47)) + ((1-'Data (Calculations)'!AW30)*(1-'Data (Calculations)'!AW47)))</f>
        <v>0</v>
      </c>
      <c r="AX18" s="268"/>
      <c r="AY18" s="268"/>
      <c r="AZ18" s="268" t="e">
        <f xml:space="preserve"> 'Data (Calculations)'!AZ19*'Data (Calculations)'!AZ22* (('Data (Calculations)'!AZ30*(1-'Data (Calculations)'!AZ35)*(1-'Data (Calculations)'!AZ47)) + ((1-'Data (Calculations)'!AZ30)*(1-'Data (Calculations)'!AZ47)))</f>
        <v>#VALUE!</v>
      </c>
      <c r="BA18" s="268">
        <f xml:space="preserve"> 'Data (Calculations)'!BA19*'Data (Calculations)'!BA22* (('Data (Calculations)'!BA30*(1-'Data (Calculations)'!BA35)*(1-'Data (Calculations)'!BA47)) + ((1-'Data (Calculations)'!BA30)*(1-'Data (Calculations)'!BA47)))</f>
        <v>31844.233723528196</v>
      </c>
      <c r="BB18" s="268">
        <f xml:space="preserve"> 'Data (Calculations)'!BB19*'Data (Calculations)'!BB22* (('Data (Calculations)'!BB30*(1-'Data (Calculations)'!BB35)*(1-'Data (Calculations)'!BB47)) + ((1-'Data (Calculations)'!BB30)*(1-'Data (Calculations)'!BB47)))</f>
        <v>58473.164573777358</v>
      </c>
      <c r="BC18" s="268">
        <f xml:space="preserve"> 'Data (Calculations)'!BC19*'Data (Calculations)'!BC22* (('Data (Calculations)'!BC30*(1-'Data (Calculations)'!BC35)*(1-'Data (Calculations)'!BC47)) + ((1-'Data (Calculations)'!BC30)*(1-'Data (Calculations)'!BC47)))</f>
        <v>14555.118443753679</v>
      </c>
      <c r="BD18" s="268">
        <f xml:space="preserve"> 'Data (Calculations)'!BD19*'Data (Calculations)'!BD22* (('Data (Calculations)'!BD30*(1-'Data (Calculations)'!BD35)*(1-'Data (Calculations)'!BD47)) + ((1-'Data (Calculations)'!BD30)*(1-'Data (Calculations)'!BD47)))</f>
        <v>25256.912717089017</v>
      </c>
      <c r="BE18" s="268">
        <f xml:space="preserve"> 'Data (Calculations)'!BE19*'Data (Calculations)'!BE22* (('Data (Calculations)'!BE30*(1-'Data (Calculations)'!BE35)*(1-'Data (Calculations)'!BE47)) + ((1-'Data (Calculations)'!BE30)*(1-'Data (Calculations)'!BE47)))</f>
        <v>23622.085569192739</v>
      </c>
      <c r="BF18" s="268">
        <f xml:space="preserve"> 'Data (Calculations)'!BF19*'Data (Calculations)'!BF22* (('Data (Calculations)'!BF30*(1-'Data (Calculations)'!BF35)*(1-'Data (Calculations)'!BF47)) + ((1-'Data (Calculations)'!BF30)*(1-'Data (Calculations)'!BF47)))</f>
        <v>13963.410415230108</v>
      </c>
      <c r="BG18" s="268">
        <f xml:space="preserve"> 'Data (Calculations)'!BG19*'Data (Calculations)'!BG22* (('Data (Calculations)'!BG30*(1-'Data (Calculations)'!BG35)*(1-'Data (Calculations)'!BG47)) + ((1-'Data (Calculations)'!BG30)*(1-'Data (Calculations)'!BG47)))</f>
        <v>13883.612585936093</v>
      </c>
      <c r="BH18" s="268" t="e">
        <f xml:space="preserve"> 'Data (Calculations)'!BH19*'Data (Calculations)'!BH22* (('Data (Calculations)'!BH30*(1-'Data (Calculations)'!BH35)*(1-'Data (Calculations)'!BH47)) + ((1-'Data (Calculations)'!BH30)*(1-'Data (Calculations)'!BH47)))</f>
        <v>#VALUE!</v>
      </c>
      <c r="BI18" s="268">
        <f xml:space="preserve"> 'Data (Calculations)'!BI19*'Data (Calculations)'!BI22* (('Data (Calculations)'!BI30*(1-'Data (Calculations)'!BI35)*(1-'Data (Calculations)'!BI47)) + ((1-'Data (Calculations)'!BI30)*(1-'Data (Calculations)'!BI47)))</f>
        <v>11482.198827906692</v>
      </c>
      <c r="BJ18" s="268">
        <f xml:space="preserve"> 'Data (Calculations)'!BJ19*'Data (Calculations)'!BJ22* (('Data (Calculations)'!BJ30*(1-'Data (Calculations)'!BJ35)*(1-'Data (Calculations)'!BJ47)) + ((1-'Data (Calculations)'!BJ30)*(1-'Data (Calculations)'!BJ47)))</f>
        <v>11453.490879432507</v>
      </c>
      <c r="BK18" s="268">
        <f xml:space="preserve"> 'Data (Calculations)'!BK19*'Data (Calculations)'!BK22* (('Data (Calculations)'!BK30*(1-'Data (Calculations)'!BK35)*(1-'Data (Calculations)'!BK47)) + ((1-'Data (Calculations)'!BK30)*(1-'Data (Calculations)'!BK47)))</f>
        <v>10448.85054103774</v>
      </c>
      <c r="BL18" s="268">
        <f xml:space="preserve"> 'Data (Calculations)'!BL19*'Data (Calculations)'!BL22* (('Data (Calculations)'!BL30*(1-'Data (Calculations)'!BL35)*(1-'Data (Calculations)'!BL47)) + ((1-'Data (Calculations)'!BL30)*(1-'Data (Calculations)'!BL47)))</f>
        <v>9448.1105858274495</v>
      </c>
      <c r="BM18" s="268">
        <f xml:space="preserve"> 'Data (Calculations)'!BM19*'Data (Calculations)'!BM22* (('Data (Calculations)'!BM30*(1-'Data (Calculations)'!BM35)*(1-'Data (Calculations)'!BM47)) + ((1-'Data (Calculations)'!BM30)*(1-'Data (Calculations)'!BM47)))</f>
        <v>8454.1273352286862</v>
      </c>
      <c r="BN18" s="268">
        <f xml:space="preserve"> 'Data (Calculations)'!BN19*'Data (Calculations)'!BN22* (('Data (Calculations)'!BN30*(1-'Data (Calculations)'!BN35)*(1-'Data (Calculations)'!BN47)) + ((1-'Data (Calculations)'!BN30)*(1-'Data (Calculations)'!BN47)))</f>
        <v>7467.6418982270461</v>
      </c>
      <c r="BO18" s="268">
        <f xml:space="preserve"> 'Data (Calculations)'!BO19*'Data (Calculations)'!BO22* (('Data (Calculations)'!BO30*(1-'Data (Calculations)'!BO35)*(1-'Data (Calculations)'!BO47)) + ((1-'Data (Calculations)'!BO30)*(1-'Data (Calculations)'!BO47)))</f>
        <v>6489.2047670970451</v>
      </c>
      <c r="BP18" s="268">
        <f xml:space="preserve"> 'Data (Calculations)'!BP19*'Data (Calculations)'!BP22* (('Data (Calculations)'!BP30*(1-'Data (Calculations)'!BP35)*(1-'Data (Calculations)'!BP47)) + ((1-'Data (Calculations)'!BP30)*(1-'Data (Calculations)'!BP47)))</f>
        <v>5519.4158564188219</v>
      </c>
      <c r="BQ18" s="268">
        <f xml:space="preserve"> 'Data (Calculations)'!BQ19*'Data (Calculations)'!BQ22* (('Data (Calculations)'!BQ30*(1-'Data (Calculations)'!BQ35)*(1-'Data (Calculations)'!BQ47)) + ((1-'Data (Calculations)'!BQ30)*(1-'Data (Calculations)'!BQ47)))</f>
        <v>4559.1599764836983</v>
      </c>
      <c r="BR18" s="268">
        <f xml:space="preserve"> 'Data (Calculations)'!BR19*'Data (Calculations)'!BR22* (('Data (Calculations)'!BR30*(1-'Data (Calculations)'!BR35)*(1-'Data (Calculations)'!BR47)) + ((1-'Data (Calculations)'!BR30)*(1-'Data (Calculations)'!BR47)))</f>
        <v>3609.5629641516121</v>
      </c>
      <c r="BS18" s="268">
        <f xml:space="preserve"> 'Data (Calculations)'!BS19*'Data (Calculations)'!BS22* (('Data (Calculations)'!BS30*(1-'Data (Calculations)'!BS35)*(1-'Data (Calculations)'!BS47)) + ((1-'Data (Calculations)'!BS30)*(1-'Data (Calculations)'!BS47)))</f>
        <v>2671.8744131725966</v>
      </c>
      <c r="BT18" s="268">
        <f xml:space="preserve"> 'Data (Calculations)'!BT19*'Data (Calculations)'!BT22* (('Data (Calculations)'!BT30*(1-'Data (Calculations)'!BT35)*(1-'Data (Calculations)'!BT47)) + ((1-'Data (Calculations)'!BT30)*(1-'Data (Calculations)'!BT47)))</f>
        <v>1747.2309028509351</v>
      </c>
      <c r="BU18" s="268"/>
    </row>
    <row r="19" spans="1:73">
      <c r="A19" s="17"/>
      <c r="E19" s="17" t="s">
        <v>243</v>
      </c>
      <c r="F19" s="268">
        <f>(1-'Data (Calculations)'!F22)*'Data (Calculations)'!F19</f>
        <v>26473093.737500001</v>
      </c>
      <c r="G19" s="268">
        <f>(1-'Data (Calculations)'!G22)*'Data (Calculations)'!G19</f>
        <v>26253388.739500001</v>
      </c>
      <c r="H19" s="268">
        <f>(1-'Data (Calculations)'!H22)*'Data (Calculations)'!H19</f>
        <v>25960468.809599999</v>
      </c>
      <c r="I19" s="268">
        <f>(1-'Data (Calculations)'!I22)*'Data (Calculations)'!I19</f>
        <v>25946902.751600001</v>
      </c>
      <c r="J19" s="268">
        <f>(1-'Data (Calculations)'!J22)*'Data (Calculations)'!J19</f>
        <v>25800982.937400002</v>
      </c>
      <c r="K19" s="268">
        <f>(1-'Data (Calculations)'!K22)*'Data (Calculations)'!K19</f>
        <v>25739507.284600001</v>
      </c>
      <c r="L19" s="268">
        <f>(1-'Data (Calculations)'!L22)*'Data (Calculations)'!L19</f>
        <v>25734644.955699999</v>
      </c>
      <c r="M19" s="268">
        <f>(1-'Data (Calculations)'!M22)*'Data (Calculations)'!M19</f>
        <v>25707102.164999999</v>
      </c>
      <c r="N19" s="268" t="e">
        <f>(1-'Data (Calculations)'!N22)*'Data (Calculations)'!N19</f>
        <v>#VALUE!</v>
      </c>
      <c r="O19" s="268">
        <f>(1-'Data (Calculations)'!O22)*'Data (Calculations)'!O19</f>
        <v>25631491.531015653</v>
      </c>
      <c r="P19" s="268">
        <f>(1-'Data (Calculations)'!P22)*'Data (Calculations)'!P19</f>
        <v>25567407.329965197</v>
      </c>
      <c r="Q19" s="268">
        <f>(1-'Data (Calculations)'!Q22)*'Data (Calculations)'!Q19</f>
        <v>25485227.579174664</v>
      </c>
      <c r="R19" s="268">
        <f>(1-'Data (Calculations)'!R22)*'Data (Calculations)'!R19</f>
        <v>25391266.189887766</v>
      </c>
      <c r="S19" s="268">
        <f>(1-'Data (Calculations)'!S22)*'Data (Calculations)'!S19</f>
        <v>25290128.720780682</v>
      </c>
      <c r="T19" s="268">
        <f>(1-'Data (Calculations)'!T22)*'Data (Calculations)'!T19</f>
        <v>25181651.329852786</v>
      </c>
      <c r="U19" s="268">
        <f>(1-'Data (Calculations)'!U22)*'Data (Calculations)'!U19</f>
        <v>25064851.964136906</v>
      </c>
      <c r="V19" s="268">
        <f>(1-'Data (Calculations)'!V22)*'Data (Calculations)'!V19</f>
        <v>24938320.98300568</v>
      </c>
      <c r="W19" s="268">
        <f>(1-'Data (Calculations)'!W22)*'Data (Calculations)'!W19</f>
        <v>24801070.339272402</v>
      </c>
      <c r="X19" s="268">
        <f>(1-'Data (Calculations)'!X22)*'Data (Calculations)'!X19</f>
        <v>24652780.34122853</v>
      </c>
      <c r="Y19" s="268">
        <f>(1-'Data (Calculations)'!Y22)*'Data (Calculations)'!Y19</f>
        <v>24493875.579424463</v>
      </c>
      <c r="Z19" s="268">
        <f>(1-'Data (Calculations)'!Z22)*'Data (Calculations)'!Z19</f>
        <v>24324162.240761906</v>
      </c>
      <c r="AA19" s="268"/>
      <c r="AB19" s="268"/>
      <c r="AC19" s="268">
        <f>(1-'Data (Calculations)'!AC22)*'Data (Calculations)'!AC19</f>
        <v>26499659.8125</v>
      </c>
      <c r="AD19" s="268">
        <f>(1-'Data (Calculations)'!AD22)*'Data (Calculations)'!AD19</f>
        <v>26279718.484499998</v>
      </c>
      <c r="AE19" s="268">
        <f>(1-'Data (Calculations)'!AE22)*'Data (Calculations)'!AE19</f>
        <v>25986596.4956</v>
      </c>
      <c r="AF19" s="268">
        <f>(1-'Data (Calculations)'!AF22)*'Data (Calculations)'!AF19</f>
        <v>25970276</v>
      </c>
      <c r="AG19" s="268">
        <f>(1-'Data (Calculations)'!AG22)*'Data (Calculations)'!AG19</f>
        <v>25826843.3994</v>
      </c>
      <c r="AH19" s="268">
        <f>(1-'Data (Calculations)'!AH22)*'Data (Calculations)'!AH19</f>
        <v>25765300.9586</v>
      </c>
      <c r="AI19" s="268">
        <f>(1-'Data (Calculations)'!AI22)*'Data (Calculations)'!AI19</f>
        <v>25757827</v>
      </c>
      <c r="AJ19" s="268">
        <f>(1-'Data (Calculations)'!AJ22)*'Data (Calculations)'!AJ19</f>
        <v>25732835</v>
      </c>
      <c r="AK19" s="268" t="e">
        <f>(1-'Data (Calculations)'!AK22)*'Data (Calculations)'!AK19</f>
        <v>#VALUE!</v>
      </c>
      <c r="AL19" s="268">
        <f>(1-'Data (Calculations)'!AL22)*'Data (Calculations)'!AL19</f>
        <v>25656209</v>
      </c>
      <c r="AM19" s="268">
        <f>(1-'Data (Calculations)'!AM22)*'Data (Calculations)'!AM19</f>
        <v>25592063</v>
      </c>
      <c r="AN19" s="268">
        <f>(1-'Data (Calculations)'!AN22)*'Data (Calculations)'!AN19</f>
        <v>25509804</v>
      </c>
      <c r="AO19" s="268">
        <f>(1-'Data (Calculations)'!AO22)*'Data (Calculations)'!AO19</f>
        <v>25415752</v>
      </c>
      <c r="AP19" s="268">
        <f>(1-'Data (Calculations)'!AP22)*'Data (Calculations)'!AP19</f>
        <v>25314517</v>
      </c>
      <c r="AQ19" s="268">
        <f>(1-'Data (Calculations)'!AQ22)*'Data (Calculations)'!AQ19</f>
        <v>25205935</v>
      </c>
      <c r="AR19" s="268">
        <f>(1-'Data (Calculations)'!AR22)*'Data (Calculations)'!AR19</f>
        <v>25089023</v>
      </c>
      <c r="AS19" s="268">
        <f>(1-'Data (Calculations)'!AS22)*'Data (Calculations)'!AS19</f>
        <v>24962370</v>
      </c>
      <c r="AT19" s="268">
        <f>(1-'Data (Calculations)'!AT22)*'Data (Calculations)'!AT19</f>
        <v>24824987</v>
      </c>
      <c r="AU19" s="268">
        <f>(1-'Data (Calculations)'!AU22)*'Data (Calculations)'!AU19</f>
        <v>24676554</v>
      </c>
      <c r="AV19" s="268">
        <f>(1-'Data (Calculations)'!AV22)*'Data (Calculations)'!AV19</f>
        <v>24517496</v>
      </c>
      <c r="AW19" s="268">
        <f>(1-'Data (Calculations)'!AW22)*'Data (Calculations)'!AW19</f>
        <v>24347619</v>
      </c>
      <c r="AX19" s="268"/>
      <c r="AY19" s="268"/>
      <c r="AZ19" s="268">
        <f>(1-'Data (Calculations)'!AZ22)*'Data (Calculations)'!AZ19</f>
        <v>26446527.662500001</v>
      </c>
      <c r="BA19" s="268">
        <f>(1-'Data (Calculations)'!BA22)*'Data (Calculations)'!BA19</f>
        <v>26227058.9945</v>
      </c>
      <c r="BB19" s="268">
        <f>(1-'Data (Calculations)'!BB22)*'Data (Calculations)'!BB19</f>
        <v>25934341.123600002</v>
      </c>
      <c r="BC19" s="268">
        <f>(1-'Data (Calculations)'!BC22)*'Data (Calculations)'!BC19</f>
        <v>25920932.4756</v>
      </c>
      <c r="BD19" s="268">
        <f>(1-'Data (Calculations)'!BD22)*'Data (Calculations)'!BD19</f>
        <v>25775122.475400001</v>
      </c>
      <c r="BE19" s="268">
        <f>(1-'Data (Calculations)'!BE22)*'Data (Calculations)'!BE19</f>
        <v>25713713.610599998</v>
      </c>
      <c r="BF19" s="268">
        <f>(1-'Data (Calculations)'!BF22)*'Data (Calculations)'!BF19</f>
        <v>25708887.128699999</v>
      </c>
      <c r="BG19" s="268">
        <f>(1-'Data (Calculations)'!BG22)*'Data (Calculations)'!BG19</f>
        <v>25681369.329999998</v>
      </c>
      <c r="BH19" s="268" t="e">
        <f>(1-'Data (Calculations)'!BH22)*'Data (Calculations)'!BH19</f>
        <v>#VALUE!</v>
      </c>
      <c r="BI19" s="268">
        <f>(1-'Data (Calculations)'!BI22)*'Data (Calculations)'!BI19</f>
        <v>25605835.322015654</v>
      </c>
      <c r="BJ19" s="268">
        <f>(1-'Data (Calculations)'!BJ22)*'Data (Calculations)'!BJ19</f>
        <v>25541815.266965196</v>
      </c>
      <c r="BK19" s="268">
        <f>(1-'Data (Calculations)'!BK22)*'Data (Calculations)'!BK19</f>
        <v>25459717.775174666</v>
      </c>
      <c r="BL19" s="268">
        <f>(1-'Data (Calculations)'!BL22)*'Data (Calculations)'!BL19</f>
        <v>25365850.437887765</v>
      </c>
      <c r="BM19" s="268">
        <f>(1-'Data (Calculations)'!BM22)*'Data (Calculations)'!BM19</f>
        <v>25264814.203780681</v>
      </c>
      <c r="BN19" s="268">
        <f>(1-'Data (Calculations)'!BN22)*'Data (Calculations)'!BN19</f>
        <v>25156445.394852787</v>
      </c>
      <c r="BO19" s="268">
        <f>(1-'Data (Calculations)'!BO22)*'Data (Calculations)'!BO19</f>
        <v>25039762.941136904</v>
      </c>
      <c r="BP19" s="268">
        <f>(1-'Data (Calculations)'!BP22)*'Data (Calculations)'!BP19</f>
        <v>24913358.613005683</v>
      </c>
      <c r="BQ19" s="268">
        <f>(1-'Data (Calculations)'!BQ22)*'Data (Calculations)'!BQ19</f>
        <v>24776245.352272402</v>
      </c>
      <c r="BR19" s="268">
        <f>(1-'Data (Calculations)'!BR22)*'Data (Calculations)'!BR19</f>
        <v>24628103.787228528</v>
      </c>
      <c r="BS19" s="268">
        <f>(1-'Data (Calculations)'!BS22)*'Data (Calculations)'!BS19</f>
        <v>24469358.083424464</v>
      </c>
      <c r="BT19" s="268">
        <f>(1-'Data (Calculations)'!BT22)*'Data (Calculations)'!BT19</f>
        <v>24299814.621761907</v>
      </c>
      <c r="BU19" s="268"/>
    </row>
    <row r="20" spans="1:73">
      <c r="A20" s="17"/>
      <c r="F20" s="268"/>
      <c r="G20" s="268"/>
      <c r="H20" s="268"/>
      <c r="I20" s="268"/>
      <c r="J20" s="268"/>
      <c r="K20" s="268"/>
      <c r="L20" s="268"/>
      <c r="M20" s="268"/>
      <c r="N20" s="268"/>
      <c r="O20" s="268"/>
      <c r="P20" s="268"/>
      <c r="Q20" s="268"/>
      <c r="R20" s="268"/>
      <c r="S20" s="268"/>
      <c r="T20" s="268"/>
      <c r="U20" s="268"/>
      <c r="V20" s="268"/>
      <c r="W20" s="268"/>
      <c r="X20" s="268"/>
      <c r="Y20" s="268"/>
      <c r="Z20" s="268"/>
      <c r="AA20" s="268"/>
      <c r="AB20" s="268"/>
      <c r="AC20" s="268"/>
      <c r="AD20" s="268"/>
      <c r="AE20" s="268"/>
      <c r="AF20" s="268"/>
      <c r="AG20" s="268"/>
      <c r="AH20" s="268"/>
      <c r="AI20" s="268"/>
      <c r="AJ20" s="268"/>
      <c r="AK20" s="268"/>
      <c r="AL20" s="268"/>
      <c r="AM20" s="268"/>
      <c r="AN20" s="268"/>
      <c r="AO20" s="268"/>
      <c r="AP20" s="268"/>
      <c r="AQ20" s="268"/>
      <c r="AR20" s="268"/>
      <c r="AS20" s="268"/>
      <c r="AT20" s="268"/>
      <c r="AU20" s="268"/>
      <c r="AV20" s="268"/>
      <c r="AW20" s="268"/>
      <c r="AX20" s="268"/>
      <c r="AY20" s="268"/>
      <c r="AZ20" s="268"/>
      <c r="BA20" s="268"/>
      <c r="BB20" s="268"/>
      <c r="BC20" s="268"/>
      <c r="BD20" s="268"/>
      <c r="BE20" s="268"/>
      <c r="BF20" s="268"/>
      <c r="BG20" s="268"/>
      <c r="BH20" s="268"/>
      <c r="BI20" s="268"/>
      <c r="BJ20" s="268"/>
      <c r="BK20" s="268"/>
      <c r="BL20" s="268"/>
      <c r="BM20" s="268"/>
      <c r="BN20" s="268"/>
      <c r="BO20" s="268"/>
      <c r="BP20" s="268"/>
      <c r="BQ20" s="268"/>
      <c r="BR20" s="268"/>
      <c r="BS20" s="268"/>
      <c r="BT20" s="268"/>
    </row>
    <row r="21" spans="1:73">
      <c r="A21" s="17"/>
      <c r="E21" s="86" t="s">
        <v>110</v>
      </c>
      <c r="F21" s="268" t="e">
        <f>IF(SUM(F13:F19)='Data (Calculations)'!F19, "Correct","Wrong")</f>
        <v>#VALUE!</v>
      </c>
      <c r="G21" s="268" t="str">
        <f>IF(SUM(G13:G19)='Data (Calculations)'!G19, "Correct","Wrong")</f>
        <v>Correct</v>
      </c>
      <c r="H21" s="268" t="str">
        <f>IF(SUM(H13:H19)='Data (Calculations)'!H19, "Correct","Wrong")</f>
        <v>Correct</v>
      </c>
      <c r="I21" s="268" t="str">
        <f>IF(SUM(I13:I19)='Data (Calculations)'!I19, "Correct","Wrong")</f>
        <v>Correct</v>
      </c>
      <c r="J21" s="268" t="str">
        <f>IF(SUM(J13:J19)='Data (Calculations)'!J19, "Correct","Wrong")</f>
        <v>Correct</v>
      </c>
      <c r="K21" s="268" t="str">
        <f>IF(SUM(K13:K19)='Data (Calculations)'!K19, "Correct","Wrong")</f>
        <v>Correct</v>
      </c>
      <c r="L21" s="268" t="str">
        <f>IF(SUM(L13:L19)='Data (Calculations)'!L19, "Correct","Wrong")</f>
        <v>Correct</v>
      </c>
      <c r="M21" s="268" t="str">
        <f>IF(SUM(M13:M19)='Data (Calculations)'!M19, "Correct","Wrong")</f>
        <v>Correct</v>
      </c>
      <c r="N21" s="268" t="e">
        <f>IF(SUM(N13:N19)='Data (Calculations)'!N19, "Correct","Wrong")</f>
        <v>#VALUE!</v>
      </c>
      <c r="O21" s="268" t="str">
        <f>IF(SUM(O13:O19)='Data (Calculations)'!O19, "Correct","Wrong")</f>
        <v>Correct</v>
      </c>
      <c r="P21" s="268" t="str">
        <f>IF(SUM(P13:P19)='Data (Calculations)'!P19, "Correct","Wrong")</f>
        <v>Correct</v>
      </c>
      <c r="Q21" s="268" t="str">
        <f>IF(SUM(Q13:Q19)='Data (Calculations)'!Q19, "Correct","Wrong")</f>
        <v>Correct</v>
      </c>
      <c r="R21" s="268" t="str">
        <f>IF(SUM(R13:R19)='Data (Calculations)'!R19, "Correct","Wrong")</f>
        <v>Correct</v>
      </c>
      <c r="S21" s="268" t="str">
        <f>IF(SUM(S13:S19)='Data (Calculations)'!S19, "Correct","Wrong")</f>
        <v>Correct</v>
      </c>
      <c r="T21" s="268" t="str">
        <f>IF(SUM(T13:T19)='Data (Calculations)'!T19, "Correct","Wrong")</f>
        <v>Correct</v>
      </c>
      <c r="U21" s="268" t="str">
        <f>IF(SUM(U13:U19)='Data (Calculations)'!U19, "Correct","Wrong")</f>
        <v>Correct</v>
      </c>
      <c r="V21" s="268" t="str">
        <f>IF(SUM(V13:V19)='Data (Calculations)'!V19, "Correct","Wrong")</f>
        <v>Correct</v>
      </c>
      <c r="W21" s="268" t="str">
        <f>IF(SUM(W13:W19)='Data (Calculations)'!W19, "Correct","Wrong")</f>
        <v>Correct</v>
      </c>
      <c r="X21" s="268" t="str">
        <f>IF(SUM(X13:X19)='Data (Calculations)'!X19, "Correct","Wrong")</f>
        <v>Correct</v>
      </c>
      <c r="Y21" s="268" t="str">
        <f>IF(SUM(Y13:Y19)='Data (Calculations)'!Y19, "Correct","Wrong")</f>
        <v>Correct</v>
      </c>
      <c r="Z21" s="268" t="str">
        <f>IF(SUM(Z13:Z19)='Data (Calculations)'!Z19, "Correct","Wrong")</f>
        <v>Correct</v>
      </c>
      <c r="AA21" s="268"/>
      <c r="AB21" s="268"/>
      <c r="AC21" s="268" t="e">
        <f>IF(SUM(AC13:AC19)='Data (Calculations)'!AC19, "Correct","Wrong")</f>
        <v>#VALUE!</v>
      </c>
      <c r="AD21" s="268" t="str">
        <f>IF(SUM(AD13:AD19)='Data (Calculations)'!AD19, "Correct","Wrong")</f>
        <v>Correct</v>
      </c>
      <c r="AE21" s="268" t="str">
        <f>IF(SUM(AE13:AE19)='Data (Calculations)'!AE19, "Correct","Wrong")</f>
        <v>Correct</v>
      </c>
      <c r="AF21" s="268" t="str">
        <f>IF(SUM(AF13:AF19)='Data (Calculations)'!AF19, "Correct","Wrong")</f>
        <v>Correct</v>
      </c>
      <c r="AG21" s="268" t="str">
        <f>IF(SUM(AG13:AG19)='Data (Calculations)'!AG19, "Correct","Wrong")</f>
        <v>Correct</v>
      </c>
      <c r="AH21" s="268" t="str">
        <f>IF(SUM(AH13:AH19)='Data (Calculations)'!AH19, "Correct","Wrong")</f>
        <v>Correct</v>
      </c>
      <c r="AI21" s="268" t="str">
        <f>IF(SUM(AI13:AI19)='Data (Calculations)'!AI19, "Correct","Wrong")</f>
        <v>Correct</v>
      </c>
      <c r="AJ21" s="268" t="str">
        <f>IF(SUM(AJ13:AJ19)='Data (Calculations)'!AJ19, "Correct","Wrong")</f>
        <v>Correct</v>
      </c>
      <c r="AK21" s="268" t="e">
        <f>IF(SUM(AK13:AK19)='Data (Calculations)'!AK19, "Correct","Wrong")</f>
        <v>#VALUE!</v>
      </c>
      <c r="AL21" s="268" t="str">
        <f>IF(SUM(AL13:AL19)='Data (Calculations)'!AL19, "Correct","Wrong")</f>
        <v>Correct</v>
      </c>
      <c r="AM21" s="268" t="str">
        <f>IF(SUM(AM13:AM19)='Data (Calculations)'!AM19, "Correct","Wrong")</f>
        <v>Correct</v>
      </c>
      <c r="AN21" s="268" t="str">
        <f>IF(SUM(AN13:AN19)='Data (Calculations)'!AN19, "Correct","Wrong")</f>
        <v>Correct</v>
      </c>
      <c r="AO21" s="268" t="str">
        <f>IF(SUM(AO13:AO19)='Data (Calculations)'!AO19, "Correct","Wrong")</f>
        <v>Correct</v>
      </c>
      <c r="AP21" s="268" t="str">
        <f>IF(SUM(AP13:AP19)='Data (Calculations)'!AP19, "Correct","Wrong")</f>
        <v>Correct</v>
      </c>
      <c r="AQ21" s="268" t="str">
        <f>IF(SUM(AQ13:AQ19)='Data (Calculations)'!AQ19, "Correct","Wrong")</f>
        <v>Correct</v>
      </c>
      <c r="AR21" s="268" t="str">
        <f>IF(SUM(AR13:AR19)='Data (Calculations)'!AR19, "Correct","Wrong")</f>
        <v>Correct</v>
      </c>
      <c r="AS21" s="268" t="str">
        <f>IF(SUM(AS13:AS19)='Data (Calculations)'!AS19, "Correct","Wrong")</f>
        <v>Correct</v>
      </c>
      <c r="AT21" s="268" t="str">
        <f>IF(SUM(AT13:AT19)='Data (Calculations)'!AT19, "Correct","Wrong")</f>
        <v>Correct</v>
      </c>
      <c r="AU21" s="268" t="str">
        <f>IF(SUM(AU13:AU19)='Data (Calculations)'!AU19, "Correct","Wrong")</f>
        <v>Correct</v>
      </c>
      <c r="AV21" s="268" t="str">
        <f>IF(SUM(AV13:AV19)='Data (Calculations)'!AV19, "Correct","Wrong")</f>
        <v>Correct</v>
      </c>
      <c r="AW21" s="268" t="str">
        <f>IF(SUM(AW13:AW19)='Data (Calculations)'!AW19, "Correct","Wrong")</f>
        <v>Correct</v>
      </c>
      <c r="AX21" s="268"/>
      <c r="AY21" s="268"/>
      <c r="AZ21" s="268" t="e">
        <f>IF(SUM(AZ13:AZ19)='Data (Calculations)'!AZ19, "Correct","Wrong")</f>
        <v>#VALUE!</v>
      </c>
      <c r="BA21" s="268" t="str">
        <f>IF(SUM(BA13:BA19)='Data (Calculations)'!BA19, "Correct","Wrong")</f>
        <v>Correct</v>
      </c>
      <c r="BB21" s="268" t="str">
        <f>IF(SUM(BB13:BB19)='Data (Calculations)'!BB19, "Correct","Wrong")</f>
        <v>Correct</v>
      </c>
      <c r="BC21" s="268" t="str">
        <f>IF(SUM(BC13:BC19)='Data (Calculations)'!BC19, "Correct","Wrong")</f>
        <v>Correct</v>
      </c>
      <c r="BD21" s="268" t="str">
        <f>IF(SUM(BD13:BD19)='Data (Calculations)'!BD19, "Correct","Wrong")</f>
        <v>Correct</v>
      </c>
      <c r="BE21" s="268" t="str">
        <f>IF(SUM(BE13:BE19)='Data (Calculations)'!BE19, "Correct","Wrong")</f>
        <v>Correct</v>
      </c>
      <c r="BF21" s="268" t="str">
        <f>IF(SUM(BF13:BF19)='Data (Calculations)'!BF19, "Correct","Wrong")</f>
        <v>Correct</v>
      </c>
      <c r="BG21" s="268" t="str">
        <f>IF(SUM(BG13:BG19)='Data (Calculations)'!BG19, "Correct","Wrong")</f>
        <v>Correct</v>
      </c>
      <c r="BH21" s="268" t="e">
        <f>IF(SUM(BH13:BH19)='Data (Calculations)'!BH19, "Correct","Wrong")</f>
        <v>#VALUE!</v>
      </c>
      <c r="BI21" s="268" t="str">
        <f>IF(SUM(BI13:BI19)='Data (Calculations)'!BI19, "Correct","Wrong")</f>
        <v>Correct</v>
      </c>
      <c r="BJ21" s="268" t="str">
        <f>IF(SUM(BJ13:BJ19)='Data (Calculations)'!BJ19, "Correct","Wrong")</f>
        <v>Correct</v>
      </c>
      <c r="BK21" s="268" t="str">
        <f>IF(SUM(BK13:BK19)='Data (Calculations)'!BK19, "Correct","Wrong")</f>
        <v>Correct</v>
      </c>
      <c r="BL21" s="268" t="str">
        <f>IF(SUM(BL13:BL19)='Data (Calculations)'!BL19, "Correct","Wrong")</f>
        <v>Correct</v>
      </c>
      <c r="BM21" s="268" t="str">
        <f>IF(SUM(BM13:BM19)='Data (Calculations)'!BM19, "Correct","Wrong")</f>
        <v>Correct</v>
      </c>
      <c r="BN21" s="268" t="str">
        <f>IF(SUM(BN13:BN19)='Data (Calculations)'!BN19, "Correct","Wrong")</f>
        <v>Correct</v>
      </c>
      <c r="BO21" s="268" t="str">
        <f>IF(SUM(BO13:BO19)='Data (Calculations)'!BO19, "Correct","Wrong")</f>
        <v>Correct</v>
      </c>
      <c r="BP21" s="268" t="str">
        <f>IF(SUM(BP13:BP19)='Data (Calculations)'!BP19, "Correct","Wrong")</f>
        <v>Correct</v>
      </c>
      <c r="BQ21" s="268" t="str">
        <f>IF(SUM(BQ13:BQ19)='Data (Calculations)'!BQ19, "Correct","Wrong")</f>
        <v>Correct</v>
      </c>
      <c r="BR21" s="268" t="str">
        <f>IF(SUM(BR13:BR19)='Data (Calculations)'!BR19, "Correct","Wrong")</f>
        <v>Correct</v>
      </c>
      <c r="BS21" s="268" t="str">
        <f>IF(SUM(BS13:BS19)='Data (Calculations)'!BS19, "Correct","Wrong")</f>
        <v>Correct</v>
      </c>
      <c r="BT21" s="268" t="str">
        <f>IF(SUM(BT13:BT19)='Data (Calculations)'!BT19, "Correct","Wrong")</f>
        <v>Correct</v>
      </c>
    </row>
    <row r="22" spans="1:73">
      <c r="A22" s="17"/>
      <c r="G22" s="17"/>
      <c r="H22" s="17"/>
      <c r="I22" s="17"/>
      <c r="J22" s="17"/>
      <c r="K22" s="17"/>
      <c r="L22" s="17"/>
      <c r="M22" s="17"/>
      <c r="N22" s="17"/>
      <c r="AX22" s="17"/>
      <c r="AY22" s="17"/>
    </row>
    <row r="23" spans="1:73">
      <c r="A23" s="17"/>
      <c r="E23" s="176" t="s">
        <v>218</v>
      </c>
      <c r="F23" s="176"/>
      <c r="G23" s="176"/>
      <c r="H23" s="176"/>
      <c r="I23" s="176"/>
      <c r="J23" s="176"/>
      <c r="K23" s="176"/>
      <c r="L23" s="176"/>
      <c r="M23" s="176"/>
      <c r="N23" s="176"/>
      <c r="O23" s="176"/>
      <c r="P23" s="176"/>
      <c r="Q23" s="176"/>
      <c r="R23" s="176"/>
      <c r="S23" s="176"/>
      <c r="T23" s="176"/>
      <c r="U23" s="176"/>
      <c r="V23" s="176"/>
      <c r="W23" s="176"/>
      <c r="X23" s="176"/>
      <c r="Y23" s="176"/>
      <c r="Z23" s="176"/>
      <c r="AA23" s="176"/>
      <c r="AB23" s="176"/>
      <c r="AC23" s="176"/>
      <c r="AD23" s="176"/>
      <c r="AE23" s="176"/>
      <c r="AF23" s="176"/>
      <c r="AG23" s="176"/>
      <c r="AH23" s="176"/>
      <c r="AI23" s="176"/>
      <c r="AJ23" s="176"/>
      <c r="AK23" s="176"/>
      <c r="AL23" s="176"/>
      <c r="AM23" s="176"/>
      <c r="AN23" s="176"/>
      <c r="AO23" s="176"/>
      <c r="AP23" s="176"/>
      <c r="AQ23" s="176"/>
      <c r="AR23" s="176"/>
      <c r="AS23" s="176"/>
      <c r="AT23" s="176"/>
      <c r="AU23" s="176"/>
      <c r="AV23" s="176"/>
      <c r="AW23" s="176"/>
      <c r="AX23" s="176"/>
      <c r="AY23" s="176"/>
      <c r="AZ23" s="176"/>
      <c r="BA23" s="176"/>
      <c r="BB23" s="176"/>
      <c r="BC23" s="176"/>
      <c r="BD23" s="176"/>
      <c r="BE23" s="176"/>
      <c r="BF23" s="176"/>
      <c r="BG23" s="176"/>
      <c r="BH23" s="176"/>
      <c r="BI23" s="176"/>
      <c r="BJ23" s="176"/>
      <c r="BK23" s="176"/>
      <c r="BL23" s="176"/>
      <c r="BM23" s="176"/>
      <c r="BN23" s="176"/>
      <c r="BO23" s="176"/>
      <c r="BP23" s="176"/>
      <c r="BQ23" s="176"/>
      <c r="BR23" s="176"/>
      <c r="BS23" s="176"/>
      <c r="BT23" s="176"/>
    </row>
    <row r="24" spans="1:73" s="64" customFormat="1">
      <c r="E24" s="320"/>
      <c r="F24" s="320"/>
      <c r="G24" s="320"/>
      <c r="H24" s="320"/>
      <c r="I24" s="320"/>
      <c r="J24" s="320"/>
      <c r="K24" s="320"/>
      <c r="L24" s="320"/>
      <c r="M24" s="320"/>
      <c r="N24" s="320"/>
      <c r="O24" s="320"/>
      <c r="P24" s="320"/>
      <c r="Q24" s="320"/>
      <c r="R24" s="320"/>
      <c r="S24" s="320"/>
      <c r="T24" s="320"/>
      <c r="U24" s="320"/>
      <c r="V24" s="320"/>
      <c r="W24" s="320"/>
      <c r="X24" s="320"/>
      <c r="Y24" s="320"/>
      <c r="Z24" s="320"/>
      <c r="AA24" s="320"/>
      <c r="AB24" s="320"/>
      <c r="AC24" s="320"/>
      <c r="AD24" s="320"/>
      <c r="AE24" s="320"/>
      <c r="AF24" s="320"/>
      <c r="AG24" s="320"/>
      <c r="AH24" s="320"/>
      <c r="AI24" s="320"/>
      <c r="AJ24" s="320"/>
      <c r="AK24" s="320"/>
      <c r="AL24" s="320"/>
      <c r="AM24" s="320"/>
      <c r="AN24" s="320"/>
      <c r="AO24" s="320"/>
      <c r="AP24" s="320"/>
      <c r="AQ24" s="320"/>
      <c r="AR24" s="320"/>
      <c r="AS24" s="320"/>
      <c r="AT24" s="320"/>
      <c r="AU24" s="320"/>
      <c r="AV24" s="320"/>
      <c r="AW24" s="320"/>
      <c r="AX24" s="320"/>
      <c r="AY24" s="320"/>
      <c r="AZ24" s="320"/>
      <c r="BA24" s="320"/>
      <c r="BB24" s="320"/>
      <c r="BC24" s="320"/>
      <c r="BD24" s="320"/>
      <c r="BE24" s="320"/>
      <c r="BF24" s="320"/>
      <c r="BG24" s="320"/>
      <c r="BH24" s="320"/>
      <c r="BI24" s="320"/>
      <c r="BJ24" s="320"/>
      <c r="BK24" s="320"/>
      <c r="BL24" s="320"/>
      <c r="BM24" s="320"/>
      <c r="BN24" s="320"/>
      <c r="BO24" s="320"/>
      <c r="BP24" s="320"/>
      <c r="BQ24" s="320"/>
      <c r="BR24" s="320"/>
      <c r="BS24" s="320"/>
      <c r="BT24" s="320"/>
    </row>
    <row r="25" spans="1:73" s="64" customFormat="1">
      <c r="E25" s="64" t="s">
        <v>219</v>
      </c>
      <c r="F25" s="366" t="e">
        <f>F13</f>
        <v>#VALUE!</v>
      </c>
      <c r="G25" s="366">
        <f t="shared" ref="G25:AI25" si="0">G13</f>
        <v>2149.3384605099118</v>
      </c>
      <c r="H25" s="366">
        <f t="shared" si="0"/>
        <v>7894.3508035474451</v>
      </c>
      <c r="I25" s="366">
        <f t="shared" si="0"/>
        <v>1448.4957003463967</v>
      </c>
      <c r="J25" s="366">
        <f t="shared" si="0"/>
        <v>808.33650094132315</v>
      </c>
      <c r="K25" s="366">
        <f t="shared" si="0"/>
        <v>851.771036386368</v>
      </c>
      <c r="L25" s="366">
        <f t="shared" si="0"/>
        <v>1643.1514056496351</v>
      </c>
      <c r="M25" s="366">
        <f t="shared" si="0"/>
        <v>1666.1864807871693</v>
      </c>
      <c r="N25" s="366" t="e">
        <f t="shared" si="0"/>
        <v>#VALUE!</v>
      </c>
      <c r="O25" s="366">
        <f t="shared" si="0"/>
        <v>4013.9040822383658</v>
      </c>
      <c r="P25" s="366">
        <f t="shared" si="0"/>
        <v>4003.8684650799892</v>
      </c>
      <c r="Q25" s="366">
        <f t="shared" si="0"/>
        <v>4951.9888069840526</v>
      </c>
      <c r="R25" s="366">
        <f t="shared" si="0"/>
        <v>5952.7451497826787</v>
      </c>
      <c r="S25" s="366">
        <f t="shared" si="0"/>
        <v>7005.1211528259564</v>
      </c>
      <c r="T25" s="366">
        <f t="shared" si="0"/>
        <v>8107.2253498167629</v>
      </c>
      <c r="U25" s="366">
        <f t="shared" si="0"/>
        <v>9256.7324560425859</v>
      </c>
      <c r="V25" s="366">
        <f t="shared" si="0"/>
        <v>10450.840126347313</v>
      </c>
      <c r="W25" s="366">
        <f t="shared" si="0"/>
        <v>11686.53472777298</v>
      </c>
      <c r="X25" s="366">
        <f t="shared" si="0"/>
        <v>12960.803084688932</v>
      </c>
      <c r="Y25" s="366">
        <f t="shared" si="0"/>
        <v>14270.844140682562</v>
      </c>
      <c r="Z25" s="366">
        <f t="shared" si="0"/>
        <v>15613.408041925015</v>
      </c>
      <c r="AA25" s="366"/>
      <c r="AB25" s="366"/>
      <c r="AC25" s="366" t="e">
        <f t="shared" si="0"/>
        <v>#VALUE!</v>
      </c>
      <c r="AD25" s="366">
        <f t="shared" si="0"/>
        <v>2736.5270378821765</v>
      </c>
      <c r="AE25" s="366">
        <f t="shared" si="0"/>
        <v>11032.411838360455</v>
      </c>
      <c r="AF25" s="366">
        <f t="shared" si="0"/>
        <v>0</v>
      </c>
      <c r="AG25" s="366">
        <f t="shared" si="0"/>
        <v>819.03370791584359</v>
      </c>
      <c r="AH25" s="366">
        <f t="shared" si="0"/>
        <v>778.01654970284312</v>
      </c>
      <c r="AI25" s="366">
        <f t="shared" si="0"/>
        <v>0</v>
      </c>
      <c r="AJ25" s="366">
        <f>AJ13</f>
        <v>0</v>
      </c>
      <c r="AK25" s="366" t="e">
        <f t="shared" ref="AK25:BC25" si="1">AK13</f>
        <v>#VALUE!</v>
      </c>
      <c r="AL25" s="366">
        <f t="shared" si="1"/>
        <v>0</v>
      </c>
      <c r="AM25" s="366">
        <f t="shared" si="1"/>
        <v>0</v>
      </c>
      <c r="AN25" s="366">
        <f t="shared" si="1"/>
        <v>0</v>
      </c>
      <c r="AO25" s="366">
        <f t="shared" si="1"/>
        <v>0</v>
      </c>
      <c r="AP25" s="366">
        <f t="shared" si="1"/>
        <v>0</v>
      </c>
      <c r="AQ25" s="366">
        <f t="shared" si="1"/>
        <v>0</v>
      </c>
      <c r="AR25" s="366">
        <f t="shared" si="1"/>
        <v>0</v>
      </c>
      <c r="AS25" s="366">
        <f t="shared" si="1"/>
        <v>0</v>
      </c>
      <c r="AT25" s="366">
        <f t="shared" si="1"/>
        <v>0</v>
      </c>
      <c r="AU25" s="366">
        <f t="shared" si="1"/>
        <v>0</v>
      </c>
      <c r="AV25" s="366">
        <f t="shared" si="1"/>
        <v>0</v>
      </c>
      <c r="AW25" s="366">
        <f t="shared" si="1"/>
        <v>0</v>
      </c>
      <c r="AX25" s="366"/>
      <c r="AY25" s="366"/>
      <c r="AZ25" s="366" t="e">
        <f t="shared" si="1"/>
        <v>#VALUE!</v>
      </c>
      <c r="BA25" s="366">
        <f t="shared" si="1"/>
        <v>732.54418879168804</v>
      </c>
      <c r="BB25" s="366">
        <f t="shared" si="1"/>
        <v>4281.4328662611269</v>
      </c>
      <c r="BC25" s="366">
        <f t="shared" si="1"/>
        <v>1796.5847103175038</v>
      </c>
      <c r="BD25" s="366">
        <f>BD13</f>
        <v>534.8440141701841</v>
      </c>
      <c r="BE25" s="366">
        <f t="shared" ref="BE25:BT25" si="2">BE13</f>
        <v>606.87873356117234</v>
      </c>
      <c r="BF25" s="366">
        <f t="shared" si="2"/>
        <v>2137.4914375228318</v>
      </c>
      <c r="BG25" s="366">
        <f t="shared" si="2"/>
        <v>2118.8113226307596</v>
      </c>
      <c r="BH25" s="366" t="e">
        <f t="shared" si="2"/>
        <v>#VALUE!</v>
      </c>
      <c r="BI25" s="366">
        <f t="shared" si="2"/>
        <v>6149.7939146622966</v>
      </c>
      <c r="BJ25" s="366">
        <f t="shared" si="2"/>
        <v>6134.4181169187596</v>
      </c>
      <c r="BK25" s="366">
        <f t="shared" si="2"/>
        <v>7822.8390257728115</v>
      </c>
      <c r="BL25" s="366">
        <f t="shared" si="2"/>
        <v>9615.1500456144404</v>
      </c>
      <c r="BM25" s="366">
        <f t="shared" si="2"/>
        <v>11509.200136243649</v>
      </c>
      <c r="BN25" s="366">
        <f t="shared" si="2"/>
        <v>13501.449711046278</v>
      </c>
      <c r="BO25" s="366">
        <f t="shared" si="2"/>
        <v>15587.599577705792</v>
      </c>
      <c r="BP25" s="366">
        <f t="shared" si="2"/>
        <v>17762.492970034415</v>
      </c>
      <c r="BQ25" s="366">
        <f t="shared" si="2"/>
        <v>20020.553696294548</v>
      </c>
      <c r="BR25" s="366">
        <f t="shared" si="2"/>
        <v>22356.156189596753</v>
      </c>
      <c r="BS25" s="366">
        <f t="shared" si="2"/>
        <v>24764.006565335822</v>
      </c>
      <c r="BT25" s="366">
        <f t="shared" si="2"/>
        <v>27238.008462431633</v>
      </c>
    </row>
    <row r="26" spans="1:73" s="64" customFormat="1">
      <c r="B26" s="92"/>
      <c r="E26" s="64" t="s">
        <v>220</v>
      </c>
      <c r="F26" s="366" t="e">
        <f>F15+F17</f>
        <v>#VALUE!</v>
      </c>
      <c r="G26" s="366">
        <f t="shared" ref="G26:AI26" si="3">G15+G17</f>
        <v>50231.056242490093</v>
      </c>
      <c r="H26" s="366">
        <f t="shared" si="3"/>
        <v>106816.64181085258</v>
      </c>
      <c r="I26" s="366">
        <f t="shared" si="3"/>
        <v>14585.552702053605</v>
      </c>
      <c r="J26" s="366">
        <f t="shared" si="3"/>
        <v>39994.300442658685</v>
      </c>
      <c r="K26" s="366">
        <f t="shared" si="3"/>
        <v>36306.595728013628</v>
      </c>
      <c r="L26" s="366">
        <f t="shared" si="3"/>
        <v>14259.730984150367</v>
      </c>
      <c r="M26" s="366">
        <f t="shared" si="3"/>
        <v>15986.538329212832</v>
      </c>
      <c r="N26" s="366" t="e">
        <f t="shared" si="3"/>
        <v>#VALUE!</v>
      </c>
      <c r="O26" s="366">
        <f t="shared" si="3"/>
        <v>12942.279641022304</v>
      </c>
      <c r="P26" s="366">
        <f t="shared" si="3"/>
        <v>12909.921178793802</v>
      </c>
      <c r="Q26" s="366">
        <f t="shared" si="3"/>
        <v>11907.435879195025</v>
      </c>
      <c r="R26" s="366">
        <f t="shared" si="3"/>
        <v>10844.520587210254</v>
      </c>
      <c r="S26" s="366">
        <f t="shared" si="3"/>
        <v>9725.2383916260496</v>
      </c>
      <c r="T26" s="366">
        <f t="shared" si="3"/>
        <v>8551.372371170246</v>
      </c>
      <c r="U26" s="366">
        <f t="shared" si="3"/>
        <v>7324.5981460394496</v>
      </c>
      <c r="V26" s="366">
        <f t="shared" si="3"/>
        <v>6046.7855317540243</v>
      </c>
      <c r="W26" s="366">
        <f t="shared" si="3"/>
        <v>4720.2945313571472</v>
      </c>
      <c r="X26" s="366">
        <f t="shared" si="3"/>
        <v>3347.9268325394069</v>
      </c>
      <c r="Y26" s="366">
        <f t="shared" si="3"/>
        <v>1932.764374133814</v>
      </c>
      <c r="Z26" s="366">
        <f t="shared" si="3"/>
        <v>477.92879540555577</v>
      </c>
      <c r="AA26" s="366"/>
      <c r="AB26" s="366"/>
      <c r="AC26" s="366" t="e">
        <f t="shared" si="3"/>
        <v>#VALUE!</v>
      </c>
      <c r="AD26" s="366">
        <f t="shared" si="3"/>
        <v>31581.662595117821</v>
      </c>
      <c r="AE26" s="366">
        <f t="shared" si="3"/>
        <v>85754.988180039581</v>
      </c>
      <c r="AF26" s="366">
        <f t="shared" si="3"/>
        <v>0</v>
      </c>
      <c r="AG26" s="366">
        <f t="shared" si="3"/>
        <v>22243.326303684153</v>
      </c>
      <c r="AH26" s="366">
        <f t="shared" si="3"/>
        <v>18685.889850697153</v>
      </c>
      <c r="AI26" s="366">
        <f t="shared" si="3"/>
        <v>0</v>
      </c>
      <c r="AJ26" s="366">
        <f>AJ15+AJ17</f>
        <v>0</v>
      </c>
      <c r="AK26" s="366" t="e">
        <f t="shared" ref="AK26:BC26" si="4">AK15+AK17</f>
        <v>#VALUE!</v>
      </c>
      <c r="AL26" s="366">
        <f t="shared" si="4"/>
        <v>0</v>
      </c>
      <c r="AM26" s="366">
        <f t="shared" si="4"/>
        <v>0</v>
      </c>
      <c r="AN26" s="366">
        <f t="shared" si="4"/>
        <v>0</v>
      </c>
      <c r="AO26" s="366">
        <f t="shared" si="4"/>
        <v>0</v>
      </c>
      <c r="AP26" s="366">
        <f t="shared" si="4"/>
        <v>0</v>
      </c>
      <c r="AQ26" s="366">
        <f t="shared" si="4"/>
        <v>0</v>
      </c>
      <c r="AR26" s="366">
        <f t="shared" si="4"/>
        <v>0</v>
      </c>
      <c r="AS26" s="366">
        <f t="shared" si="4"/>
        <v>0</v>
      </c>
      <c r="AT26" s="366">
        <f t="shared" si="4"/>
        <v>0</v>
      </c>
      <c r="AU26" s="366">
        <f t="shared" si="4"/>
        <v>0</v>
      </c>
      <c r="AV26" s="366">
        <f t="shared" si="4"/>
        <v>0</v>
      </c>
      <c r="AW26" s="366">
        <f t="shared" si="4"/>
        <v>0</v>
      </c>
      <c r="AX26" s="366"/>
      <c r="AY26" s="366"/>
      <c r="AZ26" s="366" t="e">
        <f t="shared" si="4"/>
        <v>#VALUE!</v>
      </c>
      <c r="BA26" s="366">
        <f t="shared" si="4"/>
        <v>69710.055584208312</v>
      </c>
      <c r="BB26" s="366">
        <f t="shared" si="4"/>
        <v>128353.1523441389</v>
      </c>
      <c r="BC26" s="366">
        <f t="shared" si="4"/>
        <v>32053.073028082501</v>
      </c>
      <c r="BD26" s="366">
        <f>BD15+BD17</f>
        <v>58008.069861429831</v>
      </c>
      <c r="BE26" s="366">
        <f t="shared" ref="BE26:BT26" si="5">BE15+BE17</f>
        <v>54245.948394838837</v>
      </c>
      <c r="BF26" s="366">
        <f t="shared" si="5"/>
        <v>31435.260274277167</v>
      </c>
      <c r="BG26" s="366">
        <f t="shared" si="5"/>
        <v>33186.638297369238</v>
      </c>
      <c r="BH26" s="366" t="e">
        <f t="shared" si="5"/>
        <v>#VALUE!</v>
      </c>
      <c r="BI26" s="366">
        <f t="shared" si="5"/>
        <v>28406.549182598377</v>
      </c>
      <c r="BJ26" s="366">
        <f t="shared" si="5"/>
        <v>28335.526744955041</v>
      </c>
      <c r="BK26" s="366">
        <f t="shared" si="5"/>
        <v>26536.311204406273</v>
      </c>
      <c r="BL26" s="366">
        <f t="shared" si="5"/>
        <v>24617.321563378497</v>
      </c>
      <c r="BM26" s="366">
        <f t="shared" si="5"/>
        <v>22586.918070208361</v>
      </c>
      <c r="BN26" s="366">
        <f t="shared" si="5"/>
        <v>20448.419419940732</v>
      </c>
      <c r="BO26" s="366">
        <f t="shared" si="5"/>
        <v>18204.800802376249</v>
      </c>
      <c r="BP26" s="366">
        <f t="shared" si="5"/>
        <v>15859.318508066925</v>
      </c>
      <c r="BQ26" s="366">
        <f t="shared" si="5"/>
        <v>13416.216644835578</v>
      </c>
      <c r="BR26" s="366">
        <f t="shared" si="5"/>
        <v>10880.689771631585</v>
      </c>
      <c r="BS26" s="366">
        <f t="shared" si="5"/>
        <v>8258.6042054805603</v>
      </c>
      <c r="BT26" s="366">
        <f t="shared" si="5"/>
        <v>5555.7950088989455</v>
      </c>
    </row>
    <row r="27" spans="1:73" s="64" customFormat="1">
      <c r="E27" s="64" t="s">
        <v>258</v>
      </c>
      <c r="F27" s="366" t="e">
        <f>F14+F16+F18</f>
        <v>#VALUE!</v>
      </c>
      <c r="G27" s="366">
        <f t="shared" ref="G27:AI27" si="6">G14+G16+G18</f>
        <v>23975.865796999991</v>
      </c>
      <c r="H27" s="366">
        <f t="shared" si="6"/>
        <v>52506.197785600001</v>
      </c>
      <c r="I27" s="366">
        <f t="shared" si="6"/>
        <v>7339.1999975999988</v>
      </c>
      <c r="J27" s="366">
        <f t="shared" si="6"/>
        <v>18676.425656399995</v>
      </c>
      <c r="K27" s="366">
        <f t="shared" si="6"/>
        <v>17008.348635599996</v>
      </c>
      <c r="L27" s="366">
        <f t="shared" si="6"/>
        <v>7279.1619101999986</v>
      </c>
      <c r="M27" s="366">
        <f t="shared" si="6"/>
        <v>8080.1101899999976</v>
      </c>
      <c r="N27" s="366" t="e">
        <f t="shared" si="6"/>
        <v>#VALUE!</v>
      </c>
      <c r="O27" s="366">
        <f t="shared" si="6"/>
        <v>7761.2852610843283</v>
      </c>
      <c r="P27" s="366">
        <f t="shared" si="6"/>
        <v>7741.8803909276521</v>
      </c>
      <c r="Q27" s="366">
        <f t="shared" si="6"/>
        <v>7716.9961391548532</v>
      </c>
      <c r="R27" s="366">
        <f t="shared" si="6"/>
        <v>7688.5443752416613</v>
      </c>
      <c r="S27" s="366">
        <f t="shared" si="6"/>
        <v>7657.9196748657851</v>
      </c>
      <c r="T27" s="366">
        <f t="shared" si="6"/>
        <v>7625.072426224373</v>
      </c>
      <c r="U27" s="366">
        <f t="shared" si="6"/>
        <v>7589.7052610113087</v>
      </c>
      <c r="V27" s="366">
        <f t="shared" si="6"/>
        <v>7551.391336215479</v>
      </c>
      <c r="W27" s="366">
        <f t="shared" si="6"/>
        <v>7509.8314684648085</v>
      </c>
      <c r="X27" s="366">
        <f t="shared" si="6"/>
        <v>7464.9288542415416</v>
      </c>
      <c r="Y27" s="366">
        <f t="shared" si="6"/>
        <v>7416.8120607176979</v>
      </c>
      <c r="Z27" s="366">
        <f t="shared" si="6"/>
        <v>7365.422400760639</v>
      </c>
      <c r="AA27" s="366"/>
      <c r="AB27" s="366"/>
      <c r="AC27" s="366" t="e">
        <f t="shared" si="6"/>
        <v>#VALUE!</v>
      </c>
      <c r="AD27" s="366">
        <f t="shared" si="6"/>
        <v>15708.325866999996</v>
      </c>
      <c r="AE27" s="366">
        <f t="shared" si="6"/>
        <v>44302.104381599995</v>
      </c>
      <c r="AF27" s="366">
        <f t="shared" si="6"/>
        <v>0</v>
      </c>
      <c r="AG27" s="366">
        <f t="shared" si="6"/>
        <v>10556.240588399998</v>
      </c>
      <c r="AH27" s="366">
        <f t="shared" si="6"/>
        <v>8909.1349995999972</v>
      </c>
      <c r="AI27" s="366">
        <f t="shared" si="6"/>
        <v>0</v>
      </c>
      <c r="AJ27" s="366">
        <f>AJ14+AJ16+AJ18</f>
        <v>0</v>
      </c>
      <c r="AK27" s="366" t="e">
        <f t="shared" ref="AK27:BC27" si="7">AK14+AK16+AK18</f>
        <v>#VALUE!</v>
      </c>
      <c r="AL27" s="366">
        <f t="shared" si="7"/>
        <v>0</v>
      </c>
      <c r="AM27" s="366">
        <f t="shared" si="7"/>
        <v>0</v>
      </c>
      <c r="AN27" s="366">
        <f t="shared" si="7"/>
        <v>0</v>
      </c>
      <c r="AO27" s="366">
        <f t="shared" si="7"/>
        <v>0</v>
      </c>
      <c r="AP27" s="366">
        <f t="shared" si="7"/>
        <v>0</v>
      </c>
      <c r="AQ27" s="366">
        <f t="shared" si="7"/>
        <v>0</v>
      </c>
      <c r="AR27" s="366">
        <f t="shared" si="7"/>
        <v>0</v>
      </c>
      <c r="AS27" s="366">
        <f t="shared" si="7"/>
        <v>0</v>
      </c>
      <c r="AT27" s="366">
        <f t="shared" si="7"/>
        <v>0</v>
      </c>
      <c r="AU27" s="366">
        <f t="shared" si="7"/>
        <v>0</v>
      </c>
      <c r="AV27" s="366">
        <f t="shared" si="7"/>
        <v>0</v>
      </c>
      <c r="AW27" s="366">
        <f t="shared" si="7"/>
        <v>0</v>
      </c>
      <c r="AX27" s="366"/>
      <c r="AY27" s="366"/>
      <c r="AZ27" s="366" t="e">
        <f t="shared" si="7"/>
        <v>#VALUE!</v>
      </c>
      <c r="BA27" s="366">
        <f t="shared" si="7"/>
        <v>32243.405726999994</v>
      </c>
      <c r="BB27" s="366">
        <f t="shared" si="7"/>
        <v>60710.291189600001</v>
      </c>
      <c r="BC27" s="366">
        <f t="shared" si="7"/>
        <v>15493.866661599999</v>
      </c>
      <c r="BD27" s="366">
        <f>BD14+BD16+BD18</f>
        <v>26796.610724399998</v>
      </c>
      <c r="BE27" s="366">
        <f t="shared" ref="BE27:BT27" si="8">BE14+BE16+BE18</f>
        <v>25107.5622716</v>
      </c>
      <c r="BF27" s="366">
        <f t="shared" si="8"/>
        <v>15367.119588199997</v>
      </c>
      <c r="BG27" s="366">
        <f t="shared" si="8"/>
        <v>16160.220379999995</v>
      </c>
      <c r="BH27" s="366" t="e">
        <f t="shared" si="8"/>
        <v>#VALUE!</v>
      </c>
      <c r="BI27" s="366">
        <f t="shared" si="8"/>
        <v>15817.334887084329</v>
      </c>
      <c r="BJ27" s="366">
        <f t="shared" si="8"/>
        <v>15777.788172927656</v>
      </c>
      <c r="BK27" s="366">
        <f t="shared" si="8"/>
        <v>15727.074595154852</v>
      </c>
      <c r="BL27" s="366">
        <f t="shared" si="8"/>
        <v>15669.090503241663</v>
      </c>
      <c r="BM27" s="366">
        <f t="shared" si="8"/>
        <v>15606.678012865785</v>
      </c>
      <c r="BN27" s="366">
        <f t="shared" si="8"/>
        <v>15539.736016224373</v>
      </c>
      <c r="BO27" s="366">
        <f t="shared" si="8"/>
        <v>15467.65848301131</v>
      </c>
      <c r="BP27" s="366">
        <f t="shared" si="8"/>
        <v>15389.575516215478</v>
      </c>
      <c r="BQ27" s="366">
        <f t="shared" si="8"/>
        <v>15304.877386464806</v>
      </c>
      <c r="BR27" s="366">
        <f t="shared" si="8"/>
        <v>15213.366810241538</v>
      </c>
      <c r="BS27" s="366">
        <f t="shared" si="8"/>
        <v>15115.305804717698</v>
      </c>
      <c r="BT27" s="366">
        <f t="shared" si="8"/>
        <v>15010.574766760639</v>
      </c>
    </row>
    <row r="28" spans="1:73" s="64" customFormat="1">
      <c r="E28" s="64" t="s">
        <v>221</v>
      </c>
      <c r="F28" s="366">
        <f>F19</f>
        <v>26473093.737500001</v>
      </c>
      <c r="G28" s="366">
        <f t="shared" ref="G28:AI28" si="9">G19</f>
        <v>26253388.739500001</v>
      </c>
      <c r="H28" s="366">
        <f t="shared" si="9"/>
        <v>25960468.809599999</v>
      </c>
      <c r="I28" s="366">
        <f t="shared" si="9"/>
        <v>25946902.751600001</v>
      </c>
      <c r="J28" s="366">
        <f t="shared" si="9"/>
        <v>25800982.937400002</v>
      </c>
      <c r="K28" s="366">
        <f t="shared" si="9"/>
        <v>25739507.284600001</v>
      </c>
      <c r="L28" s="366">
        <f t="shared" si="9"/>
        <v>25734644.955699999</v>
      </c>
      <c r="M28" s="366">
        <f t="shared" si="9"/>
        <v>25707102.164999999</v>
      </c>
      <c r="N28" s="366" t="e">
        <f t="shared" si="9"/>
        <v>#VALUE!</v>
      </c>
      <c r="O28" s="366">
        <f t="shared" si="9"/>
        <v>25631491.531015653</v>
      </c>
      <c r="P28" s="366">
        <f t="shared" si="9"/>
        <v>25567407.329965197</v>
      </c>
      <c r="Q28" s="366">
        <f t="shared" si="9"/>
        <v>25485227.579174664</v>
      </c>
      <c r="R28" s="366">
        <f t="shared" si="9"/>
        <v>25391266.189887766</v>
      </c>
      <c r="S28" s="366">
        <f t="shared" si="9"/>
        <v>25290128.720780682</v>
      </c>
      <c r="T28" s="366">
        <f t="shared" si="9"/>
        <v>25181651.329852786</v>
      </c>
      <c r="U28" s="366">
        <f t="shared" si="9"/>
        <v>25064851.964136906</v>
      </c>
      <c r="V28" s="366">
        <f t="shared" si="9"/>
        <v>24938320.98300568</v>
      </c>
      <c r="W28" s="366">
        <f t="shared" si="9"/>
        <v>24801070.339272402</v>
      </c>
      <c r="X28" s="366">
        <f t="shared" si="9"/>
        <v>24652780.34122853</v>
      </c>
      <c r="Y28" s="366">
        <f t="shared" si="9"/>
        <v>24493875.579424463</v>
      </c>
      <c r="Z28" s="366">
        <f t="shared" si="9"/>
        <v>24324162.240761906</v>
      </c>
      <c r="AA28" s="366"/>
      <c r="AB28" s="366"/>
      <c r="AC28" s="366">
        <f t="shared" si="9"/>
        <v>26499659.8125</v>
      </c>
      <c r="AD28" s="366">
        <f t="shared" si="9"/>
        <v>26279718.484499998</v>
      </c>
      <c r="AE28" s="366">
        <f t="shared" si="9"/>
        <v>25986596.4956</v>
      </c>
      <c r="AF28" s="366">
        <f t="shared" si="9"/>
        <v>25970276</v>
      </c>
      <c r="AG28" s="366">
        <f t="shared" si="9"/>
        <v>25826843.3994</v>
      </c>
      <c r="AH28" s="366">
        <f t="shared" si="9"/>
        <v>25765300.9586</v>
      </c>
      <c r="AI28" s="366">
        <f t="shared" si="9"/>
        <v>25757827</v>
      </c>
      <c r="AJ28" s="366">
        <f>AJ19</f>
        <v>25732835</v>
      </c>
      <c r="AK28" s="366" t="e">
        <f t="shared" ref="AK28:BC28" si="10">AK19</f>
        <v>#VALUE!</v>
      </c>
      <c r="AL28" s="366">
        <f t="shared" si="10"/>
        <v>25656209</v>
      </c>
      <c r="AM28" s="366">
        <f t="shared" si="10"/>
        <v>25592063</v>
      </c>
      <c r="AN28" s="366">
        <f t="shared" si="10"/>
        <v>25509804</v>
      </c>
      <c r="AO28" s="366">
        <f t="shared" si="10"/>
        <v>25415752</v>
      </c>
      <c r="AP28" s="366">
        <f t="shared" si="10"/>
        <v>25314517</v>
      </c>
      <c r="AQ28" s="366">
        <f t="shared" si="10"/>
        <v>25205935</v>
      </c>
      <c r="AR28" s="366">
        <f t="shared" si="10"/>
        <v>25089023</v>
      </c>
      <c r="AS28" s="366">
        <f t="shared" si="10"/>
        <v>24962370</v>
      </c>
      <c r="AT28" s="366">
        <f t="shared" si="10"/>
        <v>24824987</v>
      </c>
      <c r="AU28" s="366">
        <f t="shared" si="10"/>
        <v>24676554</v>
      </c>
      <c r="AV28" s="366">
        <f t="shared" si="10"/>
        <v>24517496</v>
      </c>
      <c r="AW28" s="366">
        <f t="shared" si="10"/>
        <v>24347619</v>
      </c>
      <c r="AX28" s="366"/>
      <c r="AY28" s="366"/>
      <c r="AZ28" s="366">
        <f t="shared" si="10"/>
        <v>26446527.662500001</v>
      </c>
      <c r="BA28" s="366">
        <f t="shared" si="10"/>
        <v>26227058.9945</v>
      </c>
      <c r="BB28" s="366">
        <f t="shared" si="10"/>
        <v>25934341.123600002</v>
      </c>
      <c r="BC28" s="366">
        <f t="shared" si="10"/>
        <v>25920932.4756</v>
      </c>
      <c r="BD28" s="366">
        <f>BD19</f>
        <v>25775122.475400001</v>
      </c>
      <c r="BE28" s="366">
        <f t="shared" ref="BE28:BT28" si="11">BE19</f>
        <v>25713713.610599998</v>
      </c>
      <c r="BF28" s="366">
        <f t="shared" si="11"/>
        <v>25708887.128699999</v>
      </c>
      <c r="BG28" s="366">
        <f t="shared" si="11"/>
        <v>25681369.329999998</v>
      </c>
      <c r="BH28" s="366" t="e">
        <f t="shared" si="11"/>
        <v>#VALUE!</v>
      </c>
      <c r="BI28" s="366">
        <f t="shared" si="11"/>
        <v>25605835.322015654</v>
      </c>
      <c r="BJ28" s="366">
        <f t="shared" si="11"/>
        <v>25541815.266965196</v>
      </c>
      <c r="BK28" s="366">
        <f t="shared" si="11"/>
        <v>25459717.775174666</v>
      </c>
      <c r="BL28" s="366">
        <f t="shared" si="11"/>
        <v>25365850.437887765</v>
      </c>
      <c r="BM28" s="366">
        <f t="shared" si="11"/>
        <v>25264814.203780681</v>
      </c>
      <c r="BN28" s="366">
        <f t="shared" si="11"/>
        <v>25156445.394852787</v>
      </c>
      <c r="BO28" s="366">
        <f t="shared" si="11"/>
        <v>25039762.941136904</v>
      </c>
      <c r="BP28" s="366">
        <f t="shared" si="11"/>
        <v>24913358.613005683</v>
      </c>
      <c r="BQ28" s="366">
        <f t="shared" si="11"/>
        <v>24776245.352272402</v>
      </c>
      <c r="BR28" s="366">
        <f t="shared" si="11"/>
        <v>24628103.787228528</v>
      </c>
      <c r="BS28" s="366">
        <f t="shared" si="11"/>
        <v>24469358.083424464</v>
      </c>
      <c r="BT28" s="366">
        <f t="shared" si="11"/>
        <v>24299814.621761907</v>
      </c>
    </row>
    <row r="29" spans="1:73">
      <c r="A29" s="17"/>
      <c r="B29" s="17"/>
      <c r="F29" s="268"/>
      <c r="G29" s="268"/>
      <c r="H29" s="268"/>
      <c r="I29" s="268"/>
      <c r="J29" s="268"/>
      <c r="K29" s="268"/>
      <c r="L29" s="268"/>
      <c r="M29" s="268"/>
      <c r="N29" s="268"/>
      <c r="O29" s="268"/>
      <c r="P29" s="268"/>
      <c r="Q29" s="268"/>
      <c r="R29" s="268"/>
      <c r="S29" s="268"/>
      <c r="T29" s="268"/>
      <c r="U29" s="268"/>
      <c r="V29" s="268"/>
      <c r="W29" s="268"/>
      <c r="X29" s="268"/>
      <c r="Y29" s="268"/>
      <c r="Z29" s="268"/>
      <c r="AA29" s="268"/>
      <c r="AB29" s="268"/>
      <c r="AC29" s="268"/>
      <c r="AD29" s="268"/>
      <c r="AE29" s="268"/>
      <c r="AF29" s="268"/>
      <c r="AG29" s="268"/>
      <c r="AH29" s="268"/>
      <c r="AI29" s="268"/>
      <c r="AJ29" s="268"/>
      <c r="AK29" s="268"/>
      <c r="AL29" s="268"/>
      <c r="AM29" s="268"/>
      <c r="AN29" s="268"/>
      <c r="AO29" s="268"/>
      <c r="AP29" s="268"/>
      <c r="AQ29" s="268"/>
      <c r="AR29" s="268"/>
      <c r="AS29" s="268"/>
      <c r="AT29" s="268"/>
      <c r="AU29" s="268"/>
      <c r="AV29" s="268"/>
      <c r="AW29" s="268"/>
      <c r="AX29" s="268"/>
      <c r="AY29" s="268"/>
      <c r="AZ29" s="268"/>
      <c r="BA29" s="268"/>
      <c r="BB29" s="268"/>
      <c r="BC29" s="268"/>
      <c r="BD29" s="268"/>
      <c r="BE29" s="268"/>
      <c r="BF29" s="268"/>
      <c r="BG29" s="268"/>
      <c r="BH29" s="268"/>
      <c r="BI29" s="268"/>
      <c r="BJ29" s="268"/>
      <c r="BK29" s="268"/>
      <c r="BL29" s="268"/>
      <c r="BM29" s="268"/>
      <c r="BN29" s="268"/>
      <c r="BO29" s="268"/>
      <c r="BP29" s="268"/>
      <c r="BQ29" s="268"/>
      <c r="BR29" s="268"/>
      <c r="BS29" s="268"/>
      <c r="BT29" s="268"/>
    </row>
    <row r="30" spans="1:73" ht="19">
      <c r="A30" s="17"/>
      <c r="B30" s="17"/>
      <c r="E30" s="191" t="s">
        <v>222</v>
      </c>
      <c r="F30" s="369"/>
      <c r="G30" s="369"/>
      <c r="H30" s="369"/>
      <c r="I30" s="369"/>
      <c r="J30" s="369"/>
      <c r="K30" s="369"/>
      <c r="L30" s="369"/>
      <c r="M30" s="369"/>
      <c r="N30" s="369"/>
      <c r="O30" s="369"/>
      <c r="P30" s="369"/>
      <c r="Q30" s="369"/>
      <c r="R30" s="369"/>
      <c r="S30" s="369"/>
      <c r="T30" s="369"/>
      <c r="U30" s="369"/>
      <c r="V30" s="369"/>
      <c r="W30" s="369"/>
      <c r="X30" s="369"/>
      <c r="Y30" s="369"/>
      <c r="Z30" s="369"/>
      <c r="AA30" s="369"/>
      <c r="AB30" s="369"/>
      <c r="AC30" s="369"/>
      <c r="AD30" s="369"/>
      <c r="AE30" s="369"/>
      <c r="AF30" s="369"/>
      <c r="AG30" s="369"/>
      <c r="AH30" s="369"/>
      <c r="AI30" s="369"/>
      <c r="AJ30" s="369"/>
      <c r="AK30" s="369"/>
      <c r="AL30" s="369"/>
      <c r="AM30" s="369"/>
      <c r="AN30" s="369"/>
      <c r="AO30" s="369"/>
      <c r="AP30" s="369"/>
      <c r="AQ30" s="369"/>
      <c r="AR30" s="369"/>
      <c r="AS30" s="369"/>
      <c r="AT30" s="369"/>
      <c r="AU30" s="369"/>
      <c r="AV30" s="369"/>
      <c r="AW30" s="369"/>
      <c r="AX30" s="369"/>
      <c r="AY30" s="369"/>
      <c r="AZ30" s="369"/>
      <c r="BA30" s="369"/>
      <c r="BB30" s="369"/>
      <c r="BC30" s="369"/>
      <c r="BD30" s="369"/>
      <c r="BE30" s="369"/>
      <c r="BF30" s="369"/>
      <c r="BG30" s="369"/>
      <c r="BH30" s="369"/>
      <c r="BI30" s="369"/>
      <c r="BJ30" s="369"/>
      <c r="BK30" s="369"/>
      <c r="BL30" s="369"/>
      <c r="BM30" s="369"/>
      <c r="BN30" s="369"/>
      <c r="BO30" s="369"/>
      <c r="BP30" s="369"/>
      <c r="BQ30" s="369"/>
      <c r="BR30" s="369"/>
      <c r="BS30" s="369"/>
      <c r="BT30" s="369"/>
    </row>
    <row r="31" spans="1:73">
      <c r="A31" s="17"/>
      <c r="B31" s="17"/>
      <c r="F31" s="366"/>
      <c r="G31" s="366"/>
      <c r="H31" s="366"/>
      <c r="I31" s="366"/>
      <c r="J31" s="366"/>
      <c r="K31" s="366"/>
      <c r="L31" s="366"/>
      <c r="M31" s="366"/>
      <c r="N31" s="366"/>
      <c r="O31" s="366"/>
      <c r="P31" s="366"/>
      <c r="Q31" s="366"/>
      <c r="R31" s="366"/>
      <c r="S31" s="366"/>
      <c r="T31" s="366"/>
      <c r="U31" s="366"/>
      <c r="V31" s="366"/>
      <c r="W31" s="366"/>
      <c r="X31" s="366"/>
      <c r="Y31" s="366"/>
      <c r="Z31" s="366"/>
      <c r="AA31" s="366"/>
      <c r="AB31" s="366"/>
      <c r="AC31" s="366"/>
      <c r="AD31" s="366"/>
      <c r="AE31" s="366"/>
      <c r="AF31" s="366"/>
      <c r="AG31" s="366"/>
      <c r="AH31" s="366"/>
      <c r="AI31" s="366"/>
      <c r="AJ31" s="366"/>
      <c r="AK31" s="366"/>
      <c r="AL31" s="366"/>
      <c r="AM31" s="366"/>
      <c r="AN31" s="366"/>
      <c r="AO31" s="366"/>
      <c r="AP31" s="366"/>
      <c r="AQ31" s="366"/>
      <c r="AR31" s="366"/>
      <c r="AS31" s="366"/>
      <c r="AT31" s="366"/>
      <c r="AU31" s="366"/>
      <c r="AV31" s="366"/>
      <c r="AW31" s="366"/>
      <c r="AX31" s="366"/>
      <c r="AY31" s="366"/>
      <c r="AZ31" s="366"/>
      <c r="BA31" s="366"/>
      <c r="BB31" s="366"/>
      <c r="BC31" s="366"/>
      <c r="BD31" s="366"/>
      <c r="BE31" s="366"/>
      <c r="BF31" s="366"/>
      <c r="BG31" s="366"/>
      <c r="BH31" s="366"/>
      <c r="BI31" s="366"/>
      <c r="BJ31" s="366"/>
      <c r="BK31" s="366"/>
      <c r="BL31" s="366"/>
      <c r="BM31" s="366"/>
      <c r="BN31" s="366"/>
      <c r="BO31" s="366"/>
      <c r="BP31" s="366"/>
      <c r="BQ31" s="366"/>
      <c r="BR31" s="366"/>
      <c r="BS31" s="366"/>
      <c r="BT31" s="366"/>
    </row>
    <row r="32" spans="1:73">
      <c r="A32" s="17"/>
      <c r="B32" s="17"/>
      <c r="E32" s="17" t="str">
        <f>IF(Cover!E4="English","1 dose/case",IF(Cover!E4="Français", "1 dose / cas","1 dosis / caja"))</f>
        <v>1 dose/case</v>
      </c>
      <c r="F32" s="366" t="e">
        <f>IFERROR((F13+F14)*1, #N/A)</f>
        <v>#N/A</v>
      </c>
      <c r="G32" s="366">
        <f t="shared" ref="G32:AI32" si="12">IFERROR((G13+G14)*1, #N/A)</f>
        <v>3133.1464438919993</v>
      </c>
      <c r="H32" s="366">
        <f t="shared" si="12"/>
        <v>11507.800005171202</v>
      </c>
      <c r="I32" s="366">
        <f t="shared" si="12"/>
        <v>2111.5097672687998</v>
      </c>
      <c r="J32" s="366">
        <f t="shared" si="12"/>
        <v>1178.3330917511998</v>
      </c>
      <c r="K32" s="366">
        <f t="shared" si="12"/>
        <v>1241.648741088</v>
      </c>
      <c r="L32" s="366">
        <f t="shared" si="12"/>
        <v>2395.2644397224999</v>
      </c>
      <c r="M32" s="366">
        <f>IFERROR((M13+M14)*1, #N/A)</f>
        <v>2428.8432664535994</v>
      </c>
      <c r="N32" s="366" t="e">
        <f t="shared" si="12"/>
        <v>#N/A</v>
      </c>
      <c r="O32" s="366">
        <f t="shared" si="12"/>
        <v>5851.1721315428067</v>
      </c>
      <c r="P32" s="366">
        <f>IFERROR((P13+P14)*1, #N/A)</f>
        <v>5836.5429520116459</v>
      </c>
      <c r="Q32" s="366">
        <f t="shared" si="12"/>
        <v>7218.6425757785019</v>
      </c>
      <c r="R32" s="366">
        <f t="shared" si="12"/>
        <v>8677.4710638231463</v>
      </c>
      <c r="S32" s="366">
        <f t="shared" si="12"/>
        <v>10211.546870008682</v>
      </c>
      <c r="T32" s="366">
        <f t="shared" si="12"/>
        <v>11818.11275483493</v>
      </c>
      <c r="U32" s="366">
        <f t="shared" si="12"/>
        <v>13493.779090441087</v>
      </c>
      <c r="V32" s="366">
        <f t="shared" si="12"/>
        <v>15234.460825579172</v>
      </c>
      <c r="W32" s="366">
        <f t="shared" si="12"/>
        <v>17035.764909290057</v>
      </c>
      <c r="X32" s="366">
        <f t="shared" si="12"/>
        <v>18893.298957272495</v>
      </c>
      <c r="Y32" s="366">
        <f t="shared" si="12"/>
        <v>20802.979796913354</v>
      </c>
      <c r="Z32" s="366">
        <f t="shared" si="12"/>
        <v>22760.070031960662</v>
      </c>
      <c r="AA32" s="366"/>
      <c r="AB32" s="366"/>
      <c r="AC32" s="366" t="e">
        <f t="shared" si="12"/>
        <v>#N/A</v>
      </c>
      <c r="AD32" s="366">
        <f t="shared" si="12"/>
        <v>3989.1064692160007</v>
      </c>
      <c r="AE32" s="366">
        <f t="shared" si="12"/>
        <v>16082.233000525443</v>
      </c>
      <c r="AF32" s="366">
        <f t="shared" si="12"/>
        <v>0</v>
      </c>
      <c r="AG32" s="366">
        <f t="shared" si="12"/>
        <v>1193.9266879239701</v>
      </c>
      <c r="AH32" s="366">
        <f t="shared" si="12"/>
        <v>1134.1349121032697</v>
      </c>
      <c r="AI32" s="366">
        <f t="shared" si="12"/>
        <v>0</v>
      </c>
      <c r="AJ32" s="366">
        <f>IFERROR((AJ13+AJ14)*1, #N/A)</f>
        <v>0</v>
      </c>
      <c r="AK32" s="366" t="e">
        <f t="shared" ref="AK32:BC32" si="13">IFERROR((AK13+AK14)*1, #N/A)</f>
        <v>#N/A</v>
      </c>
      <c r="AL32" s="366">
        <f t="shared" si="13"/>
        <v>0</v>
      </c>
      <c r="AM32" s="366">
        <f t="shared" si="13"/>
        <v>0</v>
      </c>
      <c r="AN32" s="366">
        <f t="shared" si="13"/>
        <v>0</v>
      </c>
      <c r="AO32" s="366">
        <f t="shared" si="13"/>
        <v>0</v>
      </c>
      <c r="AP32" s="366">
        <f t="shared" si="13"/>
        <v>0</v>
      </c>
      <c r="AQ32" s="366">
        <f t="shared" si="13"/>
        <v>0</v>
      </c>
      <c r="AR32" s="366">
        <f t="shared" si="13"/>
        <v>0</v>
      </c>
      <c r="AS32" s="366">
        <f t="shared" si="13"/>
        <v>0</v>
      </c>
      <c r="AT32" s="366">
        <f t="shared" si="13"/>
        <v>0</v>
      </c>
      <c r="AU32" s="366">
        <f t="shared" si="13"/>
        <v>0</v>
      </c>
      <c r="AV32" s="366">
        <f t="shared" si="13"/>
        <v>0</v>
      </c>
      <c r="AW32" s="366">
        <f t="shared" si="13"/>
        <v>0</v>
      </c>
      <c r="AX32" s="366"/>
      <c r="AY32" s="366"/>
      <c r="AZ32" s="366" t="e">
        <f t="shared" si="13"/>
        <v>#N/A</v>
      </c>
      <c r="BA32" s="366">
        <f t="shared" si="13"/>
        <v>1067.848671708</v>
      </c>
      <c r="BB32" s="366">
        <f t="shared" si="13"/>
        <v>6241.155781721759</v>
      </c>
      <c r="BC32" s="366">
        <f t="shared" si="13"/>
        <v>2618.92814915088</v>
      </c>
      <c r="BD32" s="366">
        <f>IFERROR((BD13+BD14)*1, #N/A)</f>
        <v>779.65599733262979</v>
      </c>
      <c r="BE32" s="366">
        <f t="shared" ref="BE32:BT32" si="14">IFERROR((BE13+BE14)*1, #N/A)</f>
        <v>884.66287691132993</v>
      </c>
      <c r="BF32" s="366">
        <f t="shared" si="14"/>
        <v>3115.8767310828448</v>
      </c>
      <c r="BG32" s="366">
        <f t="shared" si="14"/>
        <v>3088.6462429019816</v>
      </c>
      <c r="BH32" s="366" t="e">
        <f t="shared" si="14"/>
        <v>#N/A</v>
      </c>
      <c r="BI32" s="366">
        <f t="shared" si="14"/>
        <v>8964.7141613152999</v>
      </c>
      <c r="BJ32" s="366">
        <f t="shared" si="14"/>
        <v>8942.3004619806979</v>
      </c>
      <c r="BK32" s="366">
        <f t="shared" si="14"/>
        <v>11403.555431155701</v>
      </c>
      <c r="BL32" s="366">
        <f t="shared" si="14"/>
        <v>14016.253710808222</v>
      </c>
      <c r="BM32" s="366">
        <f t="shared" si="14"/>
        <v>16777.259673824559</v>
      </c>
      <c r="BN32" s="366">
        <f t="shared" si="14"/>
        <v>19681.413572953756</v>
      </c>
      <c r="BO32" s="366">
        <f t="shared" si="14"/>
        <v>22722.448364002612</v>
      </c>
      <c r="BP32" s="366">
        <f t="shared" si="14"/>
        <v>25892.846895093899</v>
      </c>
      <c r="BQ32" s="366">
        <f t="shared" si="14"/>
        <v>29184.480606843361</v>
      </c>
      <c r="BR32" s="366">
        <f t="shared" si="14"/>
        <v>32589.148964426749</v>
      </c>
      <c r="BS32" s="366">
        <f t="shared" si="14"/>
        <v>36099.134934891867</v>
      </c>
      <c r="BT32" s="366">
        <f t="shared" si="14"/>
        <v>39705.55169450675</v>
      </c>
    </row>
    <row r="33" spans="1:72">
      <c r="A33" s="17"/>
      <c r="B33" s="17"/>
      <c r="E33" s="17" t="str">
        <f>IF(Cover!E4="English","2 doses/case",IF(Cover!E4="Français", "2 doses / cas","2 dosis / caja"))</f>
        <v>2 doses/case</v>
      </c>
      <c r="F33" s="366" t="e">
        <f>IFERROR((F13+F14)*2,#N/A)</f>
        <v>#N/A</v>
      </c>
      <c r="G33" s="366">
        <f t="shared" ref="G33:AI33" si="15">IFERROR((G13+G14)*2,#N/A)</f>
        <v>6266.2928877839986</v>
      </c>
      <c r="H33" s="366">
        <f t="shared" si="15"/>
        <v>23015.600010342405</v>
      </c>
      <c r="I33" s="366">
        <f t="shared" si="15"/>
        <v>4223.0195345375996</v>
      </c>
      <c r="J33" s="366">
        <f t="shared" si="15"/>
        <v>2356.6661835023997</v>
      </c>
      <c r="K33" s="366">
        <f t="shared" si="15"/>
        <v>2483.2974821759999</v>
      </c>
      <c r="L33" s="366">
        <f t="shared" si="15"/>
        <v>4790.5288794449998</v>
      </c>
      <c r="M33" s="366">
        <f t="shared" si="15"/>
        <v>4857.6865329071989</v>
      </c>
      <c r="N33" s="366" t="e">
        <f t="shared" si="15"/>
        <v>#N/A</v>
      </c>
      <c r="O33" s="366">
        <f t="shared" si="15"/>
        <v>11702.344263085613</v>
      </c>
      <c r="P33" s="366">
        <f t="shared" si="15"/>
        <v>11673.085904023292</v>
      </c>
      <c r="Q33" s="366">
        <f t="shared" si="15"/>
        <v>14437.285151557004</v>
      </c>
      <c r="R33" s="366">
        <f t="shared" si="15"/>
        <v>17354.942127646293</v>
      </c>
      <c r="S33" s="366">
        <f t="shared" si="15"/>
        <v>20423.093740017364</v>
      </c>
      <c r="T33" s="366">
        <f t="shared" si="15"/>
        <v>23636.225509669861</v>
      </c>
      <c r="U33" s="366">
        <f t="shared" si="15"/>
        <v>26987.558180882173</v>
      </c>
      <c r="V33" s="366">
        <f t="shared" si="15"/>
        <v>30468.921651158344</v>
      </c>
      <c r="W33" s="366">
        <f t="shared" si="15"/>
        <v>34071.529818580115</v>
      </c>
      <c r="X33" s="366">
        <f t="shared" si="15"/>
        <v>37786.597914544989</v>
      </c>
      <c r="Y33" s="366">
        <f t="shared" si="15"/>
        <v>41605.959593826708</v>
      </c>
      <c r="Z33" s="366">
        <f t="shared" si="15"/>
        <v>45520.140063921324</v>
      </c>
      <c r="AA33" s="366"/>
      <c r="AB33" s="366"/>
      <c r="AC33" s="366" t="e">
        <f t="shared" si="15"/>
        <v>#N/A</v>
      </c>
      <c r="AD33" s="366">
        <f t="shared" si="15"/>
        <v>7978.2129384320015</v>
      </c>
      <c r="AE33" s="366">
        <f t="shared" si="15"/>
        <v>32164.466001050885</v>
      </c>
      <c r="AF33" s="366">
        <f t="shared" si="15"/>
        <v>0</v>
      </c>
      <c r="AG33" s="366">
        <f t="shared" si="15"/>
        <v>2387.8533758479402</v>
      </c>
      <c r="AH33" s="366">
        <f t="shared" si="15"/>
        <v>2268.2698242065394</v>
      </c>
      <c r="AI33" s="366">
        <f t="shared" si="15"/>
        <v>0</v>
      </c>
      <c r="AJ33" s="366">
        <f>IFERROR((AJ13+AJ14)*2,#N/A)</f>
        <v>0</v>
      </c>
      <c r="AK33" s="366" t="e">
        <f t="shared" ref="AK33:BC33" si="16">IFERROR((AK13+AK14)*2,#N/A)</f>
        <v>#N/A</v>
      </c>
      <c r="AL33" s="366">
        <f t="shared" si="16"/>
        <v>0</v>
      </c>
      <c r="AM33" s="366">
        <f t="shared" si="16"/>
        <v>0</v>
      </c>
      <c r="AN33" s="366">
        <f t="shared" si="16"/>
        <v>0</v>
      </c>
      <c r="AO33" s="366">
        <f t="shared" si="16"/>
        <v>0</v>
      </c>
      <c r="AP33" s="366">
        <f t="shared" si="16"/>
        <v>0</v>
      </c>
      <c r="AQ33" s="366">
        <f t="shared" si="16"/>
        <v>0</v>
      </c>
      <c r="AR33" s="366">
        <f t="shared" si="16"/>
        <v>0</v>
      </c>
      <c r="AS33" s="366">
        <f t="shared" si="16"/>
        <v>0</v>
      </c>
      <c r="AT33" s="366">
        <f t="shared" si="16"/>
        <v>0</v>
      </c>
      <c r="AU33" s="366">
        <f t="shared" si="16"/>
        <v>0</v>
      </c>
      <c r="AV33" s="366">
        <f t="shared" si="16"/>
        <v>0</v>
      </c>
      <c r="AW33" s="366">
        <f t="shared" si="16"/>
        <v>0</v>
      </c>
      <c r="AX33" s="366"/>
      <c r="AY33" s="366"/>
      <c r="AZ33" s="366" t="e">
        <f t="shared" si="16"/>
        <v>#N/A</v>
      </c>
      <c r="BA33" s="366">
        <f t="shared" si="16"/>
        <v>2135.697343416</v>
      </c>
      <c r="BB33" s="366">
        <f t="shared" si="16"/>
        <v>12482.311563443518</v>
      </c>
      <c r="BC33" s="366">
        <f t="shared" si="16"/>
        <v>5237.85629830176</v>
      </c>
      <c r="BD33" s="366">
        <f>IFERROR((BD13+BD14)*2,#N/A)</f>
        <v>1559.3119946652596</v>
      </c>
      <c r="BE33" s="366">
        <f t="shared" ref="BE33:BT33" si="17">IFERROR((BE13+BE14)*2,#N/A)</f>
        <v>1769.3257538226599</v>
      </c>
      <c r="BF33" s="366">
        <f t="shared" si="17"/>
        <v>6231.7534621656896</v>
      </c>
      <c r="BG33" s="366">
        <f t="shared" si="17"/>
        <v>6177.2924858039632</v>
      </c>
      <c r="BH33" s="366" t="e">
        <f t="shared" si="17"/>
        <v>#N/A</v>
      </c>
      <c r="BI33" s="366">
        <f t="shared" si="17"/>
        <v>17929.4283226306</v>
      </c>
      <c r="BJ33" s="366">
        <f t="shared" si="17"/>
        <v>17884.600923961396</v>
      </c>
      <c r="BK33" s="366">
        <f t="shared" si="17"/>
        <v>22807.110862311401</v>
      </c>
      <c r="BL33" s="366">
        <f t="shared" si="17"/>
        <v>28032.507421616443</v>
      </c>
      <c r="BM33" s="366">
        <f t="shared" si="17"/>
        <v>33554.519347649119</v>
      </c>
      <c r="BN33" s="366">
        <f t="shared" si="17"/>
        <v>39362.827145907511</v>
      </c>
      <c r="BO33" s="366">
        <f t="shared" si="17"/>
        <v>45444.896728005224</v>
      </c>
      <c r="BP33" s="366">
        <f t="shared" si="17"/>
        <v>51785.693790187797</v>
      </c>
      <c r="BQ33" s="366">
        <f t="shared" si="17"/>
        <v>58368.961213686722</v>
      </c>
      <c r="BR33" s="366">
        <f t="shared" si="17"/>
        <v>65178.297928853499</v>
      </c>
      <c r="BS33" s="366">
        <f t="shared" si="17"/>
        <v>72198.269869783733</v>
      </c>
      <c r="BT33" s="366">
        <f t="shared" si="17"/>
        <v>79411.1033890135</v>
      </c>
    </row>
    <row r="34" spans="1:72">
      <c r="E34" s="17" t="str">
        <f>IF(Cover!E4="English","3 doses/case",IF(Cover!E4="Français", "3 doses / cas","3 dosis / caja"))</f>
        <v>3 doses/case</v>
      </c>
      <c r="F34" s="268" t="e">
        <f>IFERROR((F13+F14)*3,#N/A)</f>
        <v>#N/A</v>
      </c>
      <c r="G34" s="268">
        <f t="shared" ref="G34:AI34" si="18">IFERROR((G13+G14)*3,#N/A)</f>
        <v>9399.4393316759979</v>
      </c>
      <c r="H34" s="268">
        <f t="shared" si="18"/>
        <v>34523.400015513609</v>
      </c>
      <c r="I34" s="268">
        <f t="shared" si="18"/>
        <v>6334.5293018063994</v>
      </c>
      <c r="J34" s="268">
        <f t="shared" si="18"/>
        <v>3534.9992752535995</v>
      </c>
      <c r="K34" s="268">
        <f t="shared" si="18"/>
        <v>3724.9462232639999</v>
      </c>
      <c r="L34" s="268">
        <f t="shared" si="18"/>
        <v>7185.7933191675002</v>
      </c>
      <c r="M34" s="268">
        <f t="shared" si="18"/>
        <v>7286.5297993607983</v>
      </c>
      <c r="N34" s="268" t="e">
        <f t="shared" si="18"/>
        <v>#N/A</v>
      </c>
      <c r="O34" s="268">
        <f t="shared" si="18"/>
        <v>17553.516394628419</v>
      </c>
      <c r="P34" s="268">
        <f t="shared" si="18"/>
        <v>17509.628856034939</v>
      </c>
      <c r="Q34" s="268">
        <f t="shared" si="18"/>
        <v>21655.927727335504</v>
      </c>
      <c r="R34" s="268">
        <f t="shared" si="18"/>
        <v>26032.413191469437</v>
      </c>
      <c r="S34" s="268">
        <f t="shared" si="18"/>
        <v>30634.640610026046</v>
      </c>
      <c r="T34" s="268">
        <f t="shared" si="18"/>
        <v>35454.33826450479</v>
      </c>
      <c r="U34" s="268">
        <f t="shared" si="18"/>
        <v>40481.33727132326</v>
      </c>
      <c r="V34" s="268">
        <f t="shared" si="18"/>
        <v>45703.382476737519</v>
      </c>
      <c r="W34" s="268">
        <f t="shared" si="18"/>
        <v>51107.294727870176</v>
      </c>
      <c r="X34" s="268">
        <f t="shared" si="18"/>
        <v>56679.896871817487</v>
      </c>
      <c r="Y34" s="268">
        <f t="shared" si="18"/>
        <v>62408.939390740066</v>
      </c>
      <c r="Z34" s="268">
        <f t="shared" si="18"/>
        <v>68280.210095881979</v>
      </c>
      <c r="AA34" s="268"/>
      <c r="AB34" s="268"/>
      <c r="AC34" s="268" t="e">
        <f t="shared" si="18"/>
        <v>#N/A</v>
      </c>
      <c r="AD34" s="268">
        <f t="shared" si="18"/>
        <v>11967.319407648003</v>
      </c>
      <c r="AE34" s="268">
        <f t="shared" si="18"/>
        <v>48246.699001576329</v>
      </c>
      <c r="AF34" s="268">
        <f t="shared" si="18"/>
        <v>0</v>
      </c>
      <c r="AG34" s="268">
        <f t="shared" si="18"/>
        <v>3581.7800637719101</v>
      </c>
      <c r="AH34" s="268">
        <f t="shared" si="18"/>
        <v>3402.4047363098089</v>
      </c>
      <c r="AI34" s="268">
        <f t="shared" si="18"/>
        <v>0</v>
      </c>
      <c r="AJ34" s="268">
        <f>IFERROR((AJ13+AJ14)*3,#N/A)</f>
        <v>0</v>
      </c>
      <c r="AK34" s="268" t="e">
        <f t="shared" ref="AK34:BC34" si="19">IFERROR((AK13+AK14)*3,#N/A)</f>
        <v>#N/A</v>
      </c>
      <c r="AL34" s="268">
        <f t="shared" si="19"/>
        <v>0</v>
      </c>
      <c r="AM34" s="268">
        <f t="shared" si="19"/>
        <v>0</v>
      </c>
      <c r="AN34" s="268">
        <f t="shared" si="19"/>
        <v>0</v>
      </c>
      <c r="AO34" s="268">
        <f t="shared" si="19"/>
        <v>0</v>
      </c>
      <c r="AP34" s="268">
        <f t="shared" si="19"/>
        <v>0</v>
      </c>
      <c r="AQ34" s="268">
        <f t="shared" si="19"/>
        <v>0</v>
      </c>
      <c r="AR34" s="268">
        <f t="shared" si="19"/>
        <v>0</v>
      </c>
      <c r="AS34" s="268">
        <f t="shared" si="19"/>
        <v>0</v>
      </c>
      <c r="AT34" s="268">
        <f t="shared" si="19"/>
        <v>0</v>
      </c>
      <c r="AU34" s="268">
        <f t="shared" si="19"/>
        <v>0</v>
      </c>
      <c r="AV34" s="268">
        <f t="shared" si="19"/>
        <v>0</v>
      </c>
      <c r="AW34" s="268">
        <f t="shared" si="19"/>
        <v>0</v>
      </c>
      <c r="AX34" s="268"/>
      <c r="AY34" s="268"/>
      <c r="AZ34" s="268" t="e">
        <f t="shared" si="19"/>
        <v>#N/A</v>
      </c>
      <c r="BA34" s="268">
        <f t="shared" si="19"/>
        <v>3203.546015124</v>
      </c>
      <c r="BB34" s="268">
        <f t="shared" si="19"/>
        <v>18723.467345165278</v>
      </c>
      <c r="BC34" s="268">
        <f t="shared" si="19"/>
        <v>7856.7844474526401</v>
      </c>
      <c r="BD34" s="268">
        <f>IFERROR((BD13+BD14)*3,#N/A)</f>
        <v>2338.9679919978894</v>
      </c>
      <c r="BE34" s="268">
        <f t="shared" ref="BE34:BT34" si="20">IFERROR((BE13+BE14)*3,#N/A)</f>
        <v>2653.9886307339898</v>
      </c>
      <c r="BF34" s="268">
        <f t="shared" si="20"/>
        <v>9347.6301932485349</v>
      </c>
      <c r="BG34" s="268">
        <f t="shared" si="20"/>
        <v>9265.9387287059453</v>
      </c>
      <c r="BH34" s="268" t="e">
        <f t="shared" si="20"/>
        <v>#N/A</v>
      </c>
      <c r="BI34" s="268">
        <f t="shared" si="20"/>
        <v>26894.1424839459</v>
      </c>
      <c r="BJ34" s="268">
        <f t="shared" si="20"/>
        <v>26826.901385942096</v>
      </c>
      <c r="BK34" s="268">
        <f t="shared" si="20"/>
        <v>34210.666293467104</v>
      </c>
      <c r="BL34" s="268">
        <f t="shared" si="20"/>
        <v>42048.761132424668</v>
      </c>
      <c r="BM34" s="268">
        <f t="shared" si="20"/>
        <v>50331.779021473674</v>
      </c>
      <c r="BN34" s="268">
        <f t="shared" si="20"/>
        <v>59044.240718861271</v>
      </c>
      <c r="BO34" s="268">
        <f t="shared" si="20"/>
        <v>68167.345092007832</v>
      </c>
      <c r="BP34" s="268">
        <f t="shared" si="20"/>
        <v>77678.540685281696</v>
      </c>
      <c r="BQ34" s="268">
        <f t="shared" si="20"/>
        <v>87553.441820530075</v>
      </c>
      <c r="BR34" s="268">
        <f t="shared" si="20"/>
        <v>97767.446893280256</v>
      </c>
      <c r="BS34" s="268">
        <f t="shared" si="20"/>
        <v>108297.40480467561</v>
      </c>
      <c r="BT34" s="268">
        <f t="shared" si="20"/>
        <v>119116.65508352025</v>
      </c>
    </row>
    <row r="35" spans="1:72">
      <c r="A35" s="17"/>
      <c r="B35" s="17"/>
      <c r="G35" s="17"/>
      <c r="H35" s="17"/>
      <c r="I35" s="17"/>
      <c r="J35" s="17"/>
      <c r="K35" s="17"/>
      <c r="L35" s="17"/>
      <c r="M35" s="17"/>
      <c r="N35" s="17"/>
      <c r="AX35" s="17"/>
      <c r="AY35" s="17"/>
    </row>
    <row r="36" spans="1:72">
      <c r="A36" s="17"/>
      <c r="B36" s="17"/>
      <c r="E36" s="17" t="s">
        <v>224</v>
      </c>
      <c r="G36" s="17"/>
      <c r="H36" s="17"/>
      <c r="I36" s="17"/>
      <c r="J36" s="17"/>
      <c r="K36" s="17"/>
      <c r="L36" s="17"/>
      <c r="M36" s="17"/>
      <c r="N36" s="17"/>
      <c r="AX36" s="17"/>
      <c r="AY36" s="17"/>
    </row>
    <row r="37" spans="1:72">
      <c r="A37" s="17"/>
      <c r="B37" s="17"/>
      <c r="G37" s="17"/>
      <c r="H37" s="17"/>
      <c r="I37" s="17"/>
      <c r="J37" s="17"/>
      <c r="K37" s="17"/>
      <c r="L37" s="17"/>
      <c r="M37" s="17"/>
      <c r="N37" s="17"/>
      <c r="AX37" s="17"/>
      <c r="AY37" s="17"/>
    </row>
    <row r="38" spans="1:72" ht="27" thickBot="1">
      <c r="A38" s="17"/>
      <c r="B38" s="17"/>
      <c r="E38" s="20" t="s">
        <v>27</v>
      </c>
      <c r="F38" s="696"/>
      <c r="G38" s="696"/>
      <c r="H38" s="696"/>
      <c r="I38" s="696"/>
      <c r="J38" s="696"/>
      <c r="K38" s="696"/>
      <c r="L38" s="696"/>
      <c r="M38" s="696"/>
      <c r="N38" s="696"/>
      <c r="O38" s="696"/>
      <c r="P38" s="696"/>
      <c r="Q38" s="696"/>
      <c r="R38" s="696"/>
      <c r="S38" s="696"/>
      <c r="T38" s="696"/>
      <c r="U38" s="696"/>
      <c r="V38" s="696"/>
      <c r="W38" s="696"/>
      <c r="X38" s="696"/>
      <c r="Y38" s="696"/>
      <c r="Z38" s="696"/>
      <c r="AA38" s="696"/>
      <c r="AB38" s="696"/>
      <c r="AC38" s="696"/>
      <c r="AD38" s="696"/>
      <c r="AE38" s="696"/>
      <c r="AF38" s="696"/>
      <c r="AG38" s="696"/>
      <c r="AH38" s="696"/>
      <c r="AI38" s="696"/>
      <c r="AJ38" s="696"/>
      <c r="AK38" s="696"/>
      <c r="AL38" s="696"/>
      <c r="AM38" s="696"/>
      <c r="AN38" s="696"/>
      <c r="AO38" s="696"/>
      <c r="AP38" s="696"/>
      <c r="AQ38" s="696"/>
      <c r="AR38" s="696"/>
      <c r="AS38" s="696"/>
      <c r="AT38" s="696"/>
      <c r="AU38" s="696"/>
      <c r="AV38" s="696"/>
      <c r="AW38" s="696"/>
      <c r="AX38" s="696"/>
      <c r="AY38" s="696"/>
      <c r="AZ38" s="696"/>
      <c r="BA38" s="696"/>
      <c r="BB38" s="696"/>
      <c r="BC38" s="696"/>
      <c r="BD38" s="696"/>
      <c r="BE38" s="696"/>
      <c r="BF38" s="696"/>
      <c r="BG38" s="696"/>
      <c r="BH38" s="696"/>
      <c r="BI38" s="696"/>
      <c r="BJ38" s="696"/>
      <c r="BK38" s="696"/>
      <c r="BL38" s="696"/>
      <c r="BM38" s="696"/>
      <c r="BN38" s="696"/>
      <c r="BO38" s="696"/>
      <c r="BP38" s="696"/>
      <c r="BQ38" s="696"/>
      <c r="BR38" s="696"/>
      <c r="BS38" s="696"/>
      <c r="BT38" s="696"/>
    </row>
    <row r="39" spans="1:72">
      <c r="A39" s="17"/>
      <c r="B39" s="17"/>
      <c r="E39" s="60"/>
      <c r="F39" s="60"/>
      <c r="G39" s="60"/>
      <c r="H39" s="60"/>
      <c r="I39" s="60"/>
      <c r="J39" s="60"/>
      <c r="K39" s="60"/>
      <c r="L39" s="60"/>
      <c r="M39" s="60"/>
      <c r="N39" s="60"/>
      <c r="O39" s="60"/>
      <c r="P39" s="60"/>
      <c r="Q39" s="60"/>
      <c r="R39" s="60"/>
      <c r="S39" s="60"/>
      <c r="T39" s="60"/>
      <c r="U39" s="60"/>
      <c r="V39" s="60"/>
      <c r="W39" s="60"/>
      <c r="X39" s="60"/>
      <c r="Y39" s="60"/>
      <c r="Z39" s="60"/>
      <c r="AA39" s="60"/>
      <c r="AB39" s="60"/>
      <c r="AC39" s="60"/>
      <c r="AD39" s="60"/>
      <c r="AE39" s="60"/>
      <c r="AF39" s="60"/>
      <c r="AG39" s="60"/>
      <c r="AH39" s="60"/>
      <c r="AI39" s="60"/>
      <c r="AJ39" s="60"/>
      <c r="AK39" s="60"/>
      <c r="AL39" s="60"/>
      <c r="AM39" s="60"/>
      <c r="AN39" s="60"/>
      <c r="AO39" s="60"/>
      <c r="AP39" s="60"/>
      <c r="AQ39" s="60"/>
      <c r="AR39" s="60"/>
      <c r="AS39" s="60"/>
      <c r="AT39" s="60"/>
      <c r="AU39" s="60"/>
      <c r="AV39" s="60"/>
      <c r="AW39" s="60"/>
      <c r="AX39" s="60"/>
      <c r="AY39" s="60"/>
      <c r="AZ39" s="60"/>
      <c r="BA39" s="60"/>
      <c r="BB39" s="60"/>
      <c r="BC39" s="60"/>
      <c r="BD39" s="60"/>
      <c r="BE39" s="60"/>
      <c r="BF39" s="60"/>
      <c r="BG39" s="60"/>
      <c r="BH39" s="60"/>
      <c r="BI39" s="60"/>
      <c r="BJ39" s="60"/>
      <c r="BK39" s="60"/>
      <c r="BL39" s="60"/>
      <c r="BM39" s="60"/>
      <c r="BN39" s="60"/>
      <c r="BO39" s="60"/>
      <c r="BP39" s="60"/>
      <c r="BQ39" s="60"/>
      <c r="BR39" s="60"/>
      <c r="BS39" s="60"/>
      <c r="BT39" s="60"/>
    </row>
    <row r="40" spans="1:72" ht="19">
      <c r="A40" s="17"/>
      <c r="B40" s="17"/>
      <c r="E40" s="163" t="s">
        <v>192</v>
      </c>
      <c r="F40" s="163"/>
      <c r="G40" s="163"/>
      <c r="H40" s="163"/>
      <c r="I40" s="163"/>
      <c r="J40" s="163"/>
      <c r="K40" s="163"/>
      <c r="L40" s="163"/>
      <c r="M40" s="163"/>
      <c r="N40" s="163"/>
      <c r="O40" s="163"/>
      <c r="P40" s="163"/>
      <c r="Q40" s="163"/>
      <c r="R40" s="163"/>
      <c r="S40" s="163"/>
      <c r="T40" s="163"/>
      <c r="U40" s="163"/>
      <c r="V40" s="163"/>
      <c r="W40" s="163"/>
      <c r="X40" s="163"/>
      <c r="Y40" s="163"/>
      <c r="Z40" s="163"/>
      <c r="AA40" s="163"/>
      <c r="AB40" s="163"/>
      <c r="AC40" s="163"/>
      <c r="AD40" s="163"/>
      <c r="AE40" s="163"/>
      <c r="AF40" s="163"/>
      <c r="AG40" s="163"/>
      <c r="AH40" s="163"/>
      <c r="AI40" s="163"/>
      <c r="AJ40" s="163"/>
      <c r="AK40" s="163"/>
      <c r="AL40" s="163"/>
      <c r="AM40" s="163"/>
      <c r="AN40" s="163"/>
      <c r="AO40" s="163"/>
      <c r="AP40" s="163"/>
      <c r="AQ40" s="163"/>
      <c r="AR40" s="163"/>
      <c r="AS40" s="163"/>
      <c r="AT40" s="163"/>
      <c r="AU40" s="163"/>
      <c r="AV40" s="163"/>
      <c r="AW40" s="163"/>
      <c r="AX40" s="163"/>
      <c r="AY40" s="163"/>
      <c r="AZ40" s="163"/>
      <c r="BA40" s="163"/>
      <c r="BB40" s="163"/>
      <c r="BC40" s="163"/>
      <c r="BD40" s="163"/>
      <c r="BE40" s="163"/>
      <c r="BF40" s="163"/>
      <c r="BG40" s="163"/>
      <c r="BH40" s="163"/>
      <c r="BI40" s="163"/>
      <c r="BJ40" s="163"/>
      <c r="BK40" s="163"/>
      <c r="BL40" s="163"/>
      <c r="BM40" s="163"/>
      <c r="BN40" s="163"/>
      <c r="BO40" s="163"/>
      <c r="BP40" s="163"/>
      <c r="BQ40" s="163"/>
      <c r="BR40" s="163"/>
      <c r="BS40" s="163"/>
      <c r="BT40" s="163"/>
    </row>
    <row r="41" spans="1:72">
      <c r="A41" s="17"/>
      <c r="B41" s="17"/>
      <c r="E41" s="162" t="s">
        <v>264</v>
      </c>
      <c r="F41" s="370" t="e">
        <f>(F13)-(SUM(F42:F45))</f>
        <v>#VALUE!</v>
      </c>
      <c r="G41" s="370">
        <f t="shared" ref="G41:AI41" si="21">(G13)-(SUM(G42:G45))</f>
        <v>2084.937430014802</v>
      </c>
      <c r="H41" s="370">
        <f t="shared" si="21"/>
        <v>7657.8108931613724</v>
      </c>
      <c r="I41" s="370">
        <f t="shared" si="21"/>
        <v>1405.0941526218412</v>
      </c>
      <c r="J41" s="370">
        <f t="shared" si="21"/>
        <v>784.11616310068246</v>
      </c>
      <c r="K41" s="370">
        <f t="shared" si="21"/>
        <v>826.24926143234052</v>
      </c>
      <c r="L41" s="370">
        <f t="shared" si="21"/>
        <v>1593.9173526014149</v>
      </c>
      <c r="M41" s="370">
        <f t="shared" si="21"/>
        <v>1616.2622234720802</v>
      </c>
      <c r="N41" s="370" t="e">
        <f t="shared" si="21"/>
        <v>#VALUE!</v>
      </c>
      <c r="O41" s="370">
        <f t="shared" si="21"/>
        <v>3893.634723105718</v>
      </c>
      <c r="P41" s="370">
        <f t="shared" si="21"/>
        <v>3883.8998050222094</v>
      </c>
      <c r="Q41" s="370">
        <f t="shared" si="21"/>
        <v>4803.6114397013016</v>
      </c>
      <c r="R41" s="370">
        <f t="shared" si="21"/>
        <v>5774.381932930447</v>
      </c>
      <c r="S41" s="370">
        <f t="shared" si="21"/>
        <v>6795.2253968648156</v>
      </c>
      <c r="T41" s="370">
        <f t="shared" si="21"/>
        <v>7864.3070395658915</v>
      </c>
      <c r="U41" s="370">
        <f t="shared" si="21"/>
        <v>8979.3712492621326</v>
      </c>
      <c r="V41" s="370">
        <f t="shared" si="21"/>
        <v>10137.699647989737</v>
      </c>
      <c r="W41" s="370">
        <f t="shared" si="21"/>
        <v>11336.368900838996</v>
      </c>
      <c r="X41" s="370">
        <f t="shared" si="21"/>
        <v>12572.456116524532</v>
      </c>
      <c r="Y41" s="370">
        <f t="shared" si="21"/>
        <v>13843.244167211182</v>
      </c>
      <c r="Z41" s="370">
        <f t="shared" si="21"/>
        <v>15145.580575048507</v>
      </c>
      <c r="AA41" s="370"/>
      <c r="AB41" s="370"/>
      <c r="AC41" s="370" t="e">
        <f t="shared" si="21"/>
        <v>#VALUE!</v>
      </c>
      <c r="AD41" s="370">
        <f t="shared" si="21"/>
        <v>2654.531966163443</v>
      </c>
      <c r="AE41" s="370">
        <f t="shared" si="21"/>
        <v>10701.845617967087</v>
      </c>
      <c r="AF41" s="370">
        <f t="shared" si="21"/>
        <v>0</v>
      </c>
      <c r="AG41" s="370">
        <f t="shared" si="21"/>
        <v>794.49284766087123</v>
      </c>
      <c r="AH41" s="370">
        <f t="shared" si="21"/>
        <v>754.70469423489328</v>
      </c>
      <c r="AI41" s="370">
        <f t="shared" si="21"/>
        <v>0</v>
      </c>
      <c r="AJ41" s="370">
        <f>(AJ13)-(SUM(AJ42:AJ45))</f>
        <v>0</v>
      </c>
      <c r="AK41" s="370" t="e">
        <f t="shared" ref="AK41" si="22">(AK13)-(SUM(AK42:AK45))</f>
        <v>#VALUE!</v>
      </c>
      <c r="AL41" s="370">
        <f t="shared" ref="AL41" si="23">(AL13)-(SUM(AL42:AL45))</f>
        <v>0</v>
      </c>
      <c r="AM41" s="370">
        <f t="shared" ref="AM41" si="24">(AM13)-(SUM(AM42:AM45))</f>
        <v>0</v>
      </c>
      <c r="AN41" s="370">
        <f t="shared" ref="AN41" si="25">(AN13)-(SUM(AN42:AN45))</f>
        <v>0</v>
      </c>
      <c r="AO41" s="370">
        <f t="shared" ref="AO41" si="26">(AO13)-(SUM(AO42:AO45))</f>
        <v>0</v>
      </c>
      <c r="AP41" s="370">
        <f t="shared" ref="AP41" si="27">(AP13)-(SUM(AP42:AP45))</f>
        <v>0</v>
      </c>
      <c r="AQ41" s="370">
        <f t="shared" ref="AQ41" si="28">(AQ13)-(SUM(AQ42:AQ45))</f>
        <v>0</v>
      </c>
      <c r="AR41" s="370">
        <f t="shared" ref="AR41" si="29">(AR13)-(SUM(AR42:AR45))</f>
        <v>0</v>
      </c>
      <c r="AS41" s="370">
        <f t="shared" ref="AS41" si="30">(AS13)-(SUM(AS42:AS45))</f>
        <v>0</v>
      </c>
      <c r="AT41" s="370">
        <f t="shared" ref="AT41" si="31">(AT13)-(SUM(AT42:AT45))</f>
        <v>0</v>
      </c>
      <c r="AU41" s="370">
        <f t="shared" ref="AU41" si="32">(AU13)-(SUM(AU42:AU45))</f>
        <v>0</v>
      </c>
      <c r="AV41" s="370">
        <f t="shared" ref="AV41" si="33">(AV13)-(SUM(AV42:AV45))</f>
        <v>0</v>
      </c>
      <c r="AW41" s="370">
        <f t="shared" ref="AW41" si="34">(AW13)-(SUM(AW42:AW45))</f>
        <v>0</v>
      </c>
      <c r="AX41" s="370"/>
      <c r="AY41" s="370"/>
      <c r="AZ41" s="370" t="e">
        <f t="shared" ref="AZ41" si="35">(AZ13)-(SUM(AZ42:AZ45))</f>
        <v>#VALUE!</v>
      </c>
      <c r="BA41" s="370">
        <f t="shared" ref="BA41" si="36">(BA13)-(SUM(BA42:BA45))</f>
        <v>710.59483018290166</v>
      </c>
      <c r="BB41" s="370">
        <f t="shared" ref="BB41" si="37">(BB13)-(SUM(BB42:BB45))</f>
        <v>4153.1474921104991</v>
      </c>
      <c r="BC41" s="370">
        <f t="shared" ref="BC41" si="38">(BC13)-(SUM(BC42:BC45))</f>
        <v>1742.7533064497497</v>
      </c>
      <c r="BD41" s="370">
        <f>(BD13)-(SUM(BD42:BD45))</f>
        <v>518.8183828889529</v>
      </c>
      <c r="BE41" s="370">
        <f t="shared" ref="BE41" si="39">(BE13)-(SUM(BE42:BE45))</f>
        <v>588.69471250306754</v>
      </c>
      <c r="BF41" s="370">
        <f t="shared" ref="BF41" si="40">(BF13)-(SUM(BF42:BF45))</f>
        <v>2073.4453815944016</v>
      </c>
      <c r="BG41" s="370">
        <f t="shared" ref="BG41" si="41">(BG13)-(SUM(BG42:BG45))</f>
        <v>2055.3249824804257</v>
      </c>
      <c r="BH41" s="370" t="e">
        <f t="shared" ref="BH41" si="42">(BH13)-(SUM(BH42:BH45))</f>
        <v>#VALUE!</v>
      </c>
      <c r="BI41" s="370">
        <f t="shared" ref="BI41" si="43">(BI13)-(SUM(BI42:BI45))</f>
        <v>5965.5264887945032</v>
      </c>
      <c r="BJ41" s="370">
        <f t="shared" ref="BJ41" si="44">(BJ13)-(SUM(BJ42:BJ45))</f>
        <v>5950.6113989560081</v>
      </c>
      <c r="BK41" s="370">
        <f t="shared" ref="BK41" si="45">(BK13)-(SUM(BK42:BK45))</f>
        <v>7588.4418361661046</v>
      </c>
      <c r="BL41" s="370">
        <f t="shared" ref="BL41" si="46">(BL13)-(SUM(BL42:BL45))</f>
        <v>9327.0495055274387</v>
      </c>
      <c r="BM41" s="370">
        <f t="shared" ref="BM41" si="47">(BM13)-(SUM(BM42:BM45))</f>
        <v>11164.347818860046</v>
      </c>
      <c r="BN41" s="370">
        <f t="shared" ref="BN41" si="48">(BN13)-(SUM(BN42:BN45))</f>
        <v>13096.903246845846</v>
      </c>
      <c r="BO41" s="370">
        <f t="shared" ref="BO41" si="49">(BO13)-(SUM(BO42:BO45))</f>
        <v>15120.545414672188</v>
      </c>
      <c r="BP41" s="370">
        <f t="shared" ref="BP41" si="50">(BP13)-(SUM(BP42:BP45))</f>
        <v>17230.272069301558</v>
      </c>
      <c r="BQ41" s="370">
        <f t="shared" ref="BQ41" si="51">(BQ13)-(SUM(BQ42:BQ45))</f>
        <v>19420.674099472853</v>
      </c>
      <c r="BR41" s="370">
        <f t="shared" ref="BR41" si="52">(BR13)-(SUM(BR42:BR45))</f>
        <v>21686.294498210053</v>
      </c>
      <c r="BS41" s="370">
        <f t="shared" ref="BS41" si="53">(BS13)-(SUM(BS42:BS45))</f>
        <v>24021.998002563007</v>
      </c>
      <c r="BT41" s="370">
        <f t="shared" ref="BT41" si="54">(BT13)-(SUM(BT42:BT45))</f>
        <v>26421.870917859447</v>
      </c>
    </row>
    <row r="42" spans="1:72">
      <c r="A42" s="17"/>
      <c r="B42" s="17"/>
      <c r="E42" s="162" t="s">
        <v>265</v>
      </c>
      <c r="F42" s="370"/>
      <c r="G42" s="370"/>
      <c r="H42" s="370"/>
      <c r="I42" s="370"/>
      <c r="J42" s="370"/>
      <c r="K42" s="370"/>
      <c r="L42" s="370"/>
      <c r="M42" s="370"/>
      <c r="N42" s="370"/>
      <c r="O42" s="370"/>
      <c r="P42" s="370"/>
      <c r="Q42" s="370"/>
      <c r="R42" s="370"/>
      <c r="S42" s="370"/>
      <c r="T42" s="370"/>
      <c r="U42" s="370"/>
      <c r="V42" s="370"/>
      <c r="W42" s="370"/>
      <c r="X42" s="370"/>
      <c r="Y42" s="370"/>
      <c r="Z42" s="370"/>
      <c r="AA42" s="370"/>
      <c r="AB42" s="370"/>
      <c r="AC42" s="370"/>
      <c r="AD42" s="370"/>
      <c r="AE42" s="370"/>
      <c r="AF42" s="370"/>
      <c r="AG42" s="370"/>
      <c r="AH42" s="370"/>
      <c r="AI42" s="370"/>
      <c r="AJ42" s="370"/>
      <c r="AK42" s="370"/>
      <c r="AL42" s="370"/>
      <c r="AM42" s="370"/>
      <c r="AN42" s="370"/>
      <c r="AO42" s="370"/>
      <c r="AP42" s="370"/>
      <c r="AQ42" s="370"/>
      <c r="AR42" s="370"/>
      <c r="AS42" s="370"/>
      <c r="AT42" s="370"/>
      <c r="AU42" s="370"/>
      <c r="AV42" s="370"/>
      <c r="AW42" s="370"/>
      <c r="AX42" s="370"/>
      <c r="AY42" s="370"/>
      <c r="AZ42" s="370"/>
      <c r="BA42" s="370"/>
      <c r="BB42" s="370"/>
      <c r="BC42" s="370"/>
      <c r="BD42" s="370"/>
      <c r="BE42" s="370"/>
      <c r="BF42" s="370"/>
      <c r="BG42" s="370"/>
      <c r="BH42" s="370"/>
      <c r="BI42" s="370"/>
      <c r="BJ42" s="370"/>
      <c r="BK42" s="370"/>
      <c r="BL42" s="370"/>
      <c r="BM42" s="370"/>
      <c r="BN42" s="370"/>
      <c r="BO42" s="370"/>
      <c r="BP42" s="370"/>
      <c r="BQ42" s="370"/>
      <c r="BR42" s="370"/>
      <c r="BS42" s="370"/>
      <c r="BT42" s="370"/>
    </row>
    <row r="43" spans="1:72">
      <c r="A43" s="17"/>
      <c r="B43" s="17"/>
      <c r="D43" s="64"/>
      <c r="E43" s="162" t="s">
        <v>266</v>
      </c>
      <c r="F43" s="370" t="e">
        <f>((EXP(-2.5855+0.1129*'Data (Calculations)'!F27))*'Data (Calculations)'!$E$90)*F25</f>
        <v>#VALUE!</v>
      </c>
      <c r="G43" s="370">
        <f>((EXP(-2.5855+0.1129*'Data (Calculations)'!G27))*'Data (Calculations)'!$E$90)*G25</f>
        <v>26.286134895963187</v>
      </c>
      <c r="H43" s="370">
        <f>((EXP(-2.5855+0.1129*'Data (Calculations)'!H27))*'Data (Calculations)'!$E$90)*H25</f>
        <v>96.546902198396964</v>
      </c>
      <c r="I43" s="370">
        <f>((EXP(-2.5855+0.1129*'Data (Calculations)'!I27))*'Data (Calculations)'!$E$90)*I25</f>
        <v>17.71491743859411</v>
      </c>
      <c r="J43" s="370">
        <f>((EXP(-2.5855+0.1129*'Data (Calculations)'!J27))*'Data (Calculations)'!$E$90)*J25</f>
        <v>9.8858521798533214</v>
      </c>
      <c r="K43" s="370">
        <f>((EXP(-2.5855+0.1129*'Data (Calculations)'!K27))*'Data (Calculations)'!$E$90)*K25</f>
        <v>10.417051001643856</v>
      </c>
      <c r="L43" s="370">
        <f>((EXP(-2.5855+0.1129*'Data (Calculations)'!L27))*'Data (Calculations)'!$E$90)*L25</f>
        <v>20.095531856416365</v>
      </c>
      <c r="M43" s="370">
        <f>((EXP(-2.5855+0.1129*'Data (Calculations)'!M27))*'Data (Calculations)'!$E$90)*M25</f>
        <v>20.377247883709813</v>
      </c>
      <c r="N43" s="370" t="e">
        <f>((EXP(-2.5855+0.1129*'Data (Calculations)'!N27))*'Data (Calculations)'!$E$90)*N25</f>
        <v>#VALUE!</v>
      </c>
      <c r="O43" s="370">
        <f>((EXP(-2.5855+0.1129*'Data (Calculations)'!O27))*'Data (Calculations)'!$E$90)*O25</f>
        <v>49.089534339856215</v>
      </c>
      <c r="P43" s="370">
        <f>((EXP(-2.5855+0.1129*'Data (Calculations)'!P27))*'Data (Calculations)'!$E$90)*P25</f>
        <v>48.966800023583502</v>
      </c>
      <c r="Q43" s="370">
        <f>((EXP(-2.5855+0.1129*'Data (Calculations)'!Q27))*'Data (Calculations)'!$E$90)*Q25</f>
        <v>60.562190727653594</v>
      </c>
      <c r="R43" s="370">
        <f>((EXP(-2.5855+0.1129*'Data (Calculations)'!R27))*'Data (Calculations)'!$E$90)*R25</f>
        <v>72.801313000910909</v>
      </c>
      <c r="S43" s="370">
        <f>((EXP(-2.5855+0.1129*'Data (Calculations)'!S27))*'Data (Calculations)'!$E$90)*S25</f>
        <v>85.671737126996376</v>
      </c>
      <c r="T43" s="370">
        <f>((EXP(-2.5855+0.1129*'Data (Calculations)'!T27))*'Data (Calculations)'!$E$90)*T25</f>
        <v>99.150330714641314</v>
      </c>
      <c r="U43" s="370">
        <f>((EXP(-2.5855+0.1129*'Data (Calculations)'!U27))*'Data (Calculations)'!$E$90)*U25</f>
        <v>113.20865582875655</v>
      </c>
      <c r="V43" s="370">
        <f>((EXP(-2.5855+0.1129*'Data (Calculations)'!V27))*'Data (Calculations)'!$E$90)*V25</f>
        <v>127.81244014594955</v>
      </c>
      <c r="W43" s="370">
        <f>((EXP(-2.5855+0.1129*'Data (Calculations)'!W27))*'Data (Calculations)'!$E$90)*W25</f>
        <v>142.92482731999311</v>
      </c>
      <c r="X43" s="370">
        <f>((EXP(-2.5855+0.1129*'Data (Calculations)'!X27))*'Data (Calculations)'!$E$90)*X25</f>
        <v>158.50896659771468</v>
      </c>
      <c r="Y43" s="370">
        <f>((EXP(-2.5855+0.1129*'Data (Calculations)'!Y27))*'Data (Calculations)'!$E$90)*Y25</f>
        <v>174.53060141689014</v>
      </c>
      <c r="Z43" s="370">
        <f>((EXP(-2.5855+0.1129*'Data (Calculations)'!Z27))*'Data (Calculations)'!$E$90)*Z25</f>
        <v>190.94998648020737</v>
      </c>
      <c r="AA43" s="370"/>
      <c r="AB43" s="370"/>
      <c r="AC43" s="370" t="e">
        <f>((EXP(-2.5855+0.1129*'Data (Calculations)'!AC27))*'Data (Calculations)'!$E$90)*AC25</f>
        <v>#VALUE!</v>
      </c>
      <c r="AD43" s="370">
        <f>((EXP(-2.5855+0.1129*'Data (Calculations)'!AD27))*'Data (Calculations)'!$E$90)*AD25</f>
        <v>33.467376211727981</v>
      </c>
      <c r="AE43" s="370">
        <f>((EXP(-2.5855+0.1129*'Data (Calculations)'!AE27))*'Data (Calculations)'!$E$90)*AE25</f>
        <v>134.92498791566047</v>
      </c>
      <c r="AF43" s="370">
        <f>((EXP(-2.5855+0.1129*'Data (Calculations)'!AF27))*'Data (Calculations)'!$E$90)*AF25</f>
        <v>0</v>
      </c>
      <c r="AG43" s="370">
        <f>((EXP(-2.5855+0.1129*'Data (Calculations)'!AG27))*'Data (Calculations)'!$E$90)*AG25</f>
        <v>10.016677655090746</v>
      </c>
      <c r="AH43" s="370">
        <f>((EXP(-2.5855+0.1129*'Data (Calculations)'!AH27))*'Data (Calculations)'!$E$90)*AH25</f>
        <v>9.5150430481427986</v>
      </c>
      <c r="AI43" s="370">
        <f>((EXP(-2.5855+0.1129*'Data (Calculations)'!AI27))*'Data (Calculations)'!$E$90)*AI25</f>
        <v>0</v>
      </c>
      <c r="AJ43" s="370">
        <f>((EXP(-2.5855+0.1129*'Data (Calculations)'!AJ27))*'Data (Calculations)'!$E$90)*AJ25</f>
        <v>0</v>
      </c>
      <c r="AK43" s="370" t="e">
        <f>((EXP(-2.5855+0.1129*'Data (Calculations)'!AK27))*'Data (Calculations)'!$E$90)*AK25</f>
        <v>#VALUE!</v>
      </c>
      <c r="AL43" s="370">
        <f>((EXP(-2.5855+0.1129*'Data (Calculations)'!AL27))*'Data (Calculations)'!$E$90)*AL25</f>
        <v>0</v>
      </c>
      <c r="AM43" s="370">
        <f>((EXP(-2.5855+0.1129*'Data (Calculations)'!AM27))*'Data (Calculations)'!$E$90)*AM25</f>
        <v>0</v>
      </c>
      <c r="AN43" s="370">
        <f>((EXP(-2.5855+0.1129*'Data (Calculations)'!AN27))*'Data (Calculations)'!$E$90)*AN25</f>
        <v>0</v>
      </c>
      <c r="AO43" s="370">
        <f>((EXP(-2.5855+0.1129*'Data (Calculations)'!AO27))*'Data (Calculations)'!$E$90)*AO25</f>
        <v>0</v>
      </c>
      <c r="AP43" s="370">
        <f>((EXP(-2.5855+0.1129*'Data (Calculations)'!AP27))*'Data (Calculations)'!$E$90)*AP25</f>
        <v>0</v>
      </c>
      <c r="AQ43" s="370">
        <f>((EXP(-2.5855+0.1129*'Data (Calculations)'!AQ27))*'Data (Calculations)'!$E$90)*AQ25</f>
        <v>0</v>
      </c>
      <c r="AR43" s="370">
        <f>((EXP(-2.5855+0.1129*'Data (Calculations)'!AR27))*'Data (Calculations)'!$E$90)*AR25</f>
        <v>0</v>
      </c>
      <c r="AS43" s="370">
        <f>((EXP(-2.5855+0.1129*'Data (Calculations)'!AS27))*'Data (Calculations)'!$E$90)*AS25</f>
        <v>0</v>
      </c>
      <c r="AT43" s="370">
        <f>((EXP(-2.5855+0.1129*'Data (Calculations)'!AT27))*'Data (Calculations)'!$E$90)*AT25</f>
        <v>0</v>
      </c>
      <c r="AU43" s="370">
        <f>((EXP(-2.5855+0.1129*'Data (Calculations)'!AU27))*'Data (Calculations)'!$E$90)*AU25</f>
        <v>0</v>
      </c>
      <c r="AV43" s="370">
        <f>((EXP(-2.5855+0.1129*'Data (Calculations)'!AV27))*'Data (Calculations)'!$E$90)*AV25</f>
        <v>0</v>
      </c>
      <c r="AW43" s="370">
        <f>((EXP(-2.5855+0.1129*'Data (Calculations)'!AW27))*'Data (Calculations)'!$E$90)*AW25</f>
        <v>0</v>
      </c>
      <c r="AX43" s="370"/>
      <c r="AY43" s="370"/>
      <c r="AZ43" s="370" t="e">
        <f>((EXP(-2.5855+0.1129*'Data (Calculations)'!AZ27))*'Data (Calculations)'!$E$90)*AZ25</f>
        <v>#VALUE!</v>
      </c>
      <c r="BA43" s="370">
        <f>((EXP(-2.5855+0.1129*'Data (Calculations)'!BA27))*'Data (Calculations)'!$E$90)*BA25</f>
        <v>8.9589218811373144</v>
      </c>
      <c r="BB43" s="370">
        <f>((EXP(-2.5855+0.1129*'Data (Calculations)'!BB27))*'Data (Calculations)'!$E$90)*BB25</f>
        <v>52.361377204337849</v>
      </c>
      <c r="BC43" s="370">
        <f>((EXP(-2.5855+0.1129*'Data (Calculations)'!BC27))*'Data (Calculations)'!$E$90)*BC25</f>
        <v>21.972001578675084</v>
      </c>
      <c r="BD43" s="370">
        <f>((EXP(-2.5855+0.1129*'Data (Calculations)'!BD27))*'Data (Calculations)'!$E$90)*BD25</f>
        <v>6.5410739923392685</v>
      </c>
      <c r="BE43" s="370">
        <f>((EXP(-2.5855+0.1129*'Data (Calculations)'!BE27))*'Data (Calculations)'!$E$90)*BE25</f>
        <v>7.4220494114713267</v>
      </c>
      <c r="BF43" s="370">
        <f>((EXP(-2.5855+0.1129*'Data (Calculations)'!BF27))*'Data (Calculations)'!$E$90)*BF25</f>
        <v>26.141247317726634</v>
      </c>
      <c r="BG43" s="370">
        <f>((EXP(-2.5855+0.1129*'Data (Calculations)'!BG27))*'Data (Calculations)'!$E$90)*BG25</f>
        <v>25.912791898095513</v>
      </c>
      <c r="BH43" s="370" t="e">
        <f>((EXP(-2.5855+0.1129*'Data (Calculations)'!BH27))*'Data (Calculations)'!$E$90)*BH25</f>
        <v>#VALUE!</v>
      </c>
      <c r="BI43" s="370">
        <f>((EXP(-2.5855+0.1129*'Data (Calculations)'!BI27))*'Data (Calculations)'!$E$90)*BI25</f>
        <v>75.211194231752401</v>
      </c>
      <c r="BJ43" s="370">
        <f>((EXP(-2.5855+0.1129*'Data (Calculations)'!BJ27))*'Data (Calculations)'!$E$90)*BJ25</f>
        <v>75.02315018887802</v>
      </c>
      <c r="BK43" s="370">
        <f>((EXP(-2.5855+0.1129*'Data (Calculations)'!BK27))*'Data (Calculations)'!$E$90)*BK25</f>
        <v>95.672322288451923</v>
      </c>
      <c r="BL43" s="370">
        <f>((EXP(-2.5855+0.1129*'Data (Calculations)'!BL27))*'Data (Calculations)'!$E$90)*BL25</f>
        <v>117.59205717836836</v>
      </c>
      <c r="BM43" s="370">
        <f>((EXP(-2.5855+0.1129*'Data (Calculations)'!BM27))*'Data (Calculations)'!$E$90)*BM25</f>
        <v>140.75604791167478</v>
      </c>
      <c r="BN43" s="370">
        <f>((EXP(-2.5855+0.1129*'Data (Calculations)'!BN27))*'Data (Calculations)'!$E$90)*BN25</f>
        <v>165.12100579609435</v>
      </c>
      <c r="BO43" s="370">
        <f>((EXP(-2.5855+0.1129*'Data (Calculations)'!BO27))*'Data (Calculations)'!$E$90)*BO25</f>
        <v>190.63435225861383</v>
      </c>
      <c r="BP43" s="370">
        <f>((EXP(-2.5855+0.1129*'Data (Calculations)'!BP27))*'Data (Calculations)'!$E$90)*BP25</f>
        <v>217.23302070728906</v>
      </c>
      <c r="BQ43" s="370">
        <f>((EXP(-2.5855+0.1129*'Data (Calculations)'!BQ27))*'Data (Calculations)'!$E$90)*BQ25</f>
        <v>244.84881502926328</v>
      </c>
      <c r="BR43" s="370">
        <f>((EXP(-2.5855+0.1129*'Data (Calculations)'!BR27))*'Data (Calculations)'!$E$90)*BR25</f>
        <v>273.41293525987811</v>
      </c>
      <c r="BS43" s="370">
        <f>((EXP(-2.5855+0.1129*'Data (Calculations)'!BS27))*'Data (Calculations)'!$E$90)*BS25</f>
        <v>302.86063786645462</v>
      </c>
      <c r="BT43" s="370">
        <f>((EXP(-2.5855+0.1129*'Data (Calculations)'!BT27))*'Data (Calculations)'!$E$90)*BT25</f>
        <v>333.1173651315039</v>
      </c>
    </row>
    <row r="44" spans="1:72">
      <c r="A44" s="17"/>
      <c r="B44" s="17"/>
      <c r="E44" s="60" t="s">
        <v>267</v>
      </c>
      <c r="F44" s="370" t="e">
        <f>((EXP(-2.5855+0.1129*'Data (Calculations)'!F27))*'Data (Calculations)'!$E$91)*F25</f>
        <v>#VALUE!</v>
      </c>
      <c r="G44" s="370">
        <f>((EXP(-2.5855+0.1129*'Data (Calculations)'!G27))*'Data (Calculations)'!$E$91)*G25</f>
        <v>31.543361875155831</v>
      </c>
      <c r="H44" s="370">
        <f>((EXP(-2.5855+0.1129*'Data (Calculations)'!H27))*'Data (Calculations)'!$E$91)*H25</f>
        <v>115.85628263807637</v>
      </c>
      <c r="I44" s="370">
        <f>((EXP(-2.5855+0.1129*'Data (Calculations)'!I27))*'Data (Calculations)'!$E$91)*I25</f>
        <v>21.257900926312935</v>
      </c>
      <c r="J44" s="370">
        <f>((EXP(-2.5855+0.1129*'Data (Calculations)'!J27))*'Data (Calculations)'!$E$91)*J25</f>
        <v>11.863022615823988</v>
      </c>
      <c r="K44" s="370">
        <f>((EXP(-2.5855+0.1129*'Data (Calculations)'!K27))*'Data (Calculations)'!$E$91)*K25</f>
        <v>12.500461201972628</v>
      </c>
      <c r="L44" s="370">
        <f>((EXP(-2.5855+0.1129*'Data (Calculations)'!L27))*'Data (Calculations)'!$E$91)*L25</f>
        <v>24.11463822769964</v>
      </c>
      <c r="M44" s="370">
        <f>((EXP(-2.5855+0.1129*'Data (Calculations)'!M27))*'Data (Calculations)'!$E$91)*M25</f>
        <v>24.45269746045178</v>
      </c>
      <c r="N44" s="370" t="e">
        <f>((EXP(-2.5855+0.1129*'Data (Calculations)'!N27))*'Data (Calculations)'!$E$91)*N25</f>
        <v>#VALUE!</v>
      </c>
      <c r="O44" s="370">
        <f>((EXP(-2.5855+0.1129*'Data (Calculations)'!O27))*'Data (Calculations)'!$E$91)*O25</f>
        <v>58.907441207827468</v>
      </c>
      <c r="P44" s="370">
        <f>((EXP(-2.5855+0.1129*'Data (Calculations)'!P27))*'Data (Calculations)'!$E$91)*P25</f>
        <v>58.760160028300213</v>
      </c>
      <c r="Q44" s="370">
        <f>((EXP(-2.5855+0.1129*'Data (Calculations)'!Q27))*'Data (Calculations)'!$E$91)*Q25</f>
        <v>72.674628873184318</v>
      </c>
      <c r="R44" s="370">
        <f>((EXP(-2.5855+0.1129*'Data (Calculations)'!R27))*'Data (Calculations)'!$E$91)*R25</f>
        <v>87.361575601093108</v>
      </c>
      <c r="S44" s="370">
        <f>((EXP(-2.5855+0.1129*'Data (Calculations)'!S27))*'Data (Calculations)'!$E$91)*S25</f>
        <v>102.80608455239567</v>
      </c>
      <c r="T44" s="370">
        <f>((EXP(-2.5855+0.1129*'Data (Calculations)'!T27))*'Data (Calculations)'!$E$91)*T25</f>
        <v>118.98039685756959</v>
      </c>
      <c r="U44" s="370">
        <f>((EXP(-2.5855+0.1129*'Data (Calculations)'!U27))*'Data (Calculations)'!$E$91)*U25</f>
        <v>135.85038699450789</v>
      </c>
      <c r="V44" s="370">
        <f>((EXP(-2.5855+0.1129*'Data (Calculations)'!V27))*'Data (Calculations)'!$E$91)*V25</f>
        <v>153.37492817513947</v>
      </c>
      <c r="W44" s="370">
        <f>((EXP(-2.5855+0.1129*'Data (Calculations)'!W27))*'Data (Calculations)'!$E$91)*W25</f>
        <v>171.50979278399177</v>
      </c>
      <c r="X44" s="370">
        <f>((EXP(-2.5855+0.1129*'Data (Calculations)'!X27))*'Data (Calculations)'!$E$91)*X25</f>
        <v>190.21075991725763</v>
      </c>
      <c r="Y44" s="370">
        <f>((EXP(-2.5855+0.1129*'Data (Calculations)'!Y27))*'Data (Calculations)'!$E$91)*Y25</f>
        <v>209.43672170026821</v>
      </c>
      <c r="Z44" s="370">
        <f>((EXP(-2.5855+0.1129*'Data (Calculations)'!Z27))*'Data (Calculations)'!$E$91)*Z25</f>
        <v>229.1399837762489</v>
      </c>
      <c r="AA44" s="370"/>
      <c r="AB44" s="370"/>
      <c r="AC44" s="370" t="e">
        <f>((EXP(-2.5855+0.1129*'Data (Calculations)'!AC27))*'Data (Calculations)'!$E$91)*AC25</f>
        <v>#VALUE!</v>
      </c>
      <c r="AD44" s="370">
        <f>((EXP(-2.5855+0.1129*'Data (Calculations)'!AD27))*'Data (Calculations)'!$E$91)*AD25</f>
        <v>40.16085145407358</v>
      </c>
      <c r="AE44" s="370">
        <f>((EXP(-2.5855+0.1129*'Data (Calculations)'!AE27))*'Data (Calculations)'!$E$91)*AE25</f>
        <v>161.90998549879259</v>
      </c>
      <c r="AF44" s="370">
        <f>((EXP(-2.5855+0.1129*'Data (Calculations)'!AF27))*'Data (Calculations)'!$E$91)*AF25</f>
        <v>0</v>
      </c>
      <c r="AG44" s="370">
        <f>((EXP(-2.5855+0.1129*'Data (Calculations)'!AG27))*'Data (Calculations)'!$E$91)*AG25</f>
        <v>12.020013186108898</v>
      </c>
      <c r="AH44" s="370">
        <f>((EXP(-2.5855+0.1129*'Data (Calculations)'!AH27))*'Data (Calculations)'!$E$91)*AH25</f>
        <v>11.418051657771361</v>
      </c>
      <c r="AI44" s="370">
        <f>((EXP(-2.5855+0.1129*'Data (Calculations)'!AI27))*'Data (Calculations)'!$E$91)*AI25</f>
        <v>0</v>
      </c>
      <c r="AJ44" s="370">
        <f>((EXP(-2.5855+0.1129*'Data (Calculations)'!AJ27))*'Data (Calculations)'!$E$91)*AJ25</f>
        <v>0</v>
      </c>
      <c r="AK44" s="370" t="e">
        <f>((EXP(-2.5855+0.1129*'Data (Calculations)'!AK27))*'Data (Calculations)'!$E$91)*AK25</f>
        <v>#VALUE!</v>
      </c>
      <c r="AL44" s="370">
        <f>((EXP(-2.5855+0.1129*'Data (Calculations)'!AL27))*'Data (Calculations)'!$E$91)*AL25</f>
        <v>0</v>
      </c>
      <c r="AM44" s="370">
        <f>((EXP(-2.5855+0.1129*'Data (Calculations)'!AM27))*'Data (Calculations)'!$E$91)*AM25</f>
        <v>0</v>
      </c>
      <c r="AN44" s="370">
        <f>((EXP(-2.5855+0.1129*'Data (Calculations)'!AN27))*'Data (Calculations)'!$E$91)*AN25</f>
        <v>0</v>
      </c>
      <c r="AO44" s="370">
        <f>((EXP(-2.5855+0.1129*'Data (Calculations)'!AO27))*'Data (Calculations)'!$E$91)*AO25</f>
        <v>0</v>
      </c>
      <c r="AP44" s="370">
        <f>((EXP(-2.5855+0.1129*'Data (Calculations)'!AP27))*'Data (Calculations)'!$E$91)*AP25</f>
        <v>0</v>
      </c>
      <c r="AQ44" s="370">
        <f>((EXP(-2.5855+0.1129*'Data (Calculations)'!AQ27))*'Data (Calculations)'!$E$91)*AQ25</f>
        <v>0</v>
      </c>
      <c r="AR44" s="370">
        <f>((EXP(-2.5855+0.1129*'Data (Calculations)'!AR27))*'Data (Calculations)'!$E$91)*AR25</f>
        <v>0</v>
      </c>
      <c r="AS44" s="370">
        <f>((EXP(-2.5855+0.1129*'Data (Calculations)'!AS27))*'Data (Calculations)'!$E$91)*AS25</f>
        <v>0</v>
      </c>
      <c r="AT44" s="370">
        <f>((EXP(-2.5855+0.1129*'Data (Calculations)'!AT27))*'Data (Calculations)'!$E$91)*AT25</f>
        <v>0</v>
      </c>
      <c r="AU44" s="370">
        <f>((EXP(-2.5855+0.1129*'Data (Calculations)'!AU27))*'Data (Calculations)'!$E$91)*AU25</f>
        <v>0</v>
      </c>
      <c r="AV44" s="370">
        <f>((EXP(-2.5855+0.1129*'Data (Calculations)'!AV27))*'Data (Calculations)'!$E$91)*AV25</f>
        <v>0</v>
      </c>
      <c r="AW44" s="370">
        <f>((EXP(-2.5855+0.1129*'Data (Calculations)'!AW27))*'Data (Calculations)'!$E$91)*AW25</f>
        <v>0</v>
      </c>
      <c r="AX44" s="370"/>
      <c r="AY44" s="370"/>
      <c r="AZ44" s="370" t="e">
        <f>((EXP(-2.5855+0.1129*'Data (Calculations)'!AZ27))*'Data (Calculations)'!$E$91)*AZ25</f>
        <v>#VALUE!</v>
      </c>
      <c r="BA44" s="370">
        <f>((EXP(-2.5855+0.1129*'Data (Calculations)'!BA27))*'Data (Calculations)'!$E$91)*BA25</f>
        <v>10.750706257364778</v>
      </c>
      <c r="BB44" s="370">
        <f>((EXP(-2.5855+0.1129*'Data (Calculations)'!BB27))*'Data (Calculations)'!$E$91)*BB25</f>
        <v>62.833652645205433</v>
      </c>
      <c r="BC44" s="370">
        <f>((EXP(-2.5855+0.1129*'Data (Calculations)'!BC27))*'Data (Calculations)'!$E$91)*BC25</f>
        <v>26.366401894410103</v>
      </c>
      <c r="BD44" s="370">
        <f>((EXP(-2.5855+0.1129*'Data (Calculations)'!BD27))*'Data (Calculations)'!$E$91)*BD25</f>
        <v>7.8492887908071234</v>
      </c>
      <c r="BE44" s="370">
        <f>((EXP(-2.5855+0.1129*'Data (Calculations)'!BE27))*'Data (Calculations)'!$E$91)*BE25</f>
        <v>8.9064592937655931</v>
      </c>
      <c r="BF44" s="370">
        <f>((EXP(-2.5855+0.1129*'Data (Calculations)'!BF27))*'Data (Calculations)'!$E$91)*BF25</f>
        <v>31.36949678127197</v>
      </c>
      <c r="BG44" s="370">
        <f>((EXP(-2.5855+0.1129*'Data (Calculations)'!BG27))*'Data (Calculations)'!$E$91)*BG25</f>
        <v>31.095350277714623</v>
      </c>
      <c r="BH44" s="370" t="e">
        <f>((EXP(-2.5855+0.1129*'Data (Calculations)'!BH27))*'Data (Calculations)'!$E$91)*BH25</f>
        <v>#VALUE!</v>
      </c>
      <c r="BI44" s="370">
        <f>((EXP(-2.5855+0.1129*'Data (Calculations)'!BI27))*'Data (Calculations)'!$E$91)*BI25</f>
        <v>90.253433078102887</v>
      </c>
      <c r="BJ44" s="370">
        <f>((EXP(-2.5855+0.1129*'Data (Calculations)'!BJ27))*'Data (Calculations)'!$E$91)*BJ25</f>
        <v>90.027780226653647</v>
      </c>
      <c r="BK44" s="370">
        <f>((EXP(-2.5855+0.1129*'Data (Calculations)'!BK27))*'Data (Calculations)'!$E$91)*BK25</f>
        <v>114.80678674614232</v>
      </c>
      <c r="BL44" s="370">
        <f>((EXP(-2.5855+0.1129*'Data (Calculations)'!BL27))*'Data (Calculations)'!$E$91)*BL25</f>
        <v>141.11046861404205</v>
      </c>
      <c r="BM44" s="370">
        <f>((EXP(-2.5855+0.1129*'Data (Calculations)'!BM27))*'Data (Calculations)'!$E$91)*BM25</f>
        <v>168.90725749400977</v>
      </c>
      <c r="BN44" s="370">
        <f>((EXP(-2.5855+0.1129*'Data (Calculations)'!BN27))*'Data (Calculations)'!$E$91)*BN25</f>
        <v>198.14520695531326</v>
      </c>
      <c r="BO44" s="370">
        <f>((EXP(-2.5855+0.1129*'Data (Calculations)'!BO27))*'Data (Calculations)'!$E$91)*BO25</f>
        <v>228.76122271033665</v>
      </c>
      <c r="BP44" s="370">
        <f>((EXP(-2.5855+0.1129*'Data (Calculations)'!BP27))*'Data (Calculations)'!$E$91)*BP25</f>
        <v>260.67962484874693</v>
      </c>
      <c r="BQ44" s="370">
        <f>((EXP(-2.5855+0.1129*'Data (Calculations)'!BQ27))*'Data (Calculations)'!$E$91)*BQ25</f>
        <v>293.81857803511599</v>
      </c>
      <c r="BR44" s="370">
        <f>((EXP(-2.5855+0.1129*'Data (Calculations)'!BR27))*'Data (Calculations)'!$E$91)*BR25</f>
        <v>328.09552231185381</v>
      </c>
      <c r="BS44" s="370">
        <f>((EXP(-2.5855+0.1129*'Data (Calculations)'!BS27))*'Data (Calculations)'!$E$91)*BS25</f>
        <v>363.43276543974559</v>
      </c>
      <c r="BT44" s="370">
        <f>((EXP(-2.5855+0.1129*'Data (Calculations)'!BT27))*'Data (Calculations)'!$E$91)*BT25</f>
        <v>399.74083815780477</v>
      </c>
    </row>
    <row r="45" spans="1:72">
      <c r="A45" s="17"/>
      <c r="B45" s="17"/>
      <c r="E45" s="60" t="s">
        <v>268</v>
      </c>
      <c r="F45" s="370" t="e">
        <f>((EXP(-2.5855+0.1129*'Data (Calculations)'!F27))*'Data (Calculations)'!$E$92)*F25</f>
        <v>#VALUE!</v>
      </c>
      <c r="G45" s="370">
        <f>((EXP(-2.5855+0.1129*'Data (Calculations)'!G27))*'Data (Calculations)'!$E$92)*G25</f>
        <v>6.5715337239908047</v>
      </c>
      <c r="H45" s="370">
        <f>((EXP(-2.5855+0.1129*'Data (Calculations)'!H27))*'Data (Calculations)'!$E$92)*H25</f>
        <v>24.136725549599266</v>
      </c>
      <c r="I45" s="370">
        <f>((EXP(-2.5855+0.1129*'Data (Calculations)'!I27))*'Data (Calculations)'!$E$92)*I25</f>
        <v>4.4287293596485329</v>
      </c>
      <c r="J45" s="370">
        <f>((EXP(-2.5855+0.1129*'Data (Calculations)'!J27))*'Data (Calculations)'!$E$92)*J25</f>
        <v>2.4714630449633335</v>
      </c>
      <c r="K45" s="370">
        <f>((EXP(-2.5855+0.1129*'Data (Calculations)'!K27))*'Data (Calculations)'!$E$92)*K25</f>
        <v>2.604262750410967</v>
      </c>
      <c r="L45" s="370">
        <f>((EXP(-2.5855+0.1129*'Data (Calculations)'!L27))*'Data (Calculations)'!$E$92)*L25</f>
        <v>5.0238829641040965</v>
      </c>
      <c r="M45" s="370">
        <f>((EXP(-2.5855+0.1129*'Data (Calculations)'!M27))*'Data (Calculations)'!$E$92)*M25</f>
        <v>5.0943119709274596</v>
      </c>
      <c r="N45" s="370" t="e">
        <f>((EXP(-2.5855+0.1129*'Data (Calculations)'!N27))*'Data (Calculations)'!$E$92)*N25</f>
        <v>#VALUE!</v>
      </c>
      <c r="O45" s="370">
        <f>((EXP(-2.5855+0.1129*'Data (Calculations)'!O27))*'Data (Calculations)'!$E$92)*O25</f>
        <v>12.272383584964068</v>
      </c>
      <c r="P45" s="370">
        <f>((EXP(-2.5855+0.1129*'Data (Calculations)'!P27))*'Data (Calculations)'!$E$92)*P25</f>
        <v>12.241700005895888</v>
      </c>
      <c r="Q45" s="370">
        <f>((EXP(-2.5855+0.1129*'Data (Calculations)'!Q27))*'Data (Calculations)'!$E$92)*Q25</f>
        <v>15.140547681913414</v>
      </c>
      <c r="R45" s="370">
        <f>((EXP(-2.5855+0.1129*'Data (Calculations)'!R27))*'Data (Calculations)'!$E$92)*R25</f>
        <v>18.200328250227749</v>
      </c>
      <c r="S45" s="370">
        <f>((EXP(-2.5855+0.1129*'Data (Calculations)'!S27))*'Data (Calculations)'!$E$92)*S25</f>
        <v>21.417934281749119</v>
      </c>
      <c r="T45" s="370">
        <f>((EXP(-2.5855+0.1129*'Data (Calculations)'!T27))*'Data (Calculations)'!$E$92)*T25</f>
        <v>24.787582678660357</v>
      </c>
      <c r="U45" s="370">
        <f>((EXP(-2.5855+0.1129*'Data (Calculations)'!U27))*'Data (Calculations)'!$E$92)*U25</f>
        <v>28.302163957189169</v>
      </c>
      <c r="V45" s="370">
        <f>((EXP(-2.5855+0.1129*'Data (Calculations)'!V27))*'Data (Calculations)'!$E$92)*V25</f>
        <v>31.953110036487423</v>
      </c>
      <c r="W45" s="370">
        <f>((EXP(-2.5855+0.1129*'Data (Calculations)'!W27))*'Data (Calculations)'!$E$92)*W25</f>
        <v>35.731206829998321</v>
      </c>
      <c r="X45" s="370">
        <f>((EXP(-2.5855+0.1129*'Data (Calculations)'!X27))*'Data (Calculations)'!$E$92)*X25</f>
        <v>39.627241649428711</v>
      </c>
      <c r="Y45" s="370">
        <f>((EXP(-2.5855+0.1129*'Data (Calculations)'!Y27))*'Data (Calculations)'!$E$92)*Y25</f>
        <v>43.632650354222584</v>
      </c>
      <c r="Z45" s="370">
        <f>((EXP(-2.5855+0.1129*'Data (Calculations)'!Z27))*'Data (Calculations)'!$E$92)*Z25</f>
        <v>47.7374966200519</v>
      </c>
      <c r="AA45" s="370"/>
      <c r="AB45" s="370"/>
      <c r="AC45" s="370" t="e">
        <f>((EXP(-2.5855+0.1129*'Data (Calculations)'!AC27))*'Data (Calculations)'!$E$92)*AC25</f>
        <v>#VALUE!</v>
      </c>
      <c r="AD45" s="370">
        <f>((EXP(-2.5855+0.1129*'Data (Calculations)'!AD27))*'Data (Calculations)'!$E$92)*AD25</f>
        <v>8.3668440529320041</v>
      </c>
      <c r="AE45" s="370">
        <f>((EXP(-2.5855+0.1129*'Data (Calculations)'!AE27))*'Data (Calculations)'!$E$92)*AE25</f>
        <v>33.731246978915159</v>
      </c>
      <c r="AF45" s="370">
        <f>((EXP(-2.5855+0.1129*'Data (Calculations)'!AF27))*'Data (Calculations)'!$E$92)*AF25</f>
        <v>0</v>
      </c>
      <c r="AG45" s="370">
        <f>((EXP(-2.5855+0.1129*'Data (Calculations)'!AG27))*'Data (Calculations)'!$E$92)*AG25</f>
        <v>2.5041694137726895</v>
      </c>
      <c r="AH45" s="370">
        <f>((EXP(-2.5855+0.1129*'Data (Calculations)'!AH27))*'Data (Calculations)'!$E$92)*AH25</f>
        <v>2.3787607620357027</v>
      </c>
      <c r="AI45" s="370">
        <f>((EXP(-2.5855+0.1129*'Data (Calculations)'!AI27))*'Data (Calculations)'!$E$92)*AI25</f>
        <v>0</v>
      </c>
      <c r="AJ45" s="370">
        <f>((EXP(-2.5855+0.1129*'Data (Calculations)'!AJ27))*'Data (Calculations)'!$E$92)*AJ25</f>
        <v>0</v>
      </c>
      <c r="AK45" s="370" t="e">
        <f>((EXP(-2.5855+0.1129*'Data (Calculations)'!AK27))*'Data (Calculations)'!$E$92)*AK25</f>
        <v>#VALUE!</v>
      </c>
      <c r="AL45" s="370">
        <f>((EXP(-2.5855+0.1129*'Data (Calculations)'!AL27))*'Data (Calculations)'!$E$92)*AL25</f>
        <v>0</v>
      </c>
      <c r="AM45" s="370">
        <f>((EXP(-2.5855+0.1129*'Data (Calculations)'!AM27))*'Data (Calculations)'!$E$92)*AM25</f>
        <v>0</v>
      </c>
      <c r="AN45" s="370">
        <f>((EXP(-2.5855+0.1129*'Data (Calculations)'!AN27))*'Data (Calculations)'!$E$92)*AN25</f>
        <v>0</v>
      </c>
      <c r="AO45" s="370">
        <f>((EXP(-2.5855+0.1129*'Data (Calculations)'!AO27))*'Data (Calculations)'!$E$92)*AO25</f>
        <v>0</v>
      </c>
      <c r="AP45" s="370">
        <f>((EXP(-2.5855+0.1129*'Data (Calculations)'!AP27))*'Data (Calculations)'!$E$92)*AP25</f>
        <v>0</v>
      </c>
      <c r="AQ45" s="370">
        <f>((EXP(-2.5855+0.1129*'Data (Calculations)'!AQ27))*'Data (Calculations)'!$E$92)*AQ25</f>
        <v>0</v>
      </c>
      <c r="AR45" s="370">
        <f>((EXP(-2.5855+0.1129*'Data (Calculations)'!AR27))*'Data (Calculations)'!$E$92)*AR25</f>
        <v>0</v>
      </c>
      <c r="AS45" s="370">
        <f>((EXP(-2.5855+0.1129*'Data (Calculations)'!AS27))*'Data (Calculations)'!$E$92)*AS25</f>
        <v>0</v>
      </c>
      <c r="AT45" s="370">
        <f>((EXP(-2.5855+0.1129*'Data (Calculations)'!AT27))*'Data (Calculations)'!$E$92)*AT25</f>
        <v>0</v>
      </c>
      <c r="AU45" s="370">
        <f>((EXP(-2.5855+0.1129*'Data (Calculations)'!AU27))*'Data (Calculations)'!$E$92)*AU25</f>
        <v>0</v>
      </c>
      <c r="AV45" s="370">
        <f>((EXP(-2.5855+0.1129*'Data (Calculations)'!AV27))*'Data (Calculations)'!$E$92)*AV25</f>
        <v>0</v>
      </c>
      <c r="AW45" s="370">
        <f>((EXP(-2.5855+0.1129*'Data (Calculations)'!AW27))*'Data (Calculations)'!$E$92)*AW25</f>
        <v>0</v>
      </c>
      <c r="AX45" s="370"/>
      <c r="AY45" s="370"/>
      <c r="AZ45" s="370" t="e">
        <f>((EXP(-2.5855+0.1129*'Data (Calculations)'!AZ27))*'Data (Calculations)'!$E$92)*AZ25</f>
        <v>#VALUE!</v>
      </c>
      <c r="BA45" s="370">
        <f>((EXP(-2.5855+0.1129*'Data (Calculations)'!BA27))*'Data (Calculations)'!$E$92)*BA25</f>
        <v>2.2397304702843308</v>
      </c>
      <c r="BB45" s="370">
        <f>((EXP(-2.5855+0.1129*'Data (Calculations)'!BB27))*'Data (Calculations)'!$E$92)*BB25</f>
        <v>13.090344301084478</v>
      </c>
      <c r="BC45" s="370">
        <f>((EXP(-2.5855+0.1129*'Data (Calculations)'!BC27))*'Data (Calculations)'!$E$92)*BC25</f>
        <v>5.4930003946687771</v>
      </c>
      <c r="BD45" s="370">
        <f>((EXP(-2.5855+0.1129*'Data (Calculations)'!BD27))*'Data (Calculations)'!$E$92)*BD25</f>
        <v>1.6352684980848191</v>
      </c>
      <c r="BE45" s="370">
        <f>((EXP(-2.5855+0.1129*'Data (Calculations)'!BE27))*'Data (Calculations)'!$E$92)*BE25</f>
        <v>1.8555123528678339</v>
      </c>
      <c r="BF45" s="370">
        <f>((EXP(-2.5855+0.1129*'Data (Calculations)'!BF27))*'Data (Calculations)'!$E$92)*BF25</f>
        <v>6.5353118294316666</v>
      </c>
      <c r="BG45" s="370">
        <f>((EXP(-2.5855+0.1129*'Data (Calculations)'!BG27))*'Data (Calculations)'!$E$92)*BG25</f>
        <v>6.4781979745238862</v>
      </c>
      <c r="BH45" s="370" t="e">
        <f>((EXP(-2.5855+0.1129*'Data (Calculations)'!BH27))*'Data (Calculations)'!$E$92)*BH25</f>
        <v>#VALUE!</v>
      </c>
      <c r="BI45" s="370">
        <f>((EXP(-2.5855+0.1129*'Data (Calculations)'!BI27))*'Data (Calculations)'!$E$92)*BI25</f>
        <v>18.802798557938122</v>
      </c>
      <c r="BJ45" s="370">
        <f>((EXP(-2.5855+0.1129*'Data (Calculations)'!BJ27))*'Data (Calculations)'!$E$92)*BJ25</f>
        <v>18.755787547219526</v>
      </c>
      <c r="BK45" s="370">
        <f>((EXP(-2.5855+0.1129*'Data (Calculations)'!BK27))*'Data (Calculations)'!$E$92)*BK25</f>
        <v>23.918080572113009</v>
      </c>
      <c r="BL45" s="370">
        <f>((EXP(-2.5855+0.1129*'Data (Calculations)'!BL27))*'Data (Calculations)'!$E$92)*BL25</f>
        <v>29.398014294592123</v>
      </c>
      <c r="BM45" s="370">
        <f>((EXP(-2.5855+0.1129*'Data (Calculations)'!BM27))*'Data (Calculations)'!$E$92)*BM25</f>
        <v>35.189011977918739</v>
      </c>
      <c r="BN45" s="370">
        <f>((EXP(-2.5855+0.1129*'Data (Calculations)'!BN27))*'Data (Calculations)'!$E$92)*BN25</f>
        <v>41.280251449023638</v>
      </c>
      <c r="BO45" s="370">
        <f>((EXP(-2.5855+0.1129*'Data (Calculations)'!BO27))*'Data (Calculations)'!$E$92)*BO25</f>
        <v>47.658588064653514</v>
      </c>
      <c r="BP45" s="370">
        <f>((EXP(-2.5855+0.1129*'Data (Calculations)'!BP27))*'Data (Calculations)'!$E$92)*BP25</f>
        <v>54.308255176822328</v>
      </c>
      <c r="BQ45" s="370">
        <f>((EXP(-2.5855+0.1129*'Data (Calculations)'!BQ27))*'Data (Calculations)'!$E$92)*BQ25</f>
        <v>61.212203757315891</v>
      </c>
      <c r="BR45" s="370">
        <f>((EXP(-2.5855+0.1129*'Data (Calculations)'!BR27))*'Data (Calculations)'!$E$92)*BR25</f>
        <v>68.353233814969613</v>
      </c>
      <c r="BS45" s="370">
        <f>((EXP(-2.5855+0.1129*'Data (Calculations)'!BS27))*'Data (Calculations)'!$E$92)*BS25</f>
        <v>75.715159466613741</v>
      </c>
      <c r="BT45" s="370">
        <f>((EXP(-2.5855+0.1129*'Data (Calculations)'!BT27))*'Data (Calculations)'!$E$92)*BT25</f>
        <v>83.279341282876075</v>
      </c>
    </row>
    <row r="46" spans="1:72">
      <c r="A46" s="17"/>
      <c r="B46" s="17"/>
      <c r="F46" s="86"/>
      <c r="L46" s="86"/>
      <c r="N46" s="86"/>
      <c r="O46" s="86"/>
      <c r="P46" s="86"/>
      <c r="Q46" s="86"/>
      <c r="R46" s="86"/>
      <c r="S46" s="86"/>
      <c r="T46" s="86"/>
      <c r="U46" s="86"/>
      <c r="V46" s="86"/>
      <c r="W46" s="86"/>
      <c r="X46" s="86"/>
      <c r="Y46" s="86"/>
      <c r="Z46" s="86"/>
      <c r="AA46" s="86"/>
      <c r="AB46" s="86"/>
      <c r="AC46" s="86"/>
      <c r="AD46" s="86"/>
      <c r="AE46" s="86"/>
      <c r="AF46" s="86"/>
      <c r="AG46" s="86"/>
      <c r="AH46" s="86"/>
      <c r="AI46" s="86"/>
      <c r="AJ46" s="86"/>
      <c r="AK46" s="86"/>
      <c r="AL46" s="86"/>
      <c r="AM46" s="86"/>
      <c r="AN46" s="86"/>
      <c r="AO46" s="86"/>
      <c r="AP46" s="86"/>
      <c r="AQ46" s="86"/>
      <c r="AR46" s="86"/>
      <c r="AS46" s="86"/>
      <c r="AT46" s="86"/>
      <c r="AU46" s="86"/>
      <c r="AV46" s="86"/>
      <c r="AW46" s="86"/>
      <c r="AX46" s="86"/>
      <c r="AY46" s="86"/>
      <c r="AZ46" s="86"/>
      <c r="BA46" s="86"/>
      <c r="BB46" s="86"/>
      <c r="BC46" s="86"/>
      <c r="BD46" s="86"/>
      <c r="BE46" s="86"/>
      <c r="BF46" s="86"/>
      <c r="BG46" s="86"/>
      <c r="BH46" s="86"/>
      <c r="BI46" s="86"/>
      <c r="BJ46" s="86"/>
      <c r="BK46" s="86"/>
      <c r="BL46" s="86"/>
      <c r="BM46" s="86"/>
      <c r="BN46" s="86"/>
      <c r="BO46" s="86"/>
      <c r="BP46" s="86"/>
      <c r="BQ46" s="86"/>
      <c r="BR46" s="86"/>
      <c r="BS46" s="86"/>
      <c r="BT46" s="86"/>
    </row>
    <row r="47" spans="1:72" s="64" customFormat="1">
      <c r="C47" s="17"/>
      <c r="D47" s="17"/>
      <c r="E47" s="17"/>
      <c r="F47" s="86"/>
      <c r="G47" s="86"/>
      <c r="H47" s="86"/>
      <c r="I47" s="86"/>
      <c r="J47" s="86"/>
      <c r="K47" s="86"/>
      <c r="L47" s="86"/>
      <c r="M47" s="86"/>
      <c r="N47" s="86"/>
      <c r="O47" s="86"/>
      <c r="P47" s="86"/>
      <c r="Q47" s="86"/>
      <c r="R47" s="86"/>
      <c r="S47" s="86"/>
      <c r="T47" s="86"/>
      <c r="U47" s="86"/>
      <c r="V47" s="86"/>
      <c r="W47" s="86"/>
      <c r="X47" s="86"/>
      <c r="Y47" s="86"/>
      <c r="Z47" s="86"/>
      <c r="AA47" s="86"/>
      <c r="AB47" s="86"/>
      <c r="AC47" s="86"/>
      <c r="AD47" s="86"/>
      <c r="AE47" s="86"/>
      <c r="AF47" s="86"/>
      <c r="AG47" s="86"/>
      <c r="AH47" s="86"/>
      <c r="AI47" s="86"/>
      <c r="AJ47" s="86"/>
      <c r="AK47" s="86"/>
      <c r="AL47" s="86"/>
      <c r="AM47" s="86"/>
      <c r="AN47" s="86"/>
      <c r="AO47" s="86"/>
      <c r="AP47" s="86"/>
      <c r="AQ47" s="86"/>
      <c r="AR47" s="86"/>
      <c r="AS47" s="86"/>
      <c r="AT47" s="86"/>
      <c r="AU47" s="86"/>
      <c r="AV47" s="86"/>
      <c r="AW47" s="86"/>
      <c r="AX47" s="86"/>
      <c r="AY47" s="86"/>
      <c r="AZ47" s="86"/>
      <c r="BA47" s="86"/>
      <c r="BB47" s="86"/>
      <c r="BC47" s="86"/>
      <c r="BD47" s="86"/>
      <c r="BE47" s="86"/>
      <c r="BF47" s="86"/>
      <c r="BG47" s="86"/>
      <c r="BH47" s="86"/>
      <c r="BI47" s="86"/>
      <c r="BJ47" s="86"/>
      <c r="BK47" s="86"/>
      <c r="BL47" s="86"/>
      <c r="BM47" s="86"/>
      <c r="BN47" s="86"/>
      <c r="BO47" s="86"/>
      <c r="BP47" s="86"/>
      <c r="BQ47" s="86"/>
      <c r="BR47" s="86"/>
      <c r="BS47" s="86"/>
      <c r="BT47" s="86"/>
    </row>
    <row r="48" spans="1:72" s="64" customFormat="1">
      <c r="C48" s="17"/>
      <c r="D48" s="17"/>
      <c r="E48" s="284" t="s">
        <v>70</v>
      </c>
      <c r="F48" s="301" t="e">
        <f>F45</f>
        <v>#VALUE!</v>
      </c>
      <c r="G48" s="301">
        <f t="shared" ref="G48:AI48" si="55">G45</f>
        <v>6.5715337239908047</v>
      </c>
      <c r="H48" s="301">
        <f t="shared" si="55"/>
        <v>24.136725549599266</v>
      </c>
      <c r="I48" s="301">
        <f t="shared" si="55"/>
        <v>4.4287293596485329</v>
      </c>
      <c r="J48" s="301">
        <f t="shared" si="55"/>
        <v>2.4714630449633335</v>
      </c>
      <c r="K48" s="301">
        <f t="shared" si="55"/>
        <v>2.604262750410967</v>
      </c>
      <c r="L48" s="301">
        <f t="shared" si="55"/>
        <v>5.0238829641040965</v>
      </c>
      <c r="M48" s="301">
        <f t="shared" si="55"/>
        <v>5.0943119709274596</v>
      </c>
      <c r="N48" s="301" t="e">
        <f t="shared" si="55"/>
        <v>#VALUE!</v>
      </c>
      <c r="O48" s="301">
        <f t="shared" si="55"/>
        <v>12.272383584964068</v>
      </c>
      <c r="P48" s="301">
        <f t="shared" si="55"/>
        <v>12.241700005895888</v>
      </c>
      <c r="Q48" s="301">
        <f t="shared" si="55"/>
        <v>15.140547681913414</v>
      </c>
      <c r="R48" s="301">
        <f t="shared" si="55"/>
        <v>18.200328250227749</v>
      </c>
      <c r="S48" s="301">
        <f t="shared" si="55"/>
        <v>21.417934281749119</v>
      </c>
      <c r="T48" s="301">
        <f t="shared" si="55"/>
        <v>24.787582678660357</v>
      </c>
      <c r="U48" s="301">
        <f t="shared" si="55"/>
        <v>28.302163957189169</v>
      </c>
      <c r="V48" s="301">
        <f t="shared" si="55"/>
        <v>31.953110036487423</v>
      </c>
      <c r="W48" s="301">
        <f t="shared" si="55"/>
        <v>35.731206829998321</v>
      </c>
      <c r="X48" s="301">
        <f t="shared" si="55"/>
        <v>39.627241649428711</v>
      </c>
      <c r="Y48" s="301">
        <f t="shared" si="55"/>
        <v>43.632650354222584</v>
      </c>
      <c r="Z48" s="301">
        <f t="shared" si="55"/>
        <v>47.7374966200519</v>
      </c>
      <c r="AA48" s="301"/>
      <c r="AB48" s="301"/>
      <c r="AC48" s="301" t="e">
        <f t="shared" si="55"/>
        <v>#VALUE!</v>
      </c>
      <c r="AD48" s="301">
        <f t="shared" si="55"/>
        <v>8.3668440529320041</v>
      </c>
      <c r="AE48" s="301">
        <f t="shared" si="55"/>
        <v>33.731246978915159</v>
      </c>
      <c r="AF48" s="301">
        <f t="shared" si="55"/>
        <v>0</v>
      </c>
      <c r="AG48" s="301">
        <f t="shared" si="55"/>
        <v>2.5041694137726895</v>
      </c>
      <c r="AH48" s="301">
        <f t="shared" si="55"/>
        <v>2.3787607620357027</v>
      </c>
      <c r="AI48" s="301">
        <f t="shared" si="55"/>
        <v>0</v>
      </c>
      <c r="AJ48" s="301">
        <f>AJ45</f>
        <v>0</v>
      </c>
      <c r="AK48" s="301" t="e">
        <f t="shared" ref="AK48:BC48" si="56">AK45</f>
        <v>#VALUE!</v>
      </c>
      <c r="AL48" s="301">
        <f t="shared" si="56"/>
        <v>0</v>
      </c>
      <c r="AM48" s="301">
        <f t="shared" si="56"/>
        <v>0</v>
      </c>
      <c r="AN48" s="301">
        <f t="shared" si="56"/>
        <v>0</v>
      </c>
      <c r="AO48" s="301">
        <f t="shared" si="56"/>
        <v>0</v>
      </c>
      <c r="AP48" s="301">
        <f t="shared" si="56"/>
        <v>0</v>
      </c>
      <c r="AQ48" s="301">
        <f t="shared" si="56"/>
        <v>0</v>
      </c>
      <c r="AR48" s="301">
        <f t="shared" si="56"/>
        <v>0</v>
      </c>
      <c r="AS48" s="301">
        <f t="shared" si="56"/>
        <v>0</v>
      </c>
      <c r="AT48" s="301">
        <f t="shared" si="56"/>
        <v>0</v>
      </c>
      <c r="AU48" s="301">
        <f t="shared" si="56"/>
        <v>0</v>
      </c>
      <c r="AV48" s="301">
        <f t="shared" si="56"/>
        <v>0</v>
      </c>
      <c r="AW48" s="301">
        <f t="shared" si="56"/>
        <v>0</v>
      </c>
      <c r="AX48" s="301"/>
      <c r="AY48" s="301"/>
      <c r="AZ48" s="301" t="e">
        <f t="shared" si="56"/>
        <v>#VALUE!</v>
      </c>
      <c r="BA48" s="301">
        <f t="shared" si="56"/>
        <v>2.2397304702843308</v>
      </c>
      <c r="BB48" s="301">
        <f t="shared" si="56"/>
        <v>13.090344301084478</v>
      </c>
      <c r="BC48" s="301">
        <f t="shared" si="56"/>
        <v>5.4930003946687771</v>
      </c>
      <c r="BD48" s="301">
        <f>BD45</f>
        <v>1.6352684980848191</v>
      </c>
      <c r="BE48" s="301">
        <f t="shared" ref="BE48:BT48" si="57">BE45</f>
        <v>1.8555123528678339</v>
      </c>
      <c r="BF48" s="301">
        <f t="shared" si="57"/>
        <v>6.5353118294316666</v>
      </c>
      <c r="BG48" s="301">
        <f t="shared" si="57"/>
        <v>6.4781979745238862</v>
      </c>
      <c r="BH48" s="301" t="e">
        <f t="shared" si="57"/>
        <v>#VALUE!</v>
      </c>
      <c r="BI48" s="301">
        <f t="shared" si="57"/>
        <v>18.802798557938122</v>
      </c>
      <c r="BJ48" s="301">
        <f t="shared" si="57"/>
        <v>18.755787547219526</v>
      </c>
      <c r="BK48" s="301">
        <f t="shared" si="57"/>
        <v>23.918080572113009</v>
      </c>
      <c r="BL48" s="301">
        <f t="shared" si="57"/>
        <v>29.398014294592123</v>
      </c>
      <c r="BM48" s="301">
        <f t="shared" si="57"/>
        <v>35.189011977918739</v>
      </c>
      <c r="BN48" s="301">
        <f t="shared" si="57"/>
        <v>41.280251449023638</v>
      </c>
      <c r="BO48" s="301">
        <f t="shared" si="57"/>
        <v>47.658588064653514</v>
      </c>
      <c r="BP48" s="301">
        <f t="shared" si="57"/>
        <v>54.308255176822328</v>
      </c>
      <c r="BQ48" s="301">
        <f t="shared" si="57"/>
        <v>61.212203757315891</v>
      </c>
      <c r="BR48" s="301">
        <f t="shared" si="57"/>
        <v>68.353233814969613</v>
      </c>
      <c r="BS48" s="301">
        <f t="shared" si="57"/>
        <v>75.715159466613741</v>
      </c>
      <c r="BT48" s="301">
        <f t="shared" si="57"/>
        <v>83.279341282876075</v>
      </c>
    </row>
    <row r="49" spans="1:72">
      <c r="A49" s="17"/>
      <c r="B49" s="17"/>
      <c r="E49" s="34" t="s">
        <v>103</v>
      </c>
      <c r="F49" s="282" t="e">
        <f>SUM(F42:F44)/SUM(F41:F45)</f>
        <v>#VALUE!</v>
      </c>
      <c r="G49" s="282">
        <f t="shared" ref="G49:AI49" si="58">SUM(G42:G44)/SUM(G41:G45)</f>
        <v>2.6905719054317521E-2</v>
      </c>
      <c r="H49" s="282">
        <f t="shared" si="58"/>
        <v>2.6905719054317521E-2</v>
      </c>
      <c r="I49" s="282">
        <f t="shared" si="58"/>
        <v>2.6905719054317517E-2</v>
      </c>
      <c r="J49" s="282">
        <f t="shared" si="58"/>
        <v>2.6905719054317521E-2</v>
      </c>
      <c r="K49" s="282">
        <f t="shared" si="58"/>
        <v>2.6905719054317524E-2</v>
      </c>
      <c r="L49" s="282">
        <f t="shared" si="58"/>
        <v>2.6905719054317517E-2</v>
      </c>
      <c r="M49" s="282">
        <f t="shared" si="58"/>
        <v>2.6905719054317521E-2</v>
      </c>
      <c r="N49" s="282" t="e">
        <f t="shared" si="58"/>
        <v>#VALUE!</v>
      </c>
      <c r="O49" s="282">
        <f t="shared" si="58"/>
        <v>2.6905719054317524E-2</v>
      </c>
      <c r="P49" s="282">
        <f t="shared" si="58"/>
        <v>2.6905719054317524E-2</v>
      </c>
      <c r="Q49" s="282">
        <f t="shared" si="58"/>
        <v>2.6905719054317517E-2</v>
      </c>
      <c r="R49" s="282">
        <f t="shared" si="58"/>
        <v>2.6905719054317521E-2</v>
      </c>
      <c r="S49" s="282">
        <f t="shared" si="58"/>
        <v>2.6905719054317517E-2</v>
      </c>
      <c r="T49" s="282">
        <f t="shared" si="58"/>
        <v>2.6905719054317521E-2</v>
      </c>
      <c r="U49" s="282">
        <f t="shared" si="58"/>
        <v>2.6905719054317521E-2</v>
      </c>
      <c r="V49" s="282">
        <f t="shared" si="58"/>
        <v>2.6905719054317521E-2</v>
      </c>
      <c r="W49" s="282">
        <f t="shared" si="58"/>
        <v>2.6905719054317524E-2</v>
      </c>
      <c r="X49" s="282">
        <f t="shared" si="58"/>
        <v>2.6905719054317521E-2</v>
      </c>
      <c r="Y49" s="282">
        <f t="shared" si="58"/>
        <v>2.6905719054317521E-2</v>
      </c>
      <c r="Z49" s="282">
        <f t="shared" si="58"/>
        <v>2.6905719054317517E-2</v>
      </c>
      <c r="AA49" s="282"/>
      <c r="AB49" s="282"/>
      <c r="AC49" s="282" t="e">
        <f t="shared" si="58"/>
        <v>#VALUE!</v>
      </c>
      <c r="AD49" s="282">
        <f t="shared" si="58"/>
        <v>2.6905719054317521E-2</v>
      </c>
      <c r="AE49" s="282">
        <f t="shared" si="58"/>
        <v>2.6905719054317521E-2</v>
      </c>
      <c r="AF49" s="282" t="e">
        <f t="shared" si="58"/>
        <v>#DIV/0!</v>
      </c>
      <c r="AG49" s="282">
        <f t="shared" si="58"/>
        <v>2.6905719054317517E-2</v>
      </c>
      <c r="AH49" s="282">
        <f t="shared" si="58"/>
        <v>2.6905719054317517E-2</v>
      </c>
      <c r="AI49" s="282" t="e">
        <f t="shared" si="58"/>
        <v>#DIV/0!</v>
      </c>
      <c r="AJ49" s="282" t="e">
        <f>SUM(AJ42:AJ44)/SUM(AJ41:AJ45)</f>
        <v>#DIV/0!</v>
      </c>
      <c r="AK49" s="282" t="e">
        <f t="shared" ref="AK49:BC49" si="59">SUM(AK42:AK44)/SUM(AK41:AK45)</f>
        <v>#VALUE!</v>
      </c>
      <c r="AL49" s="282" t="e">
        <f t="shared" si="59"/>
        <v>#DIV/0!</v>
      </c>
      <c r="AM49" s="282" t="e">
        <f t="shared" si="59"/>
        <v>#DIV/0!</v>
      </c>
      <c r="AN49" s="282" t="e">
        <f t="shared" si="59"/>
        <v>#DIV/0!</v>
      </c>
      <c r="AO49" s="282" t="e">
        <f t="shared" si="59"/>
        <v>#DIV/0!</v>
      </c>
      <c r="AP49" s="282" t="e">
        <f t="shared" si="59"/>
        <v>#DIV/0!</v>
      </c>
      <c r="AQ49" s="282" t="e">
        <f t="shared" si="59"/>
        <v>#DIV/0!</v>
      </c>
      <c r="AR49" s="282" t="e">
        <f t="shared" si="59"/>
        <v>#DIV/0!</v>
      </c>
      <c r="AS49" s="282" t="e">
        <f t="shared" si="59"/>
        <v>#DIV/0!</v>
      </c>
      <c r="AT49" s="282" t="e">
        <f t="shared" si="59"/>
        <v>#DIV/0!</v>
      </c>
      <c r="AU49" s="282" t="e">
        <f t="shared" si="59"/>
        <v>#DIV/0!</v>
      </c>
      <c r="AV49" s="282" t="e">
        <f t="shared" si="59"/>
        <v>#DIV/0!</v>
      </c>
      <c r="AW49" s="282" t="e">
        <f t="shared" si="59"/>
        <v>#DIV/0!</v>
      </c>
      <c r="AX49" s="282"/>
      <c r="AY49" s="282"/>
      <c r="AZ49" s="282" t="e">
        <f t="shared" si="59"/>
        <v>#VALUE!</v>
      </c>
      <c r="BA49" s="282">
        <f t="shared" si="59"/>
        <v>2.6905719054317517E-2</v>
      </c>
      <c r="BB49" s="282">
        <f t="shared" si="59"/>
        <v>2.6905719054317517E-2</v>
      </c>
      <c r="BC49" s="282">
        <f t="shared" si="59"/>
        <v>2.6905719054317521E-2</v>
      </c>
      <c r="BD49" s="282">
        <f>SUM(BD42:BD44)/SUM(BD41:BD45)</f>
        <v>2.6905719054317521E-2</v>
      </c>
      <c r="BE49" s="282">
        <f t="shared" ref="BE49:BT49" si="60">SUM(BE42:BE44)/SUM(BE41:BE45)</f>
        <v>2.6905719054317521E-2</v>
      </c>
      <c r="BF49" s="282">
        <f t="shared" si="60"/>
        <v>2.6905719054317517E-2</v>
      </c>
      <c r="BG49" s="282">
        <f t="shared" si="60"/>
        <v>2.6905719054317521E-2</v>
      </c>
      <c r="BH49" s="282" t="e">
        <f t="shared" si="60"/>
        <v>#VALUE!</v>
      </c>
      <c r="BI49" s="282">
        <f t="shared" si="60"/>
        <v>2.6905719054317521E-2</v>
      </c>
      <c r="BJ49" s="282">
        <f t="shared" si="60"/>
        <v>2.6905719054317521E-2</v>
      </c>
      <c r="BK49" s="282">
        <f t="shared" si="60"/>
        <v>2.6905719054317521E-2</v>
      </c>
      <c r="BL49" s="282">
        <f t="shared" si="60"/>
        <v>2.6905719054317514E-2</v>
      </c>
      <c r="BM49" s="282">
        <f t="shared" si="60"/>
        <v>2.6905719054317528E-2</v>
      </c>
      <c r="BN49" s="282">
        <f t="shared" si="60"/>
        <v>2.6905719054317521E-2</v>
      </c>
      <c r="BO49" s="282">
        <f t="shared" si="60"/>
        <v>2.6905719054317521E-2</v>
      </c>
      <c r="BP49" s="282">
        <f t="shared" si="60"/>
        <v>2.6905719054317514E-2</v>
      </c>
      <c r="BQ49" s="282">
        <f t="shared" si="60"/>
        <v>2.6905719054317517E-2</v>
      </c>
      <c r="BR49" s="282">
        <f t="shared" si="60"/>
        <v>2.6905719054317514E-2</v>
      </c>
      <c r="BS49" s="282">
        <f t="shared" si="60"/>
        <v>2.6905719054317521E-2</v>
      </c>
      <c r="BT49" s="282">
        <f t="shared" si="60"/>
        <v>2.6905719054317521E-2</v>
      </c>
    </row>
    <row r="50" spans="1:72">
      <c r="A50" s="17"/>
      <c r="B50" s="17"/>
      <c r="E50" s="280" t="s">
        <v>273</v>
      </c>
      <c r="F50" s="283" t="e">
        <f>(100000/(SUM(F41:F45))*F48)</f>
        <v>#VALUE!</v>
      </c>
      <c r="G50" s="283">
        <f t="shared" ref="G50:AI50" si="61">(100000/(SUM(G41:G45))*G48)</f>
        <v>305.74680743542672</v>
      </c>
      <c r="H50" s="283">
        <f t="shared" si="61"/>
        <v>305.74680743542666</v>
      </c>
      <c r="I50" s="283">
        <f t="shared" si="61"/>
        <v>305.74680743542672</v>
      </c>
      <c r="J50" s="283">
        <f t="shared" si="61"/>
        <v>305.74680743542672</v>
      </c>
      <c r="K50" s="283">
        <f t="shared" si="61"/>
        <v>305.74680743542677</v>
      </c>
      <c r="L50" s="283">
        <f t="shared" si="61"/>
        <v>305.74680743542666</v>
      </c>
      <c r="M50" s="283">
        <f t="shared" si="61"/>
        <v>305.74680743542672</v>
      </c>
      <c r="N50" s="283" t="e">
        <f t="shared" si="61"/>
        <v>#VALUE!</v>
      </c>
      <c r="O50" s="283">
        <f t="shared" si="61"/>
        <v>305.74680743542666</v>
      </c>
      <c r="P50" s="283">
        <f t="shared" si="61"/>
        <v>305.74680743542672</v>
      </c>
      <c r="Q50" s="283">
        <f t="shared" si="61"/>
        <v>305.7468074354266</v>
      </c>
      <c r="R50" s="283">
        <f t="shared" si="61"/>
        <v>305.74680743542672</v>
      </c>
      <c r="S50" s="283">
        <f t="shared" si="61"/>
        <v>305.74680743542672</v>
      </c>
      <c r="T50" s="283">
        <f t="shared" si="61"/>
        <v>305.74680743542672</v>
      </c>
      <c r="U50" s="283">
        <f t="shared" si="61"/>
        <v>305.74680743542672</v>
      </c>
      <c r="V50" s="283">
        <f t="shared" si="61"/>
        <v>305.74680743542672</v>
      </c>
      <c r="W50" s="283">
        <f t="shared" si="61"/>
        <v>305.74680743542672</v>
      </c>
      <c r="X50" s="283">
        <f t="shared" si="61"/>
        <v>305.74680743542666</v>
      </c>
      <c r="Y50" s="283">
        <f t="shared" si="61"/>
        <v>305.74680743542666</v>
      </c>
      <c r="Z50" s="283">
        <f t="shared" si="61"/>
        <v>305.74680743542672</v>
      </c>
      <c r="AA50" s="283"/>
      <c r="AB50" s="283"/>
      <c r="AC50" s="283" t="e">
        <f t="shared" si="61"/>
        <v>#VALUE!</v>
      </c>
      <c r="AD50" s="283">
        <f t="shared" si="61"/>
        <v>305.74680743542672</v>
      </c>
      <c r="AE50" s="283">
        <f t="shared" si="61"/>
        <v>305.74680743542672</v>
      </c>
      <c r="AF50" s="283" t="e">
        <f t="shared" si="61"/>
        <v>#DIV/0!</v>
      </c>
      <c r="AG50" s="283">
        <f t="shared" si="61"/>
        <v>305.74680743542666</v>
      </c>
      <c r="AH50" s="283">
        <f t="shared" si="61"/>
        <v>305.74680743542672</v>
      </c>
      <c r="AI50" s="283" t="e">
        <f t="shared" si="61"/>
        <v>#DIV/0!</v>
      </c>
      <c r="AJ50" s="283" t="e">
        <f>(100000/(SUM(AJ41:AJ45))*AJ48)</f>
        <v>#DIV/0!</v>
      </c>
      <c r="AK50" s="283" t="e">
        <f t="shared" ref="AK50:BC50" si="62">(100000/(SUM(AK41:AK45))*AK48)</f>
        <v>#VALUE!</v>
      </c>
      <c r="AL50" s="283" t="e">
        <f t="shared" si="62"/>
        <v>#DIV/0!</v>
      </c>
      <c r="AM50" s="283" t="e">
        <f t="shared" si="62"/>
        <v>#DIV/0!</v>
      </c>
      <c r="AN50" s="283" t="e">
        <f t="shared" si="62"/>
        <v>#DIV/0!</v>
      </c>
      <c r="AO50" s="283" t="e">
        <f t="shared" si="62"/>
        <v>#DIV/0!</v>
      </c>
      <c r="AP50" s="283" t="e">
        <f t="shared" si="62"/>
        <v>#DIV/0!</v>
      </c>
      <c r="AQ50" s="283" t="e">
        <f t="shared" si="62"/>
        <v>#DIV/0!</v>
      </c>
      <c r="AR50" s="283" t="e">
        <f t="shared" si="62"/>
        <v>#DIV/0!</v>
      </c>
      <c r="AS50" s="283" t="e">
        <f t="shared" si="62"/>
        <v>#DIV/0!</v>
      </c>
      <c r="AT50" s="283" t="e">
        <f t="shared" si="62"/>
        <v>#DIV/0!</v>
      </c>
      <c r="AU50" s="283" t="e">
        <f t="shared" si="62"/>
        <v>#DIV/0!</v>
      </c>
      <c r="AV50" s="283" t="e">
        <f t="shared" si="62"/>
        <v>#DIV/0!</v>
      </c>
      <c r="AW50" s="283" t="e">
        <f t="shared" si="62"/>
        <v>#DIV/0!</v>
      </c>
      <c r="AX50" s="283"/>
      <c r="AY50" s="283"/>
      <c r="AZ50" s="283" t="e">
        <f t="shared" si="62"/>
        <v>#VALUE!</v>
      </c>
      <c r="BA50" s="283">
        <f t="shared" si="62"/>
        <v>305.74680743542672</v>
      </c>
      <c r="BB50" s="283">
        <f t="shared" si="62"/>
        <v>305.7468074354266</v>
      </c>
      <c r="BC50" s="283">
        <f t="shared" si="62"/>
        <v>305.74680743542672</v>
      </c>
      <c r="BD50" s="283">
        <f>(100000/(SUM(BD41:BD45))*BD48)</f>
        <v>305.74680743542672</v>
      </c>
      <c r="BE50" s="283">
        <f t="shared" ref="BE50:BT50" si="63">(100000/(SUM(BE41:BE45))*BE48)</f>
        <v>305.74680743542672</v>
      </c>
      <c r="BF50" s="283">
        <f t="shared" si="63"/>
        <v>305.74680743542672</v>
      </c>
      <c r="BG50" s="283">
        <f t="shared" si="63"/>
        <v>305.74680743542666</v>
      </c>
      <c r="BH50" s="283" t="e">
        <f t="shared" si="63"/>
        <v>#VALUE!</v>
      </c>
      <c r="BI50" s="283">
        <f t="shared" si="63"/>
        <v>305.74680743542672</v>
      </c>
      <c r="BJ50" s="283">
        <f t="shared" si="63"/>
        <v>305.74680743542666</v>
      </c>
      <c r="BK50" s="283">
        <f t="shared" si="63"/>
        <v>305.74680743542672</v>
      </c>
      <c r="BL50" s="283">
        <f t="shared" si="63"/>
        <v>305.7468074354266</v>
      </c>
      <c r="BM50" s="283">
        <f t="shared" si="63"/>
        <v>305.74680743542677</v>
      </c>
      <c r="BN50" s="283">
        <f t="shared" si="63"/>
        <v>305.74680743542672</v>
      </c>
      <c r="BO50" s="283">
        <f t="shared" si="63"/>
        <v>305.74680743542666</v>
      </c>
      <c r="BP50" s="283">
        <f t="shared" si="63"/>
        <v>305.74680743542666</v>
      </c>
      <c r="BQ50" s="283">
        <f t="shared" si="63"/>
        <v>305.74680743542666</v>
      </c>
      <c r="BR50" s="283">
        <f t="shared" si="63"/>
        <v>305.74680743542666</v>
      </c>
      <c r="BS50" s="283">
        <f t="shared" si="63"/>
        <v>305.74680743542672</v>
      </c>
      <c r="BT50" s="283">
        <f t="shared" si="63"/>
        <v>305.74680743542672</v>
      </c>
    </row>
    <row r="51" spans="1:72" s="64" customFormat="1">
      <c r="C51" s="17"/>
      <c r="D51" s="17"/>
      <c r="E51" s="17"/>
      <c r="F51" s="86"/>
      <c r="G51" s="86"/>
      <c r="H51" s="86"/>
      <c r="I51" s="86"/>
      <c r="J51" s="86"/>
      <c r="K51" s="86"/>
      <c r="L51" s="86"/>
      <c r="M51" s="86"/>
      <c r="N51" s="86"/>
      <c r="O51" s="86"/>
      <c r="P51" s="86"/>
      <c r="Q51" s="86"/>
      <c r="R51" s="86"/>
      <c r="S51" s="86"/>
      <c r="T51" s="86"/>
      <c r="U51" s="86"/>
      <c r="V51" s="86"/>
      <c r="W51" s="86"/>
      <c r="X51" s="86"/>
      <c r="Y51" s="86"/>
      <c r="Z51" s="86"/>
      <c r="AA51" s="86"/>
      <c r="AB51" s="86"/>
      <c r="AC51" s="86"/>
      <c r="AD51" s="86"/>
      <c r="AE51" s="86"/>
      <c r="AF51" s="86"/>
      <c r="AG51" s="86"/>
      <c r="AH51" s="86"/>
      <c r="AI51" s="86"/>
      <c r="AJ51" s="86"/>
      <c r="AK51" s="86"/>
      <c r="AL51" s="86"/>
      <c r="AM51" s="86"/>
      <c r="AN51" s="86"/>
      <c r="AO51" s="86"/>
      <c r="AP51" s="86"/>
      <c r="AQ51" s="86"/>
      <c r="AR51" s="86"/>
      <c r="AS51" s="86"/>
      <c r="AT51" s="86"/>
      <c r="AU51" s="86"/>
      <c r="AV51" s="86"/>
      <c r="AW51" s="86"/>
      <c r="AX51" s="86"/>
      <c r="AY51" s="86"/>
      <c r="AZ51" s="86"/>
      <c r="BA51" s="86"/>
      <c r="BB51" s="86"/>
      <c r="BC51" s="86"/>
      <c r="BD51" s="86"/>
      <c r="BE51" s="86"/>
      <c r="BF51" s="86"/>
      <c r="BG51" s="86"/>
      <c r="BH51" s="86"/>
      <c r="BI51" s="86"/>
      <c r="BJ51" s="86"/>
      <c r="BK51" s="86"/>
      <c r="BL51" s="86"/>
      <c r="BM51" s="86"/>
      <c r="BN51" s="86"/>
      <c r="BO51" s="86"/>
      <c r="BP51" s="86"/>
      <c r="BQ51" s="86"/>
      <c r="BR51" s="86"/>
      <c r="BS51" s="86"/>
      <c r="BT51" s="86"/>
    </row>
    <row r="52" spans="1:72">
      <c r="A52" s="17"/>
      <c r="B52" s="17"/>
      <c r="F52" s="86"/>
      <c r="L52" s="86"/>
      <c r="N52" s="86"/>
      <c r="O52" s="86"/>
      <c r="P52" s="86"/>
      <c r="Q52" s="86"/>
      <c r="R52" s="86"/>
      <c r="S52" s="86"/>
      <c r="T52" s="86"/>
      <c r="U52" s="86"/>
      <c r="V52" s="86"/>
      <c r="W52" s="86"/>
      <c r="X52" s="86"/>
      <c r="Y52" s="86"/>
      <c r="Z52" s="86"/>
      <c r="AA52" s="86"/>
      <c r="AB52" s="86"/>
      <c r="AC52" s="86"/>
      <c r="AD52" s="86"/>
      <c r="AE52" s="86"/>
      <c r="AF52" s="86"/>
      <c r="AG52" s="86"/>
      <c r="AH52" s="86"/>
      <c r="AI52" s="86"/>
      <c r="AJ52" s="86"/>
      <c r="AK52" s="86"/>
      <c r="AL52" s="86"/>
      <c r="AM52" s="86"/>
      <c r="AN52" s="86"/>
      <c r="AO52" s="86"/>
      <c r="AP52" s="86"/>
      <c r="AQ52" s="86"/>
      <c r="AR52" s="86"/>
      <c r="AS52" s="86"/>
      <c r="AT52" s="86"/>
      <c r="AU52" s="86"/>
      <c r="AV52" s="86"/>
      <c r="AW52" s="86"/>
      <c r="AX52" s="86"/>
      <c r="AY52" s="86"/>
      <c r="AZ52" s="86"/>
      <c r="BA52" s="86"/>
      <c r="BB52" s="86"/>
      <c r="BC52" s="86"/>
      <c r="BD52" s="86"/>
      <c r="BE52" s="86"/>
      <c r="BF52" s="86"/>
      <c r="BG52" s="86"/>
      <c r="BH52" s="86"/>
      <c r="BI52" s="86"/>
      <c r="BJ52" s="86"/>
      <c r="BK52" s="86"/>
      <c r="BL52" s="86"/>
      <c r="BM52" s="86"/>
      <c r="BN52" s="86"/>
      <c r="BO52" s="86"/>
      <c r="BP52" s="86"/>
      <c r="BQ52" s="86"/>
      <c r="BR52" s="86"/>
      <c r="BS52" s="86"/>
      <c r="BT52" s="86"/>
    </row>
    <row r="53" spans="1:72" ht="19">
      <c r="A53" s="17"/>
      <c r="B53" s="17"/>
      <c r="E53" s="164" t="s">
        <v>193</v>
      </c>
      <c r="F53" s="372"/>
      <c r="G53" s="372"/>
      <c r="H53" s="372"/>
      <c r="I53" s="372"/>
      <c r="J53" s="372"/>
      <c r="K53" s="372"/>
      <c r="L53" s="372"/>
      <c r="M53" s="372"/>
      <c r="N53" s="372"/>
      <c r="O53" s="372"/>
      <c r="P53" s="372"/>
      <c r="Q53" s="372"/>
      <c r="R53" s="372"/>
      <c r="S53" s="372"/>
      <c r="T53" s="372"/>
      <c r="U53" s="372"/>
      <c r="V53" s="372"/>
      <c r="W53" s="372"/>
      <c r="X53" s="372"/>
      <c r="Y53" s="372"/>
      <c r="Z53" s="372"/>
      <c r="AA53" s="372"/>
      <c r="AB53" s="372"/>
      <c r="AC53" s="372"/>
      <c r="AD53" s="372"/>
      <c r="AE53" s="372"/>
      <c r="AF53" s="372"/>
      <c r="AG53" s="372"/>
      <c r="AH53" s="372"/>
      <c r="AI53" s="372"/>
      <c r="AJ53" s="372"/>
      <c r="AK53" s="372"/>
      <c r="AL53" s="372"/>
      <c r="AM53" s="372"/>
      <c r="AN53" s="372"/>
      <c r="AO53" s="372"/>
      <c r="AP53" s="372"/>
      <c r="AQ53" s="372"/>
      <c r="AR53" s="372"/>
      <c r="AS53" s="372"/>
      <c r="AT53" s="372"/>
      <c r="AU53" s="372"/>
      <c r="AV53" s="372"/>
      <c r="AW53" s="372"/>
      <c r="AX53" s="372"/>
      <c r="AY53" s="372"/>
      <c r="AZ53" s="372"/>
      <c r="BA53" s="372"/>
      <c r="BB53" s="372"/>
      <c r="BC53" s="372"/>
      <c r="BD53" s="372"/>
      <c r="BE53" s="372"/>
      <c r="BF53" s="372"/>
      <c r="BG53" s="372"/>
      <c r="BH53" s="372"/>
      <c r="BI53" s="372"/>
      <c r="BJ53" s="372"/>
      <c r="BK53" s="372"/>
      <c r="BL53" s="372"/>
      <c r="BM53" s="372"/>
      <c r="BN53" s="372"/>
      <c r="BO53" s="372"/>
      <c r="BP53" s="372"/>
      <c r="BQ53" s="372"/>
      <c r="BR53" s="372"/>
      <c r="BS53" s="372"/>
      <c r="BT53" s="372"/>
    </row>
    <row r="54" spans="1:72">
      <c r="A54" s="17"/>
      <c r="B54" s="17"/>
      <c r="E54" s="17" t="s">
        <v>269</v>
      </c>
      <c r="F54" s="268" t="e">
        <f>F26</f>
        <v>#VALUE!</v>
      </c>
      <c r="G54" s="268">
        <f t="shared" ref="G54:AI54" si="64">G26</f>
        <v>50231.056242490093</v>
      </c>
      <c r="H54" s="268">
        <f t="shared" si="64"/>
        <v>106816.64181085258</v>
      </c>
      <c r="I54" s="268">
        <f t="shared" si="64"/>
        <v>14585.552702053605</v>
      </c>
      <c r="J54" s="268">
        <f t="shared" si="64"/>
        <v>39994.300442658685</v>
      </c>
      <c r="K54" s="268">
        <f t="shared" si="64"/>
        <v>36306.595728013628</v>
      </c>
      <c r="L54" s="268">
        <f t="shared" si="64"/>
        <v>14259.730984150367</v>
      </c>
      <c r="M54" s="268">
        <f t="shared" si="64"/>
        <v>15986.538329212832</v>
      </c>
      <c r="N54" s="268" t="e">
        <f t="shared" si="64"/>
        <v>#VALUE!</v>
      </c>
      <c r="O54" s="268">
        <f t="shared" si="64"/>
        <v>12942.279641022304</v>
      </c>
      <c r="P54" s="268">
        <f t="shared" si="64"/>
        <v>12909.921178793802</v>
      </c>
      <c r="Q54" s="268">
        <f t="shared" si="64"/>
        <v>11907.435879195025</v>
      </c>
      <c r="R54" s="268">
        <f t="shared" si="64"/>
        <v>10844.520587210254</v>
      </c>
      <c r="S54" s="268">
        <f t="shared" si="64"/>
        <v>9725.2383916260496</v>
      </c>
      <c r="T54" s="268">
        <f t="shared" si="64"/>
        <v>8551.372371170246</v>
      </c>
      <c r="U54" s="268">
        <f t="shared" si="64"/>
        <v>7324.5981460394496</v>
      </c>
      <c r="V54" s="268">
        <f t="shared" si="64"/>
        <v>6046.7855317540243</v>
      </c>
      <c r="W54" s="268">
        <f t="shared" si="64"/>
        <v>4720.2945313571472</v>
      </c>
      <c r="X54" s="268">
        <f t="shared" si="64"/>
        <v>3347.9268325394069</v>
      </c>
      <c r="Y54" s="268">
        <f t="shared" si="64"/>
        <v>1932.764374133814</v>
      </c>
      <c r="Z54" s="268">
        <f t="shared" si="64"/>
        <v>477.92879540555577</v>
      </c>
      <c r="AA54" s="268"/>
      <c r="AB54" s="268"/>
      <c r="AC54" s="268" t="e">
        <f t="shared" si="64"/>
        <v>#VALUE!</v>
      </c>
      <c r="AD54" s="268">
        <f t="shared" si="64"/>
        <v>31581.662595117821</v>
      </c>
      <c r="AE54" s="268">
        <f t="shared" si="64"/>
        <v>85754.988180039581</v>
      </c>
      <c r="AF54" s="268">
        <f t="shared" si="64"/>
        <v>0</v>
      </c>
      <c r="AG54" s="268">
        <f t="shared" si="64"/>
        <v>22243.326303684153</v>
      </c>
      <c r="AH54" s="268">
        <f t="shared" si="64"/>
        <v>18685.889850697153</v>
      </c>
      <c r="AI54" s="268">
        <f t="shared" si="64"/>
        <v>0</v>
      </c>
      <c r="AJ54" s="268">
        <f>AJ26</f>
        <v>0</v>
      </c>
      <c r="AK54" s="268" t="e">
        <f t="shared" ref="AK54:BC54" si="65">AK26</f>
        <v>#VALUE!</v>
      </c>
      <c r="AL54" s="268">
        <f t="shared" si="65"/>
        <v>0</v>
      </c>
      <c r="AM54" s="268">
        <f t="shared" si="65"/>
        <v>0</v>
      </c>
      <c r="AN54" s="268">
        <f t="shared" si="65"/>
        <v>0</v>
      </c>
      <c r="AO54" s="268">
        <f t="shared" si="65"/>
        <v>0</v>
      </c>
      <c r="AP54" s="268">
        <f t="shared" si="65"/>
        <v>0</v>
      </c>
      <c r="AQ54" s="268">
        <f t="shared" si="65"/>
        <v>0</v>
      </c>
      <c r="AR54" s="268">
        <f t="shared" si="65"/>
        <v>0</v>
      </c>
      <c r="AS54" s="268">
        <f t="shared" si="65"/>
        <v>0</v>
      </c>
      <c r="AT54" s="268">
        <f t="shared" si="65"/>
        <v>0</v>
      </c>
      <c r="AU54" s="268">
        <f t="shared" si="65"/>
        <v>0</v>
      </c>
      <c r="AV54" s="268">
        <f t="shared" si="65"/>
        <v>0</v>
      </c>
      <c r="AW54" s="268">
        <f t="shared" si="65"/>
        <v>0</v>
      </c>
      <c r="AX54" s="268"/>
      <c r="AY54" s="268"/>
      <c r="AZ54" s="268" t="e">
        <f t="shared" si="65"/>
        <v>#VALUE!</v>
      </c>
      <c r="BA54" s="268">
        <f t="shared" si="65"/>
        <v>69710.055584208312</v>
      </c>
      <c r="BB54" s="268">
        <f t="shared" si="65"/>
        <v>128353.1523441389</v>
      </c>
      <c r="BC54" s="268">
        <f t="shared" si="65"/>
        <v>32053.073028082501</v>
      </c>
      <c r="BD54" s="268">
        <f>BD26</f>
        <v>58008.069861429831</v>
      </c>
      <c r="BE54" s="268">
        <f t="shared" ref="BE54:BT54" si="66">BE26</f>
        <v>54245.948394838837</v>
      </c>
      <c r="BF54" s="268">
        <f t="shared" si="66"/>
        <v>31435.260274277167</v>
      </c>
      <c r="BG54" s="268">
        <f t="shared" si="66"/>
        <v>33186.638297369238</v>
      </c>
      <c r="BH54" s="268" t="e">
        <f t="shared" si="66"/>
        <v>#VALUE!</v>
      </c>
      <c r="BI54" s="268">
        <f t="shared" si="66"/>
        <v>28406.549182598377</v>
      </c>
      <c r="BJ54" s="268">
        <f t="shared" si="66"/>
        <v>28335.526744955041</v>
      </c>
      <c r="BK54" s="268">
        <f t="shared" si="66"/>
        <v>26536.311204406273</v>
      </c>
      <c r="BL54" s="268">
        <f t="shared" si="66"/>
        <v>24617.321563378497</v>
      </c>
      <c r="BM54" s="268">
        <f t="shared" si="66"/>
        <v>22586.918070208361</v>
      </c>
      <c r="BN54" s="268">
        <f t="shared" si="66"/>
        <v>20448.419419940732</v>
      </c>
      <c r="BO54" s="268">
        <f t="shared" si="66"/>
        <v>18204.800802376249</v>
      </c>
      <c r="BP54" s="268">
        <f t="shared" si="66"/>
        <v>15859.318508066925</v>
      </c>
      <c r="BQ54" s="268">
        <f t="shared" si="66"/>
        <v>13416.216644835578</v>
      </c>
      <c r="BR54" s="268">
        <f t="shared" si="66"/>
        <v>10880.689771631585</v>
      </c>
      <c r="BS54" s="268">
        <f t="shared" si="66"/>
        <v>8258.6042054805603</v>
      </c>
      <c r="BT54" s="268">
        <f t="shared" si="66"/>
        <v>5555.7950088989455</v>
      </c>
    </row>
    <row r="55" spans="1:72">
      <c r="A55" s="17"/>
      <c r="B55" s="17"/>
      <c r="E55" s="162" t="s">
        <v>275</v>
      </c>
      <c r="F55" s="370" t="e">
        <f>'Data (Calculations)'!$E$99*F26</f>
        <v>#VALUE!</v>
      </c>
      <c r="G55" s="370">
        <f>'Data (Calculations)'!$E$99*G26</f>
        <v>10548.521810922919</v>
      </c>
      <c r="H55" s="370">
        <f>'Data (Calculations)'!$E$99*H26</f>
        <v>22431.494780279041</v>
      </c>
      <c r="I55" s="370">
        <f>'Data (Calculations)'!$E$99*I26</f>
        <v>3062.9660674312568</v>
      </c>
      <c r="J55" s="370">
        <f>'Data (Calculations)'!$E$99*J26</f>
        <v>8398.8030929583238</v>
      </c>
      <c r="K55" s="370">
        <f>'Data (Calculations)'!$E$99*K26</f>
        <v>7624.3851028828612</v>
      </c>
      <c r="L55" s="370">
        <f>'Data (Calculations)'!$E$99*L26</f>
        <v>2994.5435066715768</v>
      </c>
      <c r="M55" s="370">
        <f>'Data (Calculations)'!$E$99*M26</f>
        <v>3357.1730491346943</v>
      </c>
      <c r="N55" s="370" t="e">
        <f>'Data (Calculations)'!$E$99*N26</f>
        <v>#VALUE!</v>
      </c>
      <c r="O55" s="370">
        <f>'Data (Calculations)'!$E$99*O26</f>
        <v>2717.8787246146835</v>
      </c>
      <c r="P55" s="370">
        <f>'Data (Calculations)'!$E$99*P26</f>
        <v>2711.0834475466982</v>
      </c>
      <c r="Q55" s="370">
        <f>'Data (Calculations)'!$E$99*Q26</f>
        <v>2500.5615346309551</v>
      </c>
      <c r="R55" s="370">
        <f>'Data (Calculations)'!$E$99*R26</f>
        <v>2277.3493233141535</v>
      </c>
      <c r="S55" s="370">
        <f>'Data (Calculations)'!$E$99*S26</f>
        <v>2042.3000622414704</v>
      </c>
      <c r="T55" s="370">
        <f>'Data (Calculations)'!$E$99*T26</f>
        <v>1795.7881979457516</v>
      </c>
      <c r="U55" s="370">
        <f>'Data (Calculations)'!$E$99*U26</f>
        <v>1538.1656106682844</v>
      </c>
      <c r="V55" s="370">
        <f>'Data (Calculations)'!$E$99*V26</f>
        <v>1269.8249616683452</v>
      </c>
      <c r="W55" s="370">
        <f>'Data (Calculations)'!$E$99*W26</f>
        <v>991.26185158500084</v>
      </c>
      <c r="X55" s="370">
        <f>'Data (Calculations)'!$E$99*X26</f>
        <v>703.06463483327536</v>
      </c>
      <c r="Y55" s="370">
        <f>'Data (Calculations)'!$E$99*Y26</f>
        <v>405.88051856810091</v>
      </c>
      <c r="Z55" s="370">
        <f>'Data (Calculations)'!$E$99*Z26</f>
        <v>100.36504703516671</v>
      </c>
      <c r="AA55" s="370"/>
      <c r="AB55" s="370"/>
      <c r="AC55" s="370" t="e">
        <f>'Data (Calculations)'!$E$99*AC26</f>
        <v>#VALUE!</v>
      </c>
      <c r="AD55" s="370">
        <f>'Data (Calculations)'!$E$99*AD26</f>
        <v>6632.1491449747418</v>
      </c>
      <c r="AE55" s="370">
        <f>'Data (Calculations)'!$E$99*AE26</f>
        <v>18008.547517808311</v>
      </c>
      <c r="AF55" s="370">
        <f>'Data (Calculations)'!$E$99*AF26</f>
        <v>0</v>
      </c>
      <c r="AG55" s="370">
        <f>'Data (Calculations)'!$E$99*AG26</f>
        <v>4671.0985237736722</v>
      </c>
      <c r="AH55" s="370">
        <f>'Data (Calculations)'!$E$99*AH26</f>
        <v>3924.0368686464021</v>
      </c>
      <c r="AI55" s="370">
        <f>'Data (Calculations)'!$E$99*AI26</f>
        <v>0</v>
      </c>
      <c r="AJ55" s="370">
        <f>'Data (Calculations)'!$E$99*AJ26</f>
        <v>0</v>
      </c>
      <c r="AK55" s="370" t="e">
        <f>'Data (Calculations)'!$E$99*AK26</f>
        <v>#VALUE!</v>
      </c>
      <c r="AL55" s="370">
        <f>'Data (Calculations)'!$E$99*AL26</f>
        <v>0</v>
      </c>
      <c r="AM55" s="370">
        <f>'Data (Calculations)'!$E$99*AM26</f>
        <v>0</v>
      </c>
      <c r="AN55" s="370">
        <f>'Data (Calculations)'!$E$99*AN26</f>
        <v>0</v>
      </c>
      <c r="AO55" s="370">
        <f>'Data (Calculations)'!$E$99*AO26</f>
        <v>0</v>
      </c>
      <c r="AP55" s="370">
        <f>'Data (Calculations)'!$E$99*AP26</f>
        <v>0</v>
      </c>
      <c r="AQ55" s="370">
        <f>'Data (Calculations)'!$E$99*AQ26</f>
        <v>0</v>
      </c>
      <c r="AR55" s="370">
        <f>'Data (Calculations)'!$E$99*AR26</f>
        <v>0</v>
      </c>
      <c r="AS55" s="370">
        <f>'Data (Calculations)'!$E$99*AS26</f>
        <v>0</v>
      </c>
      <c r="AT55" s="370">
        <f>'Data (Calculations)'!$E$99*AT26</f>
        <v>0</v>
      </c>
      <c r="AU55" s="370">
        <f>'Data (Calculations)'!$E$99*AU26</f>
        <v>0</v>
      </c>
      <c r="AV55" s="370">
        <f>'Data (Calculations)'!$E$99*AV26</f>
        <v>0</v>
      </c>
      <c r="AW55" s="370">
        <f>'Data (Calculations)'!$E$99*AW26</f>
        <v>0</v>
      </c>
      <c r="AX55" s="370"/>
      <c r="AY55" s="370"/>
      <c r="AZ55" s="370" t="e">
        <f>'Data (Calculations)'!$E$99*AZ26</f>
        <v>#VALUE!</v>
      </c>
      <c r="BA55" s="370">
        <f>'Data (Calculations)'!$E$99*BA26</f>
        <v>14639.111672683744</v>
      </c>
      <c r="BB55" s="370">
        <f>'Data (Calculations)'!$E$99*BB26</f>
        <v>26954.161992269168</v>
      </c>
      <c r="BC55" s="370">
        <f>'Data (Calculations)'!$E$99*BC26</f>
        <v>6731.1453358973249</v>
      </c>
      <c r="BD55" s="370">
        <f>'Data (Calculations)'!$E$99*BD26</f>
        <v>12181.694670900264</v>
      </c>
      <c r="BE55" s="370">
        <f>'Data (Calculations)'!$E$99*BE26</f>
        <v>11391.649162916156</v>
      </c>
      <c r="BF55" s="370">
        <f>'Data (Calculations)'!$E$99*BF26</f>
        <v>6601.4046575982047</v>
      </c>
      <c r="BG55" s="370">
        <f>'Data (Calculations)'!$E$99*BG26</f>
        <v>6969.1940424475397</v>
      </c>
      <c r="BH55" s="370" t="e">
        <f>'Data (Calculations)'!$E$99*BH26</f>
        <v>#VALUE!</v>
      </c>
      <c r="BI55" s="370">
        <f>'Data (Calculations)'!$E$99*BI26</f>
        <v>5965.375328345659</v>
      </c>
      <c r="BJ55" s="370">
        <f>'Data (Calculations)'!$E$99*BJ26</f>
        <v>5950.4606164405586</v>
      </c>
      <c r="BK55" s="370">
        <f>'Data (Calculations)'!$E$99*BK26</f>
        <v>5572.6253529253172</v>
      </c>
      <c r="BL55" s="370">
        <f>'Data (Calculations)'!$E$99*BL26</f>
        <v>5169.637528309484</v>
      </c>
      <c r="BM55" s="370">
        <f>'Data (Calculations)'!$E$99*BM26</f>
        <v>4743.2527947437557</v>
      </c>
      <c r="BN55" s="370">
        <f>'Data (Calculations)'!$E$99*BN26</f>
        <v>4294.1680781875539</v>
      </c>
      <c r="BO55" s="370">
        <f>'Data (Calculations)'!$E$99*BO26</f>
        <v>3823.0081684990118</v>
      </c>
      <c r="BP55" s="370">
        <f>'Data (Calculations)'!$E$99*BP26</f>
        <v>3330.456886694054</v>
      </c>
      <c r="BQ55" s="370">
        <f>'Data (Calculations)'!$E$99*BQ26</f>
        <v>2817.4054954154713</v>
      </c>
      <c r="BR55" s="370">
        <f>'Data (Calculations)'!$E$99*BR26</f>
        <v>2284.9448520426326</v>
      </c>
      <c r="BS55" s="370">
        <f>'Data (Calculations)'!$E$99*BS26</f>
        <v>1734.3068831509177</v>
      </c>
      <c r="BT55" s="370">
        <f>'Data (Calculations)'!$E$99*BT26</f>
        <v>1166.7169518687786</v>
      </c>
    </row>
    <row r="56" spans="1:72">
      <c r="A56" s="17"/>
      <c r="B56" s="17"/>
      <c r="E56" s="162" t="s">
        <v>276</v>
      </c>
      <c r="F56" s="370" t="e">
        <f>'Data (Calculations)'!$E$100*F26</f>
        <v>#VALUE!</v>
      </c>
      <c r="G56" s="370">
        <f>'Data (Calculations)'!$E$100*G26</f>
        <v>4520.7950618241084</v>
      </c>
      <c r="H56" s="370">
        <f>'Data (Calculations)'!$E$100*H26</f>
        <v>9613.4977629767327</v>
      </c>
      <c r="I56" s="370">
        <f>'Data (Calculations)'!$E$100*I26</f>
        <v>1312.6997431848245</v>
      </c>
      <c r="J56" s="370">
        <f>'Data (Calculations)'!$E$100*J26</f>
        <v>3599.4870398392814</v>
      </c>
      <c r="K56" s="370">
        <f>'Data (Calculations)'!$E$100*K26</f>
        <v>3267.5936155212262</v>
      </c>
      <c r="L56" s="370">
        <f>'Data (Calculations)'!$E$100*L26</f>
        <v>1283.3757885735329</v>
      </c>
      <c r="M56" s="370">
        <f>'Data (Calculations)'!$E$100*M26</f>
        <v>1438.7884496291549</v>
      </c>
      <c r="N56" s="370" t="e">
        <f>'Data (Calculations)'!$E$100*N26</f>
        <v>#VALUE!</v>
      </c>
      <c r="O56" s="370">
        <f>'Data (Calculations)'!$E$100*O26</f>
        <v>1164.8051676920072</v>
      </c>
      <c r="P56" s="370">
        <f>'Data (Calculations)'!$E$100*P26</f>
        <v>1161.8929060914422</v>
      </c>
      <c r="Q56" s="370">
        <f>'Data (Calculations)'!$E$100*Q26</f>
        <v>1071.6692291275522</v>
      </c>
      <c r="R56" s="370">
        <f>'Data (Calculations)'!$E$100*R26</f>
        <v>976.00685284892279</v>
      </c>
      <c r="S56" s="370">
        <f>'Data (Calculations)'!$E$100*S26</f>
        <v>875.27145524634443</v>
      </c>
      <c r="T56" s="370">
        <f>'Data (Calculations)'!$E$100*T26</f>
        <v>769.62351340532211</v>
      </c>
      <c r="U56" s="370">
        <f>'Data (Calculations)'!$E$100*U26</f>
        <v>659.21383314355046</v>
      </c>
      <c r="V56" s="370">
        <f>'Data (Calculations)'!$E$100*V26</f>
        <v>544.21069785786221</v>
      </c>
      <c r="W56" s="370">
        <f>'Data (Calculations)'!$E$100*W26</f>
        <v>424.82650782214324</v>
      </c>
      <c r="X56" s="370">
        <f>'Data (Calculations)'!$E$100*X26</f>
        <v>301.31341492854659</v>
      </c>
      <c r="Y56" s="370">
        <f>'Data (Calculations)'!$E$100*Y26</f>
        <v>173.94879367204325</v>
      </c>
      <c r="Z56" s="370">
        <f>'Data (Calculations)'!$E$100*Z26</f>
        <v>43.01359158650002</v>
      </c>
      <c r="AA56" s="370"/>
      <c r="AB56" s="370"/>
      <c r="AC56" s="370" t="e">
        <f>'Data (Calculations)'!$E$100*AC26</f>
        <v>#VALUE!</v>
      </c>
      <c r="AD56" s="370">
        <f>'Data (Calculations)'!$E$100*AD26</f>
        <v>2842.3496335606037</v>
      </c>
      <c r="AE56" s="370">
        <f>'Data (Calculations)'!$E$100*AE26</f>
        <v>7717.948936203562</v>
      </c>
      <c r="AF56" s="370">
        <f>'Data (Calculations)'!$E$100*AF26</f>
        <v>0</v>
      </c>
      <c r="AG56" s="370">
        <f>'Data (Calculations)'!$E$100*AG26</f>
        <v>2001.8993673315736</v>
      </c>
      <c r="AH56" s="370">
        <f>'Data (Calculations)'!$E$100*AH26</f>
        <v>1681.7300865627437</v>
      </c>
      <c r="AI56" s="370">
        <f>'Data (Calculations)'!$E$100*AI26</f>
        <v>0</v>
      </c>
      <c r="AJ56" s="370">
        <f>'Data (Calculations)'!$E$100*AJ26</f>
        <v>0</v>
      </c>
      <c r="AK56" s="370" t="e">
        <f>'Data (Calculations)'!$E$100*AK26</f>
        <v>#VALUE!</v>
      </c>
      <c r="AL56" s="370">
        <f>'Data (Calculations)'!$E$100*AL26</f>
        <v>0</v>
      </c>
      <c r="AM56" s="370">
        <f>'Data (Calculations)'!$E$100*AM26</f>
        <v>0</v>
      </c>
      <c r="AN56" s="370">
        <f>'Data (Calculations)'!$E$100*AN26</f>
        <v>0</v>
      </c>
      <c r="AO56" s="370">
        <f>'Data (Calculations)'!$E$100*AO26</f>
        <v>0</v>
      </c>
      <c r="AP56" s="370">
        <f>'Data (Calculations)'!$E$100*AP26</f>
        <v>0</v>
      </c>
      <c r="AQ56" s="370">
        <f>'Data (Calculations)'!$E$100*AQ26</f>
        <v>0</v>
      </c>
      <c r="AR56" s="370">
        <f>'Data (Calculations)'!$E$100*AR26</f>
        <v>0</v>
      </c>
      <c r="AS56" s="370">
        <f>'Data (Calculations)'!$E$100*AS26</f>
        <v>0</v>
      </c>
      <c r="AT56" s="370">
        <f>'Data (Calculations)'!$E$100*AT26</f>
        <v>0</v>
      </c>
      <c r="AU56" s="370">
        <f>'Data (Calculations)'!$E$100*AU26</f>
        <v>0</v>
      </c>
      <c r="AV56" s="370">
        <f>'Data (Calculations)'!$E$100*AV26</f>
        <v>0</v>
      </c>
      <c r="AW56" s="370">
        <f>'Data (Calculations)'!$E$100*AW26</f>
        <v>0</v>
      </c>
      <c r="AX56" s="370"/>
      <c r="AY56" s="370"/>
      <c r="AZ56" s="370" t="e">
        <f>'Data (Calculations)'!$E$100*AZ26</f>
        <v>#VALUE!</v>
      </c>
      <c r="BA56" s="370">
        <f>'Data (Calculations)'!$E$100*BA26</f>
        <v>6273.9050025787483</v>
      </c>
      <c r="BB56" s="370">
        <f>'Data (Calculations)'!$E$100*BB26</f>
        <v>11551.783710972501</v>
      </c>
      <c r="BC56" s="370">
        <f>'Data (Calculations)'!$E$100*BC26</f>
        <v>2884.7765725274248</v>
      </c>
      <c r="BD56" s="370">
        <f>'Data (Calculations)'!$E$100*BD26</f>
        <v>5220.7262875286842</v>
      </c>
      <c r="BE56" s="370">
        <f>'Data (Calculations)'!$E$100*BE26</f>
        <v>4882.1353555354954</v>
      </c>
      <c r="BF56" s="370">
        <f>'Data (Calculations)'!$E$100*BF26</f>
        <v>2829.1734246849451</v>
      </c>
      <c r="BG56" s="370">
        <f>'Data (Calculations)'!$E$100*BG26</f>
        <v>2986.7974467632312</v>
      </c>
      <c r="BH56" s="370" t="e">
        <f>'Data (Calculations)'!$E$100*BH26</f>
        <v>#VALUE!</v>
      </c>
      <c r="BI56" s="370">
        <f>'Data (Calculations)'!$E$100*BI26</f>
        <v>2556.589426433854</v>
      </c>
      <c r="BJ56" s="370">
        <f>'Data (Calculations)'!$E$100*BJ26</f>
        <v>2550.1974070459537</v>
      </c>
      <c r="BK56" s="370">
        <f>'Data (Calculations)'!$E$100*BK26</f>
        <v>2388.2680083965643</v>
      </c>
      <c r="BL56" s="370">
        <f>'Data (Calculations)'!$E$100*BL26</f>
        <v>2215.5589407040648</v>
      </c>
      <c r="BM56" s="370">
        <f>'Data (Calculations)'!$E$100*BM26</f>
        <v>2032.8226263187526</v>
      </c>
      <c r="BN56" s="370">
        <f>'Data (Calculations)'!$E$100*BN26</f>
        <v>1840.3577477946658</v>
      </c>
      <c r="BO56" s="370">
        <f>'Data (Calculations)'!$E$100*BO26</f>
        <v>1638.4320722138623</v>
      </c>
      <c r="BP56" s="370">
        <f>'Data (Calculations)'!$E$100*BP26</f>
        <v>1427.3386657260232</v>
      </c>
      <c r="BQ56" s="370">
        <f>'Data (Calculations)'!$E$100*BQ26</f>
        <v>1207.4594980352019</v>
      </c>
      <c r="BR56" s="370">
        <f>'Data (Calculations)'!$E$100*BR26</f>
        <v>979.26207944684268</v>
      </c>
      <c r="BS56" s="370">
        <f>'Data (Calculations)'!$E$100*BS26</f>
        <v>743.27437849325042</v>
      </c>
      <c r="BT56" s="370">
        <f>'Data (Calculations)'!$E$100*BT26</f>
        <v>500.02155080090506</v>
      </c>
    </row>
    <row r="57" spans="1:72">
      <c r="A57" s="17"/>
      <c r="B57" s="17"/>
      <c r="E57" s="60" t="s">
        <v>277</v>
      </c>
      <c r="F57" s="370" t="e">
        <f>'Data (Calculations)'!$E$101*F26</f>
        <v>#VALUE!</v>
      </c>
      <c r="G57" s="370">
        <f>'Data (Calculations)'!$E$101*G26</f>
        <v>3013.8633745494053</v>
      </c>
      <c r="H57" s="370">
        <f>'Data (Calculations)'!$E$101*H26</f>
        <v>6408.9985086511551</v>
      </c>
      <c r="I57" s="370">
        <f>'Data (Calculations)'!$E$101*I26</f>
        <v>875.13316212321627</v>
      </c>
      <c r="J57" s="370">
        <f>'Data (Calculations)'!$E$101*J26</f>
        <v>2399.6580265595212</v>
      </c>
      <c r="K57" s="370">
        <f>'Data (Calculations)'!$E$101*K26</f>
        <v>2178.3957436808178</v>
      </c>
      <c r="L57" s="370">
        <f>'Data (Calculations)'!$E$101*L26</f>
        <v>855.58385904902195</v>
      </c>
      <c r="M57" s="370">
        <f>'Data (Calculations)'!$E$101*M26</f>
        <v>959.19229975276983</v>
      </c>
      <c r="N57" s="370" t="e">
        <f>'Data (Calculations)'!$E$101*N26</f>
        <v>#VALUE!</v>
      </c>
      <c r="O57" s="370">
        <f>'Data (Calculations)'!$E$101*O26</f>
        <v>776.53677846133814</v>
      </c>
      <c r="P57" s="370">
        <f>'Data (Calculations)'!$E$101*P26</f>
        <v>774.59527072762808</v>
      </c>
      <c r="Q57" s="370">
        <f>'Data (Calculations)'!$E$101*Q26</f>
        <v>714.44615275170145</v>
      </c>
      <c r="R57" s="370">
        <f>'Data (Calculations)'!$E$101*R26</f>
        <v>650.67123523261523</v>
      </c>
      <c r="S57" s="370">
        <f>'Data (Calculations)'!$E$101*S26</f>
        <v>583.51430349756299</v>
      </c>
      <c r="T57" s="370">
        <f>'Data (Calculations)'!$E$101*T26</f>
        <v>513.08234227021478</v>
      </c>
      <c r="U57" s="370">
        <f>'Data (Calculations)'!$E$101*U26</f>
        <v>439.47588876236694</v>
      </c>
      <c r="V57" s="370">
        <f>'Data (Calculations)'!$E$101*V26</f>
        <v>362.80713190524142</v>
      </c>
      <c r="W57" s="370">
        <f>'Data (Calculations)'!$E$101*W26</f>
        <v>283.21767188142883</v>
      </c>
      <c r="X57" s="370">
        <f>'Data (Calculations)'!$E$101*X26</f>
        <v>200.87560995236441</v>
      </c>
      <c r="Y57" s="370">
        <f>'Data (Calculations)'!$E$101*Y26</f>
        <v>115.96586244802884</v>
      </c>
      <c r="Z57" s="370">
        <f>'Data (Calculations)'!$E$101*Z26</f>
        <v>28.675727724333345</v>
      </c>
      <c r="AA57" s="370"/>
      <c r="AB57" s="370"/>
      <c r="AC57" s="370" t="e">
        <f>'Data (Calculations)'!$E$101*AC26</f>
        <v>#VALUE!</v>
      </c>
      <c r="AD57" s="370">
        <f>'Data (Calculations)'!$E$101*AD26</f>
        <v>1894.8997557070693</v>
      </c>
      <c r="AE57" s="370">
        <f>'Data (Calculations)'!$E$101*AE26</f>
        <v>5145.2992908023743</v>
      </c>
      <c r="AF57" s="370">
        <f>'Data (Calculations)'!$E$101*AF26</f>
        <v>0</v>
      </c>
      <c r="AG57" s="370">
        <f>'Data (Calculations)'!$E$101*AG26</f>
        <v>1334.5995782210491</v>
      </c>
      <c r="AH57" s="370">
        <f>'Data (Calculations)'!$E$101*AH26</f>
        <v>1121.1533910418291</v>
      </c>
      <c r="AI57" s="370">
        <f>'Data (Calculations)'!$E$101*AI26</f>
        <v>0</v>
      </c>
      <c r="AJ57" s="370">
        <f>'Data (Calculations)'!$E$101*AJ26</f>
        <v>0</v>
      </c>
      <c r="AK57" s="370" t="e">
        <f>'Data (Calculations)'!$E$101*AK26</f>
        <v>#VALUE!</v>
      </c>
      <c r="AL57" s="370">
        <f>'Data (Calculations)'!$E$101*AL26</f>
        <v>0</v>
      </c>
      <c r="AM57" s="370">
        <f>'Data (Calculations)'!$E$101*AM26</f>
        <v>0</v>
      </c>
      <c r="AN57" s="370">
        <f>'Data (Calculations)'!$E$101*AN26</f>
        <v>0</v>
      </c>
      <c r="AO57" s="370">
        <f>'Data (Calculations)'!$E$101*AO26</f>
        <v>0</v>
      </c>
      <c r="AP57" s="370">
        <f>'Data (Calculations)'!$E$101*AP26</f>
        <v>0</v>
      </c>
      <c r="AQ57" s="370">
        <f>'Data (Calculations)'!$E$101*AQ26</f>
        <v>0</v>
      </c>
      <c r="AR57" s="370">
        <f>'Data (Calculations)'!$E$101*AR26</f>
        <v>0</v>
      </c>
      <c r="AS57" s="370">
        <f>'Data (Calculations)'!$E$101*AS26</f>
        <v>0</v>
      </c>
      <c r="AT57" s="370">
        <f>'Data (Calculations)'!$E$101*AT26</f>
        <v>0</v>
      </c>
      <c r="AU57" s="370">
        <f>'Data (Calculations)'!$E$101*AU26</f>
        <v>0</v>
      </c>
      <c r="AV57" s="370">
        <f>'Data (Calculations)'!$E$101*AV26</f>
        <v>0</v>
      </c>
      <c r="AW57" s="370">
        <f>'Data (Calculations)'!$E$101*AW26</f>
        <v>0</v>
      </c>
      <c r="AX57" s="370"/>
      <c r="AY57" s="370"/>
      <c r="AZ57" s="370" t="e">
        <f>'Data (Calculations)'!$E$101*AZ26</f>
        <v>#VALUE!</v>
      </c>
      <c r="BA57" s="370">
        <f>'Data (Calculations)'!$E$101*BA26</f>
        <v>4182.6033350524986</v>
      </c>
      <c r="BB57" s="370">
        <f>'Data (Calculations)'!$E$101*BB26</f>
        <v>7701.1891406483337</v>
      </c>
      <c r="BC57" s="370">
        <f>'Data (Calculations)'!$E$101*BC26</f>
        <v>1923.18438168495</v>
      </c>
      <c r="BD57" s="370">
        <f>'Data (Calculations)'!$E$101*BD26</f>
        <v>3480.4841916857899</v>
      </c>
      <c r="BE57" s="370">
        <f>'Data (Calculations)'!$E$101*BE26</f>
        <v>3254.7569036903301</v>
      </c>
      <c r="BF57" s="370">
        <f>'Data (Calculations)'!$E$101*BF26</f>
        <v>1886.1156164566301</v>
      </c>
      <c r="BG57" s="370">
        <f>'Data (Calculations)'!$E$101*BG26</f>
        <v>1991.1982978421543</v>
      </c>
      <c r="BH57" s="370" t="e">
        <f>'Data (Calculations)'!$E$101*BH26</f>
        <v>#VALUE!</v>
      </c>
      <c r="BI57" s="370">
        <f>'Data (Calculations)'!$E$101*BI26</f>
        <v>1704.3929509559025</v>
      </c>
      <c r="BJ57" s="370">
        <f>'Data (Calculations)'!$E$101*BJ26</f>
        <v>1700.1316046973025</v>
      </c>
      <c r="BK57" s="370">
        <f>'Data (Calculations)'!$E$101*BK26</f>
        <v>1592.1786722643762</v>
      </c>
      <c r="BL57" s="370">
        <f>'Data (Calculations)'!$E$101*BL26</f>
        <v>1477.0392938027098</v>
      </c>
      <c r="BM57" s="370">
        <f>'Data (Calculations)'!$E$101*BM26</f>
        <v>1355.2150842125016</v>
      </c>
      <c r="BN57" s="370">
        <f>'Data (Calculations)'!$E$101*BN26</f>
        <v>1226.9051651964439</v>
      </c>
      <c r="BO57" s="370">
        <f>'Data (Calculations)'!$E$101*BO26</f>
        <v>1092.2880481425748</v>
      </c>
      <c r="BP57" s="370">
        <f>'Data (Calculations)'!$E$101*BP26</f>
        <v>951.55911048401549</v>
      </c>
      <c r="BQ57" s="370">
        <f>'Data (Calculations)'!$E$101*BQ26</f>
        <v>804.97299869013466</v>
      </c>
      <c r="BR57" s="370">
        <f>'Data (Calculations)'!$E$101*BR26</f>
        <v>652.84138629789504</v>
      </c>
      <c r="BS57" s="370">
        <f>'Data (Calculations)'!$E$101*BS26</f>
        <v>495.51625232883362</v>
      </c>
      <c r="BT57" s="370">
        <f>'Data (Calculations)'!$E$101*BT26</f>
        <v>333.34770053393675</v>
      </c>
    </row>
    <row r="58" spans="1:72">
      <c r="A58" s="17"/>
      <c r="B58" s="17"/>
      <c r="E58" s="60" t="s">
        <v>278</v>
      </c>
      <c r="F58" s="370" t="e">
        <f>'Data (Calculations)'!$E$102*F26</f>
        <v>#VALUE!</v>
      </c>
      <c r="G58" s="370">
        <f>'Data (Calculations)'!$E$102*G26</f>
        <v>7534.6584363735137</v>
      </c>
      <c r="H58" s="370">
        <f>'Data (Calculations)'!$E$102*H26</f>
        <v>16022.496271627886</v>
      </c>
      <c r="I58" s="370">
        <f>'Data (Calculations)'!$E$102*I26</f>
        <v>2187.8329053080406</v>
      </c>
      <c r="J58" s="370">
        <f>'Data (Calculations)'!$E$102*J26</f>
        <v>5999.1450663988026</v>
      </c>
      <c r="K58" s="370">
        <f>'Data (Calculations)'!$E$102*K26</f>
        <v>5445.9893592020444</v>
      </c>
      <c r="L58" s="370">
        <f>'Data (Calculations)'!$E$102*L26</f>
        <v>2138.9596476225547</v>
      </c>
      <c r="M58" s="370">
        <f>'Data (Calculations)'!$E$102*M26</f>
        <v>2397.9807493819249</v>
      </c>
      <c r="N58" s="370" t="e">
        <f>'Data (Calculations)'!$E$102*N26</f>
        <v>#VALUE!</v>
      </c>
      <c r="O58" s="370">
        <f>'Data (Calculations)'!$E$102*O26</f>
        <v>1941.3419461533454</v>
      </c>
      <c r="P58" s="370">
        <f>'Data (Calculations)'!$E$102*P26</f>
        <v>1936.4881768190703</v>
      </c>
      <c r="Q58" s="370">
        <f>'Data (Calculations)'!$E$102*Q26</f>
        <v>1786.1153818792538</v>
      </c>
      <c r="R58" s="370">
        <f>'Data (Calculations)'!$E$102*R26</f>
        <v>1626.6780880815381</v>
      </c>
      <c r="S58" s="370">
        <f>'Data (Calculations)'!$E$102*S26</f>
        <v>1458.7857587439073</v>
      </c>
      <c r="T58" s="370">
        <f>'Data (Calculations)'!$E$102*T26</f>
        <v>1282.7058556755369</v>
      </c>
      <c r="U58" s="370">
        <f>'Data (Calculations)'!$E$102*U26</f>
        <v>1098.6897219059174</v>
      </c>
      <c r="V58" s="370">
        <f>'Data (Calculations)'!$E$102*V26</f>
        <v>907.01782976310358</v>
      </c>
      <c r="W58" s="370">
        <f>'Data (Calculations)'!$E$102*W26</f>
        <v>708.04417970357201</v>
      </c>
      <c r="X58" s="370">
        <f>'Data (Calculations)'!$E$102*X26</f>
        <v>502.18902488091101</v>
      </c>
      <c r="Y58" s="370">
        <f>'Data (Calculations)'!$E$102*Y26</f>
        <v>289.9146561200721</v>
      </c>
      <c r="Z58" s="370">
        <f>'Data (Calculations)'!$E$102*Z26</f>
        <v>71.689319310833369</v>
      </c>
      <c r="AA58" s="370"/>
      <c r="AB58" s="370"/>
      <c r="AC58" s="370" t="e">
        <f>'Data (Calculations)'!$E$102*AC26</f>
        <v>#VALUE!</v>
      </c>
      <c r="AD58" s="370">
        <f>'Data (Calculations)'!$E$102*AD26</f>
        <v>4737.249389267673</v>
      </c>
      <c r="AE58" s="370">
        <f>'Data (Calculations)'!$E$102*AE26</f>
        <v>12863.248227005937</v>
      </c>
      <c r="AF58" s="370">
        <f>'Data (Calculations)'!$E$102*AF26</f>
        <v>0</v>
      </c>
      <c r="AG58" s="370">
        <f>'Data (Calculations)'!$E$102*AG26</f>
        <v>3336.4989455526229</v>
      </c>
      <c r="AH58" s="370">
        <f>'Data (Calculations)'!$E$102*AH26</f>
        <v>2802.8834776045728</v>
      </c>
      <c r="AI58" s="370">
        <f>'Data (Calculations)'!$E$102*AI26</f>
        <v>0</v>
      </c>
      <c r="AJ58" s="370">
        <f>'Data (Calculations)'!$E$102*AJ26</f>
        <v>0</v>
      </c>
      <c r="AK58" s="370" t="e">
        <f>'Data (Calculations)'!$E$102*AK26</f>
        <v>#VALUE!</v>
      </c>
      <c r="AL58" s="370">
        <f>'Data (Calculations)'!$E$102*AL26</f>
        <v>0</v>
      </c>
      <c r="AM58" s="370">
        <f>'Data (Calculations)'!$E$102*AM26</f>
        <v>0</v>
      </c>
      <c r="AN58" s="370">
        <f>'Data (Calculations)'!$E$102*AN26</f>
        <v>0</v>
      </c>
      <c r="AO58" s="370">
        <f>'Data (Calculations)'!$E$102*AO26</f>
        <v>0</v>
      </c>
      <c r="AP58" s="370">
        <f>'Data (Calculations)'!$E$102*AP26</f>
        <v>0</v>
      </c>
      <c r="AQ58" s="370">
        <f>'Data (Calculations)'!$E$102*AQ26</f>
        <v>0</v>
      </c>
      <c r="AR58" s="370">
        <f>'Data (Calculations)'!$E$102*AR26</f>
        <v>0</v>
      </c>
      <c r="AS58" s="370">
        <f>'Data (Calculations)'!$E$102*AS26</f>
        <v>0</v>
      </c>
      <c r="AT58" s="370">
        <f>'Data (Calculations)'!$E$102*AT26</f>
        <v>0</v>
      </c>
      <c r="AU58" s="370">
        <f>'Data (Calculations)'!$E$102*AU26</f>
        <v>0</v>
      </c>
      <c r="AV58" s="370">
        <f>'Data (Calculations)'!$E$102*AV26</f>
        <v>0</v>
      </c>
      <c r="AW58" s="370">
        <f>'Data (Calculations)'!$E$102*AW26</f>
        <v>0</v>
      </c>
      <c r="AX58" s="370"/>
      <c r="AY58" s="370"/>
      <c r="AZ58" s="370" t="e">
        <f>'Data (Calculations)'!$E$102*AZ26</f>
        <v>#VALUE!</v>
      </c>
      <c r="BA58" s="370">
        <f>'Data (Calculations)'!$E$102*BA26</f>
        <v>10456.508337631247</v>
      </c>
      <c r="BB58" s="370">
        <f>'Data (Calculations)'!$E$102*BB26</f>
        <v>19252.972851620834</v>
      </c>
      <c r="BC58" s="370">
        <f>'Data (Calculations)'!$E$102*BC26</f>
        <v>4807.9609542123753</v>
      </c>
      <c r="BD58" s="370">
        <f>'Data (Calculations)'!$E$102*BD26</f>
        <v>8701.2104792144746</v>
      </c>
      <c r="BE58" s="370">
        <f>'Data (Calculations)'!$E$102*BE26</f>
        <v>8136.892259225825</v>
      </c>
      <c r="BF58" s="370">
        <f>'Data (Calculations)'!$E$102*BF26</f>
        <v>4715.2890411415747</v>
      </c>
      <c r="BG58" s="370">
        <f>'Data (Calculations)'!$E$102*BG26</f>
        <v>4977.9957446053859</v>
      </c>
      <c r="BH58" s="370" t="e">
        <f>'Data (Calculations)'!$E$102*BH26</f>
        <v>#VALUE!</v>
      </c>
      <c r="BI58" s="370">
        <f>'Data (Calculations)'!$E$102*BI26</f>
        <v>4260.982377389756</v>
      </c>
      <c r="BJ58" s="370">
        <f>'Data (Calculations)'!$E$102*BJ26</f>
        <v>4250.3290117432562</v>
      </c>
      <c r="BK58" s="370">
        <f>'Data (Calculations)'!$E$102*BK26</f>
        <v>3980.4466806609407</v>
      </c>
      <c r="BL58" s="370">
        <f>'Data (Calculations)'!$E$102*BL26</f>
        <v>3692.5982345067741</v>
      </c>
      <c r="BM58" s="370">
        <f>'Data (Calculations)'!$E$102*BM26</f>
        <v>3388.0377105312541</v>
      </c>
      <c r="BN58" s="370">
        <f>'Data (Calculations)'!$E$102*BN26</f>
        <v>3067.2629129911097</v>
      </c>
      <c r="BO58" s="370">
        <f>'Data (Calculations)'!$E$102*BO26</f>
        <v>2730.7201203564373</v>
      </c>
      <c r="BP58" s="370">
        <f>'Data (Calculations)'!$E$102*BP26</f>
        <v>2378.8977762100385</v>
      </c>
      <c r="BQ58" s="370">
        <f>'Data (Calculations)'!$E$102*BQ26</f>
        <v>2012.4324967253367</v>
      </c>
      <c r="BR58" s="370">
        <f>'Data (Calculations)'!$E$102*BR26</f>
        <v>1632.1034657447378</v>
      </c>
      <c r="BS58" s="370">
        <f>'Data (Calculations)'!$E$102*BS26</f>
        <v>1238.790630822084</v>
      </c>
      <c r="BT58" s="370">
        <f>'Data (Calculations)'!$E$102*BT26</f>
        <v>833.36925133484181</v>
      </c>
    </row>
    <row r="59" spans="1:72">
      <c r="A59" s="17"/>
      <c r="B59" s="17"/>
      <c r="E59" s="60"/>
      <c r="F59" s="370"/>
      <c r="G59" s="370"/>
      <c r="H59" s="370"/>
      <c r="I59" s="370"/>
      <c r="J59" s="370"/>
      <c r="K59" s="370"/>
      <c r="L59" s="370"/>
      <c r="M59" s="370"/>
      <c r="N59" s="370"/>
      <c r="O59" s="370"/>
      <c r="P59" s="370"/>
      <c r="Q59" s="370"/>
      <c r="R59" s="370"/>
      <c r="S59" s="370"/>
      <c r="T59" s="370"/>
      <c r="U59" s="370"/>
      <c r="V59" s="370"/>
      <c r="W59" s="370"/>
      <c r="X59" s="370"/>
      <c r="Y59" s="370"/>
      <c r="Z59" s="370"/>
      <c r="AA59" s="370"/>
      <c r="AB59" s="370"/>
      <c r="AC59" s="370"/>
      <c r="AD59" s="370"/>
      <c r="AE59" s="370"/>
      <c r="AF59" s="370"/>
      <c r="AG59" s="370"/>
      <c r="AH59" s="370"/>
      <c r="AI59" s="370"/>
      <c r="AJ59" s="370"/>
      <c r="AK59" s="370"/>
      <c r="AL59" s="370"/>
      <c r="AM59" s="370"/>
      <c r="AN59" s="370"/>
      <c r="AO59" s="370"/>
      <c r="AP59" s="370"/>
      <c r="AQ59" s="370"/>
      <c r="AR59" s="370"/>
      <c r="AS59" s="370"/>
      <c r="AT59" s="370"/>
      <c r="AU59" s="370"/>
      <c r="AV59" s="370"/>
      <c r="AW59" s="370"/>
      <c r="AX59" s="370"/>
      <c r="AY59" s="370"/>
      <c r="AZ59" s="370"/>
      <c r="BA59" s="370"/>
      <c r="BB59" s="370"/>
      <c r="BC59" s="370"/>
      <c r="BD59" s="370"/>
      <c r="BE59" s="370"/>
      <c r="BF59" s="370"/>
      <c r="BG59" s="370"/>
      <c r="BH59" s="370"/>
      <c r="BI59" s="370"/>
      <c r="BJ59" s="370"/>
      <c r="BK59" s="370"/>
      <c r="BL59" s="370"/>
      <c r="BM59" s="370"/>
      <c r="BN59" s="370"/>
      <c r="BO59" s="370"/>
      <c r="BP59" s="370"/>
      <c r="BQ59" s="370"/>
      <c r="BR59" s="370"/>
      <c r="BS59" s="370"/>
      <c r="BT59" s="370"/>
    </row>
    <row r="60" spans="1:72">
      <c r="A60" s="17"/>
      <c r="B60" s="17"/>
      <c r="E60" s="86" t="s">
        <v>102</v>
      </c>
      <c r="F60" s="268" t="e">
        <f>F54-SUM(F55:F58)</f>
        <v>#VALUE!</v>
      </c>
      <c r="G60" s="268">
        <f t="shared" ref="G60:AI60" si="67">G54-SUM(G55:G58)</f>
        <v>24613.217558820146</v>
      </c>
      <c r="H60" s="268">
        <f t="shared" si="67"/>
        <v>52340.154487317777</v>
      </c>
      <c r="I60" s="268">
        <f t="shared" si="67"/>
        <v>7146.9208240062662</v>
      </c>
      <c r="J60" s="268">
        <f t="shared" si="67"/>
        <v>19597.207216902756</v>
      </c>
      <c r="K60" s="268">
        <f t="shared" si="67"/>
        <v>17790.23190672668</v>
      </c>
      <c r="L60" s="268">
        <f t="shared" si="67"/>
        <v>6987.2681822336799</v>
      </c>
      <c r="M60" s="268">
        <f t="shared" si="67"/>
        <v>7833.4037813142877</v>
      </c>
      <c r="N60" s="268" t="e">
        <f t="shared" si="67"/>
        <v>#VALUE!</v>
      </c>
      <c r="O60" s="268">
        <f t="shared" si="67"/>
        <v>6341.7170241009298</v>
      </c>
      <c r="P60" s="268">
        <f t="shared" si="67"/>
        <v>6325.8613776089624</v>
      </c>
      <c r="Q60" s="268">
        <f t="shared" si="67"/>
        <v>5834.643580805563</v>
      </c>
      <c r="R60" s="268">
        <f t="shared" si="67"/>
        <v>5313.8150877330245</v>
      </c>
      <c r="S60" s="268">
        <f t="shared" si="67"/>
        <v>4765.3668118967644</v>
      </c>
      <c r="T60" s="268">
        <f t="shared" si="67"/>
        <v>4190.1724618734206</v>
      </c>
      <c r="U60" s="268">
        <f t="shared" si="67"/>
        <v>3589.0530915593304</v>
      </c>
      <c r="V60" s="268">
        <f t="shared" si="67"/>
        <v>2962.9249105594718</v>
      </c>
      <c r="W60" s="268">
        <f t="shared" si="67"/>
        <v>2312.9443203650026</v>
      </c>
      <c r="X60" s="268">
        <f t="shared" si="67"/>
        <v>1640.4841479443094</v>
      </c>
      <c r="Y60" s="268">
        <f t="shared" si="67"/>
        <v>947.05454332556894</v>
      </c>
      <c r="Z60" s="268">
        <f t="shared" si="67"/>
        <v>234.18510974872231</v>
      </c>
      <c r="AA60" s="268"/>
      <c r="AB60" s="268"/>
      <c r="AC60" s="268" t="e">
        <f t="shared" si="67"/>
        <v>#VALUE!</v>
      </c>
      <c r="AD60" s="268">
        <f t="shared" si="67"/>
        <v>15475.014671607732</v>
      </c>
      <c r="AE60" s="268">
        <f t="shared" si="67"/>
        <v>42019.9442082194</v>
      </c>
      <c r="AF60" s="268">
        <f t="shared" si="67"/>
        <v>0</v>
      </c>
      <c r="AG60" s="268">
        <f t="shared" si="67"/>
        <v>10899.229888805236</v>
      </c>
      <c r="AH60" s="268">
        <f t="shared" si="67"/>
        <v>9156.0860268416054</v>
      </c>
      <c r="AI60" s="268">
        <f t="shared" si="67"/>
        <v>0</v>
      </c>
      <c r="AJ60" s="268">
        <f>AJ54-SUM(AJ55:AJ58)</f>
        <v>0</v>
      </c>
      <c r="AK60" s="268" t="e">
        <f t="shared" ref="AK60:BC60" si="68">AK54-SUM(AK55:AK58)</f>
        <v>#VALUE!</v>
      </c>
      <c r="AL60" s="268">
        <f t="shared" si="68"/>
        <v>0</v>
      </c>
      <c r="AM60" s="268">
        <f t="shared" si="68"/>
        <v>0</v>
      </c>
      <c r="AN60" s="268">
        <f t="shared" si="68"/>
        <v>0</v>
      </c>
      <c r="AO60" s="268">
        <f t="shared" si="68"/>
        <v>0</v>
      </c>
      <c r="AP60" s="268">
        <f t="shared" si="68"/>
        <v>0</v>
      </c>
      <c r="AQ60" s="268">
        <f t="shared" si="68"/>
        <v>0</v>
      </c>
      <c r="AR60" s="268">
        <f t="shared" si="68"/>
        <v>0</v>
      </c>
      <c r="AS60" s="268">
        <f t="shared" si="68"/>
        <v>0</v>
      </c>
      <c r="AT60" s="268">
        <f t="shared" si="68"/>
        <v>0</v>
      </c>
      <c r="AU60" s="268">
        <f t="shared" si="68"/>
        <v>0</v>
      </c>
      <c r="AV60" s="268">
        <f t="shared" si="68"/>
        <v>0</v>
      </c>
      <c r="AW60" s="268">
        <f t="shared" si="68"/>
        <v>0</v>
      </c>
      <c r="AX60" s="268"/>
      <c r="AY60" s="268"/>
      <c r="AZ60" s="268" t="e">
        <f t="shared" si="68"/>
        <v>#VALUE!</v>
      </c>
      <c r="BA60" s="268">
        <f t="shared" si="68"/>
        <v>34157.927236262069</v>
      </c>
      <c r="BB60" s="268">
        <f t="shared" si="68"/>
        <v>62893.044648628063</v>
      </c>
      <c r="BC60" s="268">
        <f t="shared" si="68"/>
        <v>15706.005783760425</v>
      </c>
      <c r="BD60" s="268">
        <f>BD54-SUM(BD55:BD58)</f>
        <v>28423.954232100616</v>
      </c>
      <c r="BE60" s="268">
        <f t="shared" ref="BE60:BT60" si="69">BE54-SUM(BE55:BE58)</f>
        <v>26580.514713471031</v>
      </c>
      <c r="BF60" s="268">
        <f t="shared" si="69"/>
        <v>15403.277534395813</v>
      </c>
      <c r="BG60" s="268">
        <f t="shared" si="69"/>
        <v>16261.452765710928</v>
      </c>
      <c r="BH60" s="268" t="e">
        <f t="shared" si="69"/>
        <v>#VALUE!</v>
      </c>
      <c r="BI60" s="268">
        <f t="shared" si="69"/>
        <v>13919.209099473206</v>
      </c>
      <c r="BJ60" s="268">
        <f t="shared" si="69"/>
        <v>13884.408105027971</v>
      </c>
      <c r="BK60" s="268">
        <f t="shared" si="69"/>
        <v>13002.792490159074</v>
      </c>
      <c r="BL60" s="268">
        <f t="shared" si="69"/>
        <v>12062.487566055464</v>
      </c>
      <c r="BM60" s="268">
        <f t="shared" si="69"/>
        <v>11067.589854402097</v>
      </c>
      <c r="BN60" s="268">
        <f t="shared" si="69"/>
        <v>10019.725515770959</v>
      </c>
      <c r="BO60" s="268">
        <f t="shared" si="69"/>
        <v>8920.3523931643613</v>
      </c>
      <c r="BP60" s="268">
        <f t="shared" si="69"/>
        <v>7771.066068952794</v>
      </c>
      <c r="BQ60" s="268">
        <f t="shared" si="69"/>
        <v>6573.9461559694337</v>
      </c>
      <c r="BR60" s="268">
        <f t="shared" si="69"/>
        <v>5331.5379880994769</v>
      </c>
      <c r="BS60" s="268">
        <f t="shared" si="69"/>
        <v>4046.7160606854741</v>
      </c>
      <c r="BT60" s="268">
        <f t="shared" si="69"/>
        <v>2722.3395543604834</v>
      </c>
    </row>
    <row r="61" spans="1:72">
      <c r="A61" s="17"/>
      <c r="E61" s="284" t="s">
        <v>104</v>
      </c>
      <c r="F61" s="301" t="e">
        <f>SUM(F55:F58)+F60</f>
        <v>#VALUE!</v>
      </c>
      <c r="G61" s="301">
        <f t="shared" ref="G61:AI61" si="70">SUM(G55:G58)+G60</f>
        <v>50231.056242490093</v>
      </c>
      <c r="H61" s="301">
        <f t="shared" si="70"/>
        <v>106816.64181085258</v>
      </c>
      <c r="I61" s="301">
        <f t="shared" si="70"/>
        <v>14585.552702053605</v>
      </c>
      <c r="J61" s="301">
        <f t="shared" si="70"/>
        <v>39994.300442658685</v>
      </c>
      <c r="K61" s="301">
        <f t="shared" si="70"/>
        <v>36306.595728013628</v>
      </c>
      <c r="L61" s="301">
        <f t="shared" si="70"/>
        <v>14259.730984150367</v>
      </c>
      <c r="M61" s="301">
        <f t="shared" si="70"/>
        <v>15986.538329212832</v>
      </c>
      <c r="N61" s="301" t="e">
        <f t="shared" si="70"/>
        <v>#VALUE!</v>
      </c>
      <c r="O61" s="301">
        <f t="shared" si="70"/>
        <v>12942.279641022304</v>
      </c>
      <c r="P61" s="301">
        <f t="shared" si="70"/>
        <v>12909.921178793802</v>
      </c>
      <c r="Q61" s="301">
        <f t="shared" si="70"/>
        <v>11907.435879195025</v>
      </c>
      <c r="R61" s="301">
        <f t="shared" si="70"/>
        <v>10844.520587210254</v>
      </c>
      <c r="S61" s="301">
        <f t="shared" si="70"/>
        <v>9725.2383916260496</v>
      </c>
      <c r="T61" s="301">
        <f t="shared" si="70"/>
        <v>8551.372371170246</v>
      </c>
      <c r="U61" s="301">
        <f t="shared" si="70"/>
        <v>7324.5981460394496</v>
      </c>
      <c r="V61" s="301">
        <f t="shared" si="70"/>
        <v>6046.7855317540243</v>
      </c>
      <c r="W61" s="301">
        <f t="shared" si="70"/>
        <v>4720.2945313571472</v>
      </c>
      <c r="X61" s="301">
        <f t="shared" si="70"/>
        <v>3347.9268325394069</v>
      </c>
      <c r="Y61" s="301">
        <f t="shared" si="70"/>
        <v>1932.764374133814</v>
      </c>
      <c r="Z61" s="301">
        <f t="shared" si="70"/>
        <v>477.92879540555577</v>
      </c>
      <c r="AA61" s="301"/>
      <c r="AB61" s="301"/>
      <c r="AC61" s="301" t="e">
        <f t="shared" si="70"/>
        <v>#VALUE!</v>
      </c>
      <c r="AD61" s="301">
        <f t="shared" si="70"/>
        <v>31581.662595117821</v>
      </c>
      <c r="AE61" s="301">
        <f t="shared" si="70"/>
        <v>85754.988180039581</v>
      </c>
      <c r="AF61" s="301">
        <f t="shared" si="70"/>
        <v>0</v>
      </c>
      <c r="AG61" s="301">
        <f t="shared" si="70"/>
        <v>22243.326303684153</v>
      </c>
      <c r="AH61" s="301">
        <f t="shared" si="70"/>
        <v>18685.889850697153</v>
      </c>
      <c r="AI61" s="301">
        <f t="shared" si="70"/>
        <v>0</v>
      </c>
      <c r="AJ61" s="301">
        <f>SUM(AJ55:AJ58)+AJ60</f>
        <v>0</v>
      </c>
      <c r="AK61" s="301" t="e">
        <f t="shared" ref="AK61" si="71">SUM(AK55:AK58)+AK60</f>
        <v>#VALUE!</v>
      </c>
      <c r="AL61" s="301">
        <f t="shared" ref="AL61" si="72">SUM(AL55:AL58)+AL60</f>
        <v>0</v>
      </c>
      <c r="AM61" s="301">
        <f t="shared" ref="AM61" si="73">SUM(AM55:AM58)+AM60</f>
        <v>0</v>
      </c>
      <c r="AN61" s="301">
        <f t="shared" ref="AN61" si="74">SUM(AN55:AN58)+AN60</f>
        <v>0</v>
      </c>
      <c r="AO61" s="301">
        <f t="shared" ref="AO61" si="75">SUM(AO55:AO58)+AO60</f>
        <v>0</v>
      </c>
      <c r="AP61" s="301">
        <f t="shared" ref="AP61" si="76">SUM(AP55:AP58)+AP60</f>
        <v>0</v>
      </c>
      <c r="AQ61" s="301">
        <f t="shared" ref="AQ61" si="77">SUM(AQ55:AQ58)+AQ60</f>
        <v>0</v>
      </c>
      <c r="AR61" s="301">
        <f t="shared" ref="AR61" si="78">SUM(AR55:AR58)+AR60</f>
        <v>0</v>
      </c>
      <c r="AS61" s="301">
        <f t="shared" ref="AS61" si="79">SUM(AS55:AS58)+AS60</f>
        <v>0</v>
      </c>
      <c r="AT61" s="301">
        <f t="shared" ref="AT61" si="80">SUM(AT55:AT58)+AT60</f>
        <v>0</v>
      </c>
      <c r="AU61" s="301">
        <f t="shared" ref="AU61" si="81">SUM(AU55:AU58)+AU60</f>
        <v>0</v>
      </c>
      <c r="AV61" s="301">
        <f t="shared" ref="AV61" si="82">SUM(AV55:AV58)+AV60</f>
        <v>0</v>
      </c>
      <c r="AW61" s="301">
        <f t="shared" ref="AW61" si="83">SUM(AW55:AW58)+AW60</f>
        <v>0</v>
      </c>
      <c r="AX61" s="301"/>
      <c r="AY61" s="301"/>
      <c r="AZ61" s="301" t="e">
        <f t="shared" ref="AZ61" si="84">SUM(AZ55:AZ58)+AZ60</f>
        <v>#VALUE!</v>
      </c>
      <c r="BA61" s="301">
        <f t="shared" ref="BA61" si="85">SUM(BA55:BA58)+BA60</f>
        <v>69710.055584208312</v>
      </c>
      <c r="BB61" s="301">
        <f t="shared" ref="BB61" si="86">SUM(BB55:BB58)+BB60</f>
        <v>128353.1523441389</v>
      </c>
      <c r="BC61" s="301">
        <f t="shared" ref="BC61" si="87">SUM(BC55:BC58)+BC60</f>
        <v>32053.073028082501</v>
      </c>
      <c r="BD61" s="301">
        <f>SUM(BD55:BD58)+BD60</f>
        <v>58008.069861429831</v>
      </c>
      <c r="BE61" s="301">
        <f t="shared" ref="BE61" si="88">SUM(BE55:BE58)+BE60</f>
        <v>54245.948394838837</v>
      </c>
      <c r="BF61" s="301">
        <f t="shared" ref="BF61" si="89">SUM(BF55:BF58)+BF60</f>
        <v>31435.260274277167</v>
      </c>
      <c r="BG61" s="301">
        <f t="shared" ref="BG61" si="90">SUM(BG55:BG58)+BG60</f>
        <v>33186.638297369238</v>
      </c>
      <c r="BH61" s="301" t="e">
        <f t="shared" ref="BH61" si="91">SUM(BH55:BH58)+BH60</f>
        <v>#VALUE!</v>
      </c>
      <c r="BI61" s="301">
        <f t="shared" ref="BI61" si="92">SUM(BI55:BI58)+BI60</f>
        <v>28406.549182598377</v>
      </c>
      <c r="BJ61" s="301">
        <f t="shared" ref="BJ61" si="93">SUM(BJ55:BJ58)+BJ60</f>
        <v>28335.526744955041</v>
      </c>
      <c r="BK61" s="301">
        <f t="shared" ref="BK61" si="94">SUM(BK55:BK58)+BK60</f>
        <v>26536.311204406273</v>
      </c>
      <c r="BL61" s="301">
        <f t="shared" ref="BL61" si="95">SUM(BL55:BL58)+BL60</f>
        <v>24617.321563378497</v>
      </c>
      <c r="BM61" s="301">
        <f t="shared" ref="BM61" si="96">SUM(BM55:BM58)+BM60</f>
        <v>22586.918070208361</v>
      </c>
      <c r="BN61" s="301">
        <f t="shared" ref="BN61" si="97">SUM(BN55:BN58)+BN60</f>
        <v>20448.419419940732</v>
      </c>
      <c r="BO61" s="301">
        <f t="shared" ref="BO61" si="98">SUM(BO55:BO58)+BO60</f>
        <v>18204.800802376249</v>
      </c>
      <c r="BP61" s="301">
        <f t="shared" ref="BP61" si="99">SUM(BP55:BP58)+BP60</f>
        <v>15859.318508066925</v>
      </c>
      <c r="BQ61" s="301">
        <f t="shared" ref="BQ61" si="100">SUM(BQ55:BQ58)+BQ60</f>
        <v>13416.216644835578</v>
      </c>
      <c r="BR61" s="301">
        <f t="shared" ref="BR61" si="101">SUM(BR55:BR58)+BR60</f>
        <v>10880.689771631585</v>
      </c>
      <c r="BS61" s="301">
        <f t="shared" ref="BS61" si="102">SUM(BS55:BS58)+BS60</f>
        <v>8258.6042054805603</v>
      </c>
      <c r="BT61" s="301">
        <f t="shared" ref="BT61" si="103">SUM(BT55:BT58)+BT60</f>
        <v>5555.7950088989455</v>
      </c>
    </row>
    <row r="62" spans="1:72">
      <c r="A62" s="17"/>
      <c r="E62" s="34" t="s">
        <v>105</v>
      </c>
      <c r="F62" s="282" t="e">
        <f>SUM(F55:F57)/(SUM(F55:F58)+F60)</f>
        <v>#VALUE!</v>
      </c>
      <c r="G62" s="282">
        <f t="shared" ref="G62:AI62" si="104">SUM(G55:G57)/(SUM(G55:G58)+G60)</f>
        <v>0.36</v>
      </c>
      <c r="H62" s="282">
        <f t="shared" si="104"/>
        <v>0.35999999999999993</v>
      </c>
      <c r="I62" s="282">
        <f t="shared" si="104"/>
        <v>0.36</v>
      </c>
      <c r="J62" s="282">
        <f t="shared" si="104"/>
        <v>0.36</v>
      </c>
      <c r="K62" s="282">
        <f t="shared" si="104"/>
        <v>0.36</v>
      </c>
      <c r="L62" s="282">
        <f t="shared" si="104"/>
        <v>0.36</v>
      </c>
      <c r="M62" s="282">
        <f t="shared" si="104"/>
        <v>0.35999999999999993</v>
      </c>
      <c r="N62" s="282" t="e">
        <f t="shared" si="104"/>
        <v>#VALUE!</v>
      </c>
      <c r="O62" s="282">
        <f t="shared" si="104"/>
        <v>0.36</v>
      </c>
      <c r="P62" s="282">
        <f t="shared" si="104"/>
        <v>0.36</v>
      </c>
      <c r="Q62" s="282">
        <f t="shared" si="104"/>
        <v>0.36</v>
      </c>
      <c r="R62" s="282">
        <f t="shared" si="104"/>
        <v>0.36</v>
      </c>
      <c r="S62" s="282">
        <f t="shared" si="104"/>
        <v>0.36000000000000004</v>
      </c>
      <c r="T62" s="282">
        <f t="shared" si="104"/>
        <v>0.36</v>
      </c>
      <c r="U62" s="282">
        <f t="shared" si="104"/>
        <v>0.36</v>
      </c>
      <c r="V62" s="282">
        <f t="shared" si="104"/>
        <v>0.36000000000000004</v>
      </c>
      <c r="W62" s="282">
        <f t="shared" si="104"/>
        <v>0.35999999999999993</v>
      </c>
      <c r="X62" s="282">
        <f t="shared" si="104"/>
        <v>0.36</v>
      </c>
      <c r="Y62" s="282">
        <f t="shared" si="104"/>
        <v>0.36</v>
      </c>
      <c r="Z62" s="282">
        <f t="shared" si="104"/>
        <v>0.36</v>
      </c>
      <c r="AA62" s="282"/>
      <c r="AB62" s="282"/>
      <c r="AC62" s="282" t="e">
        <f t="shared" si="104"/>
        <v>#VALUE!</v>
      </c>
      <c r="AD62" s="282">
        <f t="shared" si="104"/>
        <v>0.36</v>
      </c>
      <c r="AE62" s="282">
        <f t="shared" si="104"/>
        <v>0.36</v>
      </c>
      <c r="AF62" s="282" t="e">
        <f t="shared" si="104"/>
        <v>#DIV/0!</v>
      </c>
      <c r="AG62" s="282">
        <f t="shared" si="104"/>
        <v>0.36</v>
      </c>
      <c r="AH62" s="282">
        <f t="shared" si="104"/>
        <v>0.36</v>
      </c>
      <c r="AI62" s="282" t="e">
        <f t="shared" si="104"/>
        <v>#DIV/0!</v>
      </c>
      <c r="AJ62" s="282" t="e">
        <f>SUM(AJ55:AJ57)/(SUM(AJ55:AJ58)+AJ60)</f>
        <v>#DIV/0!</v>
      </c>
      <c r="AK62" s="282" t="e">
        <f t="shared" ref="AK62:BC62" si="105">SUM(AK55:AK57)/(SUM(AK55:AK58)+AK60)</f>
        <v>#VALUE!</v>
      </c>
      <c r="AL62" s="282" t="e">
        <f t="shared" si="105"/>
        <v>#DIV/0!</v>
      </c>
      <c r="AM62" s="282" t="e">
        <f t="shared" si="105"/>
        <v>#DIV/0!</v>
      </c>
      <c r="AN62" s="282" t="e">
        <f t="shared" si="105"/>
        <v>#DIV/0!</v>
      </c>
      <c r="AO62" s="282" t="e">
        <f t="shared" si="105"/>
        <v>#DIV/0!</v>
      </c>
      <c r="AP62" s="282" t="e">
        <f t="shared" si="105"/>
        <v>#DIV/0!</v>
      </c>
      <c r="AQ62" s="282" t="e">
        <f t="shared" si="105"/>
        <v>#DIV/0!</v>
      </c>
      <c r="AR62" s="282" t="e">
        <f t="shared" si="105"/>
        <v>#DIV/0!</v>
      </c>
      <c r="AS62" s="282" t="e">
        <f t="shared" si="105"/>
        <v>#DIV/0!</v>
      </c>
      <c r="AT62" s="282" t="e">
        <f t="shared" si="105"/>
        <v>#DIV/0!</v>
      </c>
      <c r="AU62" s="282" t="e">
        <f t="shared" si="105"/>
        <v>#DIV/0!</v>
      </c>
      <c r="AV62" s="282" t="e">
        <f t="shared" si="105"/>
        <v>#DIV/0!</v>
      </c>
      <c r="AW62" s="282" t="e">
        <f t="shared" si="105"/>
        <v>#DIV/0!</v>
      </c>
      <c r="AX62" s="282"/>
      <c r="AY62" s="282"/>
      <c r="AZ62" s="282" t="e">
        <f t="shared" si="105"/>
        <v>#VALUE!</v>
      </c>
      <c r="BA62" s="282">
        <f t="shared" si="105"/>
        <v>0.36</v>
      </c>
      <c r="BB62" s="282">
        <f t="shared" si="105"/>
        <v>0.36</v>
      </c>
      <c r="BC62" s="282">
        <f t="shared" si="105"/>
        <v>0.36</v>
      </c>
      <c r="BD62" s="282">
        <f>SUM(BD55:BD57)/(SUM(BD55:BD58)+BD60)</f>
        <v>0.36000000000000004</v>
      </c>
      <c r="BE62" s="282">
        <f t="shared" ref="BE62:BT62" si="106">SUM(BE55:BE57)/(SUM(BE55:BE58)+BE60)</f>
        <v>0.36</v>
      </c>
      <c r="BF62" s="282">
        <f t="shared" si="106"/>
        <v>0.35999999999999993</v>
      </c>
      <c r="BG62" s="282">
        <f t="shared" si="106"/>
        <v>0.36</v>
      </c>
      <c r="BH62" s="282" t="e">
        <f t="shared" si="106"/>
        <v>#VALUE!</v>
      </c>
      <c r="BI62" s="282">
        <f t="shared" si="106"/>
        <v>0.36</v>
      </c>
      <c r="BJ62" s="282">
        <f t="shared" si="106"/>
        <v>0.36</v>
      </c>
      <c r="BK62" s="282">
        <f t="shared" si="106"/>
        <v>0.35999999999999993</v>
      </c>
      <c r="BL62" s="282">
        <f t="shared" si="106"/>
        <v>0.35999999999999993</v>
      </c>
      <c r="BM62" s="282">
        <f t="shared" si="106"/>
        <v>0.36</v>
      </c>
      <c r="BN62" s="282">
        <f t="shared" si="106"/>
        <v>0.36</v>
      </c>
      <c r="BO62" s="282">
        <f t="shared" si="106"/>
        <v>0.36</v>
      </c>
      <c r="BP62" s="282">
        <f t="shared" si="106"/>
        <v>0.35999999999999993</v>
      </c>
      <c r="BQ62" s="282">
        <f t="shared" si="106"/>
        <v>0.36</v>
      </c>
      <c r="BR62" s="282">
        <f t="shared" si="106"/>
        <v>0.36</v>
      </c>
      <c r="BS62" s="282">
        <f t="shared" si="106"/>
        <v>0.36</v>
      </c>
      <c r="BT62" s="282">
        <f t="shared" si="106"/>
        <v>0.36</v>
      </c>
    </row>
    <row r="63" spans="1:72">
      <c r="A63" s="17"/>
      <c r="E63" s="280" t="s">
        <v>274</v>
      </c>
      <c r="F63" s="283" t="e">
        <f>(F58/(SUM(F55:F58)+F60)*100000)</f>
        <v>#VALUE!</v>
      </c>
      <c r="G63" s="283">
        <f t="shared" ref="G63:AI63" si="107">(G58/(SUM(G55:G58)+G60)*100000)</f>
        <v>15000</v>
      </c>
      <c r="H63" s="283">
        <f t="shared" si="107"/>
        <v>15000</v>
      </c>
      <c r="I63" s="283">
        <f t="shared" si="107"/>
        <v>15000</v>
      </c>
      <c r="J63" s="283">
        <f t="shared" si="107"/>
        <v>15000</v>
      </c>
      <c r="K63" s="283">
        <f t="shared" si="107"/>
        <v>15000</v>
      </c>
      <c r="L63" s="283">
        <f t="shared" si="107"/>
        <v>15000</v>
      </c>
      <c r="M63" s="283">
        <f t="shared" si="107"/>
        <v>15000</v>
      </c>
      <c r="N63" s="283" t="e">
        <f t="shared" si="107"/>
        <v>#VALUE!</v>
      </c>
      <c r="O63" s="283">
        <f t="shared" si="107"/>
        <v>15000</v>
      </c>
      <c r="P63" s="283">
        <f t="shared" si="107"/>
        <v>15000</v>
      </c>
      <c r="Q63" s="283">
        <f t="shared" si="107"/>
        <v>15000</v>
      </c>
      <c r="R63" s="283">
        <f t="shared" si="107"/>
        <v>15000</v>
      </c>
      <c r="S63" s="283">
        <f t="shared" si="107"/>
        <v>15000</v>
      </c>
      <c r="T63" s="283">
        <f t="shared" si="107"/>
        <v>15000</v>
      </c>
      <c r="U63" s="283">
        <f t="shared" si="107"/>
        <v>15000</v>
      </c>
      <c r="V63" s="283">
        <f t="shared" si="107"/>
        <v>15000</v>
      </c>
      <c r="W63" s="283">
        <f t="shared" si="107"/>
        <v>15000</v>
      </c>
      <c r="X63" s="283">
        <f t="shared" si="107"/>
        <v>15000</v>
      </c>
      <c r="Y63" s="283">
        <f t="shared" si="107"/>
        <v>15000</v>
      </c>
      <c r="Z63" s="283">
        <f t="shared" si="107"/>
        <v>15000</v>
      </c>
      <c r="AA63" s="283"/>
      <c r="AB63" s="283"/>
      <c r="AC63" s="283" t="e">
        <f t="shared" si="107"/>
        <v>#VALUE!</v>
      </c>
      <c r="AD63" s="283">
        <f t="shared" si="107"/>
        <v>15000</v>
      </c>
      <c r="AE63" s="283">
        <f t="shared" si="107"/>
        <v>15000</v>
      </c>
      <c r="AF63" s="283" t="e">
        <f t="shared" si="107"/>
        <v>#DIV/0!</v>
      </c>
      <c r="AG63" s="283">
        <f t="shared" si="107"/>
        <v>15000</v>
      </c>
      <c r="AH63" s="283">
        <f t="shared" si="107"/>
        <v>15000</v>
      </c>
      <c r="AI63" s="283" t="e">
        <f t="shared" si="107"/>
        <v>#DIV/0!</v>
      </c>
      <c r="AJ63" s="283" t="e">
        <f>(AJ58/(SUM(AJ55:AJ58)+AJ60)*100000)</f>
        <v>#DIV/0!</v>
      </c>
      <c r="AK63" s="283" t="e">
        <f t="shared" ref="AK63:BC63" si="108">(AK58/(SUM(AK55:AK58)+AK60)*100000)</f>
        <v>#VALUE!</v>
      </c>
      <c r="AL63" s="283" t="e">
        <f t="shared" si="108"/>
        <v>#DIV/0!</v>
      </c>
      <c r="AM63" s="283" t="e">
        <f t="shared" si="108"/>
        <v>#DIV/0!</v>
      </c>
      <c r="AN63" s="283" t="e">
        <f t="shared" si="108"/>
        <v>#DIV/0!</v>
      </c>
      <c r="AO63" s="283" t="e">
        <f t="shared" si="108"/>
        <v>#DIV/0!</v>
      </c>
      <c r="AP63" s="283" t="e">
        <f t="shared" si="108"/>
        <v>#DIV/0!</v>
      </c>
      <c r="AQ63" s="283" t="e">
        <f t="shared" si="108"/>
        <v>#DIV/0!</v>
      </c>
      <c r="AR63" s="283" t="e">
        <f t="shared" si="108"/>
        <v>#DIV/0!</v>
      </c>
      <c r="AS63" s="283" t="e">
        <f t="shared" si="108"/>
        <v>#DIV/0!</v>
      </c>
      <c r="AT63" s="283" t="e">
        <f t="shared" si="108"/>
        <v>#DIV/0!</v>
      </c>
      <c r="AU63" s="283" t="e">
        <f t="shared" si="108"/>
        <v>#DIV/0!</v>
      </c>
      <c r="AV63" s="283" t="e">
        <f t="shared" si="108"/>
        <v>#DIV/0!</v>
      </c>
      <c r="AW63" s="283" t="e">
        <f t="shared" si="108"/>
        <v>#DIV/0!</v>
      </c>
      <c r="AX63" s="283"/>
      <c r="AY63" s="283"/>
      <c r="AZ63" s="283" t="e">
        <f t="shared" si="108"/>
        <v>#VALUE!</v>
      </c>
      <c r="BA63" s="283">
        <f t="shared" si="108"/>
        <v>15000</v>
      </c>
      <c r="BB63" s="283">
        <f t="shared" si="108"/>
        <v>15000</v>
      </c>
      <c r="BC63" s="283">
        <f t="shared" si="108"/>
        <v>15000</v>
      </c>
      <c r="BD63" s="283">
        <f>(BD58/(SUM(BD55:BD58)+BD60)*100000)</f>
        <v>15000</v>
      </c>
      <c r="BE63" s="283">
        <f t="shared" ref="BE63:BT63" si="109">(BE58/(SUM(BE55:BE58)+BE60)*100000)</f>
        <v>15000</v>
      </c>
      <c r="BF63" s="283">
        <f t="shared" si="109"/>
        <v>15000</v>
      </c>
      <c r="BG63" s="283">
        <f t="shared" si="109"/>
        <v>15000</v>
      </c>
      <c r="BH63" s="283" t="e">
        <f t="shared" si="109"/>
        <v>#VALUE!</v>
      </c>
      <c r="BI63" s="283">
        <f t="shared" si="109"/>
        <v>15000</v>
      </c>
      <c r="BJ63" s="283">
        <f t="shared" si="109"/>
        <v>15000</v>
      </c>
      <c r="BK63" s="283">
        <f t="shared" si="109"/>
        <v>15000</v>
      </c>
      <c r="BL63" s="283">
        <f t="shared" si="109"/>
        <v>15000</v>
      </c>
      <c r="BM63" s="283">
        <f t="shared" si="109"/>
        <v>15000</v>
      </c>
      <c r="BN63" s="283">
        <f t="shared" si="109"/>
        <v>15000</v>
      </c>
      <c r="BO63" s="283">
        <f t="shared" si="109"/>
        <v>15000</v>
      </c>
      <c r="BP63" s="283">
        <f t="shared" si="109"/>
        <v>15000</v>
      </c>
      <c r="BQ63" s="283">
        <f t="shared" si="109"/>
        <v>15000</v>
      </c>
      <c r="BR63" s="283">
        <f t="shared" si="109"/>
        <v>15000</v>
      </c>
      <c r="BS63" s="283">
        <f t="shared" si="109"/>
        <v>15000</v>
      </c>
      <c r="BT63" s="283">
        <f t="shared" si="109"/>
        <v>15000</v>
      </c>
    </row>
    <row r="64" spans="1:72">
      <c r="A64" s="17"/>
      <c r="F64" s="86"/>
      <c r="L64" s="86"/>
      <c r="N64" s="86"/>
      <c r="O64" s="86"/>
      <c r="P64" s="86"/>
      <c r="Q64" s="86"/>
      <c r="R64" s="86"/>
      <c r="S64" s="86"/>
      <c r="T64" s="86"/>
      <c r="U64" s="86"/>
      <c r="V64" s="86"/>
      <c r="W64" s="86"/>
      <c r="X64" s="86"/>
      <c r="Y64" s="86"/>
      <c r="Z64" s="86"/>
      <c r="AA64" s="86"/>
      <c r="AB64" s="86"/>
      <c r="AC64" s="86"/>
      <c r="AD64" s="86"/>
      <c r="AE64" s="86"/>
      <c r="AF64" s="86"/>
      <c r="AG64" s="86"/>
      <c r="AH64" s="86"/>
      <c r="AI64" s="86"/>
      <c r="AJ64" s="86"/>
      <c r="AK64" s="86"/>
      <c r="AL64" s="86"/>
      <c r="AM64" s="86"/>
      <c r="AN64" s="86"/>
      <c r="AO64" s="86"/>
      <c r="AP64" s="86"/>
      <c r="AQ64" s="86"/>
      <c r="AR64" s="86"/>
      <c r="AS64" s="86"/>
      <c r="AT64" s="86"/>
      <c r="AU64" s="86"/>
      <c r="AV64" s="86"/>
      <c r="AW64" s="86"/>
      <c r="AX64" s="86"/>
      <c r="AY64" s="86"/>
      <c r="AZ64" s="86"/>
      <c r="BA64" s="86"/>
      <c r="BB64" s="86"/>
      <c r="BC64" s="86"/>
      <c r="BD64" s="86"/>
      <c r="BE64" s="86"/>
      <c r="BF64" s="86"/>
      <c r="BG64" s="86"/>
      <c r="BH64" s="86"/>
      <c r="BI64" s="86"/>
      <c r="BJ64" s="86"/>
      <c r="BK64" s="86"/>
      <c r="BL64" s="86"/>
      <c r="BM64" s="86"/>
      <c r="BN64" s="86"/>
      <c r="BO64" s="86"/>
      <c r="BP64" s="86"/>
      <c r="BQ64" s="86"/>
      <c r="BR64" s="86"/>
      <c r="BS64" s="86"/>
      <c r="BT64" s="86"/>
    </row>
    <row r="65" spans="1:72">
      <c r="A65" s="17"/>
      <c r="F65" s="86"/>
      <c r="L65" s="86"/>
      <c r="N65" s="86"/>
      <c r="O65" s="86"/>
      <c r="P65" s="86"/>
      <c r="Q65" s="86"/>
      <c r="R65" s="86"/>
      <c r="S65" s="86"/>
      <c r="T65" s="86"/>
      <c r="U65" s="86"/>
      <c r="V65" s="86"/>
      <c r="W65" s="86"/>
      <c r="X65" s="86"/>
      <c r="Y65" s="86"/>
      <c r="Z65" s="86"/>
      <c r="AA65" s="86"/>
      <c r="AB65" s="86"/>
      <c r="AC65" s="86"/>
      <c r="AD65" s="86"/>
      <c r="AE65" s="86"/>
      <c r="AF65" s="86"/>
      <c r="AG65" s="86"/>
      <c r="AH65" s="86"/>
      <c r="AI65" s="86"/>
      <c r="AJ65" s="86"/>
      <c r="AK65" s="86"/>
      <c r="AL65" s="86"/>
      <c r="AM65" s="86"/>
      <c r="AN65" s="86"/>
      <c r="AO65" s="86"/>
      <c r="AP65" s="86"/>
      <c r="AQ65" s="86"/>
      <c r="AR65" s="86"/>
      <c r="AS65" s="86"/>
      <c r="AT65" s="86"/>
      <c r="AU65" s="86"/>
      <c r="AV65" s="86"/>
      <c r="AW65" s="86"/>
      <c r="AX65" s="86"/>
      <c r="AY65" s="86"/>
      <c r="AZ65" s="86"/>
      <c r="BA65" s="86"/>
      <c r="BB65" s="86"/>
      <c r="BC65" s="86"/>
      <c r="BD65" s="86"/>
      <c r="BE65" s="86"/>
      <c r="BF65" s="86"/>
      <c r="BG65" s="86"/>
      <c r="BH65" s="86"/>
      <c r="BI65" s="86"/>
      <c r="BJ65" s="86"/>
      <c r="BK65" s="86"/>
      <c r="BL65" s="86"/>
      <c r="BM65" s="86"/>
      <c r="BN65" s="86"/>
      <c r="BO65" s="86"/>
      <c r="BP65" s="86"/>
      <c r="BQ65" s="86"/>
      <c r="BR65" s="86"/>
      <c r="BS65" s="86"/>
      <c r="BT65" s="86"/>
    </row>
    <row r="66" spans="1:72" ht="19">
      <c r="A66" s="17"/>
      <c r="E66" s="169" t="s">
        <v>194</v>
      </c>
      <c r="F66" s="373"/>
      <c r="G66" s="373"/>
      <c r="H66" s="373"/>
      <c r="I66" s="373"/>
      <c r="J66" s="373"/>
      <c r="K66" s="373"/>
      <c r="L66" s="373"/>
      <c r="M66" s="373"/>
      <c r="N66" s="373"/>
      <c r="O66" s="373"/>
      <c r="P66" s="373"/>
      <c r="Q66" s="373"/>
      <c r="R66" s="373"/>
      <c r="S66" s="373"/>
      <c r="T66" s="373"/>
      <c r="U66" s="373"/>
      <c r="V66" s="373"/>
      <c r="W66" s="373"/>
      <c r="X66" s="373"/>
      <c r="Y66" s="373"/>
      <c r="Z66" s="373"/>
      <c r="AA66" s="373"/>
      <c r="AB66" s="373"/>
      <c r="AC66" s="373"/>
      <c r="AD66" s="373"/>
      <c r="AE66" s="373"/>
      <c r="AF66" s="373"/>
      <c r="AG66" s="373"/>
      <c r="AH66" s="373"/>
      <c r="AI66" s="373"/>
      <c r="AJ66" s="373"/>
      <c r="AK66" s="373"/>
      <c r="AL66" s="373"/>
      <c r="AM66" s="373"/>
      <c r="AN66" s="373"/>
      <c r="AO66" s="373"/>
      <c r="AP66" s="373"/>
      <c r="AQ66" s="373"/>
      <c r="AR66" s="373"/>
      <c r="AS66" s="373"/>
      <c r="AT66" s="373"/>
      <c r="AU66" s="373"/>
      <c r="AV66" s="373"/>
      <c r="AW66" s="373"/>
      <c r="AX66" s="373"/>
      <c r="AY66" s="373"/>
      <c r="AZ66" s="373"/>
      <c r="BA66" s="373"/>
      <c r="BB66" s="373"/>
      <c r="BC66" s="373"/>
      <c r="BD66" s="373"/>
      <c r="BE66" s="373"/>
      <c r="BF66" s="373"/>
      <c r="BG66" s="373"/>
      <c r="BH66" s="373"/>
      <c r="BI66" s="373"/>
      <c r="BJ66" s="373"/>
      <c r="BK66" s="373"/>
      <c r="BL66" s="373"/>
      <c r="BM66" s="373"/>
      <c r="BN66" s="373"/>
      <c r="BO66" s="373"/>
      <c r="BP66" s="373"/>
      <c r="BQ66" s="373"/>
      <c r="BR66" s="373"/>
      <c r="BS66" s="373"/>
      <c r="BT66" s="373"/>
    </row>
    <row r="67" spans="1:72">
      <c r="A67" s="17"/>
      <c r="E67" s="162" t="s">
        <v>23</v>
      </c>
      <c r="F67" s="370" t="e">
        <f>IFERROR(F41, #N/A)</f>
        <v>#N/A</v>
      </c>
      <c r="G67" s="370">
        <f t="shared" ref="G67:AI67" si="110">IFERROR(G41, #N/A)</f>
        <v>2084.937430014802</v>
      </c>
      <c r="H67" s="370">
        <f t="shared" si="110"/>
        <v>7657.8108931613724</v>
      </c>
      <c r="I67" s="370">
        <f t="shared" si="110"/>
        <v>1405.0941526218412</v>
      </c>
      <c r="J67" s="370">
        <f t="shared" si="110"/>
        <v>784.11616310068246</v>
      </c>
      <c r="K67" s="370">
        <f t="shared" si="110"/>
        <v>826.24926143234052</v>
      </c>
      <c r="L67" s="370">
        <f t="shared" si="110"/>
        <v>1593.9173526014149</v>
      </c>
      <c r="M67" s="370">
        <f t="shared" si="110"/>
        <v>1616.2622234720802</v>
      </c>
      <c r="N67" s="370" t="e">
        <f t="shared" si="110"/>
        <v>#N/A</v>
      </c>
      <c r="O67" s="370">
        <f t="shared" si="110"/>
        <v>3893.634723105718</v>
      </c>
      <c r="P67" s="370">
        <f t="shared" si="110"/>
        <v>3883.8998050222094</v>
      </c>
      <c r="Q67" s="370">
        <f t="shared" si="110"/>
        <v>4803.6114397013016</v>
      </c>
      <c r="R67" s="370">
        <f t="shared" si="110"/>
        <v>5774.381932930447</v>
      </c>
      <c r="S67" s="370">
        <f t="shared" si="110"/>
        <v>6795.2253968648156</v>
      </c>
      <c r="T67" s="370">
        <f t="shared" si="110"/>
        <v>7864.3070395658915</v>
      </c>
      <c r="U67" s="370">
        <f t="shared" si="110"/>
        <v>8979.3712492621326</v>
      </c>
      <c r="V67" s="370">
        <f t="shared" si="110"/>
        <v>10137.699647989737</v>
      </c>
      <c r="W67" s="370">
        <f t="shared" si="110"/>
        <v>11336.368900838996</v>
      </c>
      <c r="X67" s="370">
        <f t="shared" si="110"/>
        <v>12572.456116524532</v>
      </c>
      <c r="Y67" s="370">
        <f t="shared" si="110"/>
        <v>13843.244167211182</v>
      </c>
      <c r="Z67" s="370">
        <f t="shared" si="110"/>
        <v>15145.580575048507</v>
      </c>
      <c r="AA67" s="370"/>
      <c r="AB67" s="370"/>
      <c r="AC67" s="370" t="e">
        <f t="shared" si="110"/>
        <v>#N/A</v>
      </c>
      <c r="AD67" s="370">
        <f t="shared" si="110"/>
        <v>2654.531966163443</v>
      </c>
      <c r="AE67" s="370">
        <f t="shared" si="110"/>
        <v>10701.845617967087</v>
      </c>
      <c r="AF67" s="370">
        <f t="shared" si="110"/>
        <v>0</v>
      </c>
      <c r="AG67" s="370">
        <f t="shared" si="110"/>
        <v>794.49284766087123</v>
      </c>
      <c r="AH67" s="370">
        <f t="shared" si="110"/>
        <v>754.70469423489328</v>
      </c>
      <c r="AI67" s="370">
        <f t="shared" si="110"/>
        <v>0</v>
      </c>
      <c r="AJ67" s="370">
        <f>IFERROR(AJ41, #N/A)</f>
        <v>0</v>
      </c>
      <c r="AK67" s="370" t="e">
        <f t="shared" ref="AK67:BC67" si="111">IFERROR(AK41, #N/A)</f>
        <v>#N/A</v>
      </c>
      <c r="AL67" s="370">
        <f t="shared" si="111"/>
        <v>0</v>
      </c>
      <c r="AM67" s="370">
        <f t="shared" si="111"/>
        <v>0</v>
      </c>
      <c r="AN67" s="370">
        <f t="shared" si="111"/>
        <v>0</v>
      </c>
      <c r="AO67" s="370">
        <f t="shared" si="111"/>
        <v>0</v>
      </c>
      <c r="AP67" s="370">
        <f t="shared" si="111"/>
        <v>0</v>
      </c>
      <c r="AQ67" s="370">
        <f t="shared" si="111"/>
        <v>0</v>
      </c>
      <c r="AR67" s="370">
        <f t="shared" si="111"/>
        <v>0</v>
      </c>
      <c r="AS67" s="370">
        <f t="shared" si="111"/>
        <v>0</v>
      </c>
      <c r="AT67" s="370">
        <f t="shared" si="111"/>
        <v>0</v>
      </c>
      <c r="AU67" s="370">
        <f t="shared" si="111"/>
        <v>0</v>
      </c>
      <c r="AV67" s="370">
        <f t="shared" si="111"/>
        <v>0</v>
      </c>
      <c r="AW67" s="370">
        <f t="shared" si="111"/>
        <v>0</v>
      </c>
      <c r="AX67" s="370"/>
      <c r="AY67" s="370"/>
      <c r="AZ67" s="370" t="e">
        <f t="shared" si="111"/>
        <v>#N/A</v>
      </c>
      <c r="BA67" s="370">
        <f t="shared" si="111"/>
        <v>710.59483018290166</v>
      </c>
      <c r="BB67" s="370">
        <f t="shared" si="111"/>
        <v>4153.1474921104991</v>
      </c>
      <c r="BC67" s="370">
        <f t="shared" si="111"/>
        <v>1742.7533064497497</v>
      </c>
      <c r="BD67" s="370">
        <f>IFERROR(BD41, #N/A)</f>
        <v>518.8183828889529</v>
      </c>
      <c r="BE67" s="370">
        <f t="shared" ref="BE67:BT67" si="112">IFERROR(BE41, #N/A)</f>
        <v>588.69471250306754</v>
      </c>
      <c r="BF67" s="370">
        <f t="shared" si="112"/>
        <v>2073.4453815944016</v>
      </c>
      <c r="BG67" s="370">
        <f t="shared" si="112"/>
        <v>2055.3249824804257</v>
      </c>
      <c r="BH67" s="370" t="e">
        <f t="shared" si="112"/>
        <v>#N/A</v>
      </c>
      <c r="BI67" s="370">
        <f t="shared" si="112"/>
        <v>5965.5264887945032</v>
      </c>
      <c r="BJ67" s="370">
        <f t="shared" si="112"/>
        <v>5950.6113989560081</v>
      </c>
      <c r="BK67" s="370">
        <f t="shared" si="112"/>
        <v>7588.4418361661046</v>
      </c>
      <c r="BL67" s="370">
        <f t="shared" si="112"/>
        <v>9327.0495055274387</v>
      </c>
      <c r="BM67" s="370">
        <f t="shared" si="112"/>
        <v>11164.347818860046</v>
      </c>
      <c r="BN67" s="370">
        <f t="shared" si="112"/>
        <v>13096.903246845846</v>
      </c>
      <c r="BO67" s="370">
        <f t="shared" si="112"/>
        <v>15120.545414672188</v>
      </c>
      <c r="BP67" s="370">
        <f t="shared" si="112"/>
        <v>17230.272069301558</v>
      </c>
      <c r="BQ67" s="370">
        <f t="shared" si="112"/>
        <v>19420.674099472853</v>
      </c>
      <c r="BR67" s="370">
        <f t="shared" si="112"/>
        <v>21686.294498210053</v>
      </c>
      <c r="BS67" s="370">
        <f t="shared" si="112"/>
        <v>24021.998002563007</v>
      </c>
      <c r="BT67" s="370">
        <f t="shared" si="112"/>
        <v>26421.870917859447</v>
      </c>
    </row>
    <row r="68" spans="1:72">
      <c r="A68" s="17"/>
      <c r="E68" s="162" t="s">
        <v>24</v>
      </c>
      <c r="F68" s="370" t="e">
        <f>IF('Data (Calculations)'!F27="NA",#N/A, IFERROR(F42+F55,#N/A))</f>
        <v>#N/A</v>
      </c>
      <c r="G68" s="370">
        <f>IF('Data (Calculations)'!G27="NA",#N/A, IFERROR(G42+G55,#N/A))</f>
        <v>10548.521810922919</v>
      </c>
      <c r="H68" s="370">
        <f>IF('Data (Calculations)'!H27="NA",#N/A, IFERROR(H42+H55,#N/A))</f>
        <v>22431.494780279041</v>
      </c>
      <c r="I68" s="370">
        <f>IF('Data (Calculations)'!I27="NA",#N/A, IFERROR(I42+I55,#N/A))</f>
        <v>3062.9660674312568</v>
      </c>
      <c r="J68" s="370">
        <f>IF('Data (Calculations)'!J27="NA",#N/A, IFERROR(J42+J55,#N/A))</f>
        <v>8398.8030929583238</v>
      </c>
      <c r="K68" s="370">
        <f>IF('Data (Calculations)'!K27="NA",#N/A, IFERROR(K42+K55,#N/A))</f>
        <v>7624.3851028828612</v>
      </c>
      <c r="L68" s="370">
        <f>IF('Data (Calculations)'!L27="NA",#N/A, IFERROR(L42+L55,#N/A))</f>
        <v>2994.5435066715768</v>
      </c>
      <c r="M68" s="370">
        <f>IF('Data (Calculations)'!M27="NA",#N/A, IFERROR(M42+M55,#N/A))</f>
        <v>3357.1730491346943</v>
      </c>
      <c r="N68" s="370" t="e">
        <f>IF('Data (Calculations)'!N27="NA",#N/A, IFERROR(N42+N55,#N/A))</f>
        <v>#N/A</v>
      </c>
      <c r="O68" s="370">
        <f>IF('Data (Calculations)'!O27="NA",#N/A, IFERROR(O42+O55,#N/A))</f>
        <v>2717.8787246146835</v>
      </c>
      <c r="P68" s="370">
        <f>IF('Data (Calculations)'!P27="NA",#N/A, IFERROR(P42+P55,#N/A))</f>
        <v>2711.0834475466982</v>
      </c>
      <c r="Q68" s="370">
        <f>IF('Data (Calculations)'!Q27="NA",#N/A, IFERROR(Q42+Q55,#N/A))</f>
        <v>2500.5615346309551</v>
      </c>
      <c r="R68" s="370">
        <f>IF('Data (Calculations)'!R27="NA",#N/A, IFERROR(R42+R55,#N/A))</f>
        <v>2277.3493233141535</v>
      </c>
      <c r="S68" s="370">
        <f>IF('Data (Calculations)'!S27="NA",#N/A, IFERROR(S42+S55,#N/A))</f>
        <v>2042.3000622414704</v>
      </c>
      <c r="T68" s="370">
        <f>IF('Data (Calculations)'!T27="NA",#N/A, IFERROR(T42+T55,#N/A))</f>
        <v>1795.7881979457516</v>
      </c>
      <c r="U68" s="370">
        <f>IF('Data (Calculations)'!U27="NA",#N/A, IFERROR(U42+U55,#N/A))</f>
        <v>1538.1656106682844</v>
      </c>
      <c r="V68" s="370">
        <f>IF('Data (Calculations)'!V27="NA",#N/A, IFERROR(V42+V55,#N/A))</f>
        <v>1269.8249616683452</v>
      </c>
      <c r="W68" s="370">
        <f>IF('Data (Calculations)'!W27="NA",#N/A, IFERROR(W42+W55,#N/A))</f>
        <v>991.26185158500084</v>
      </c>
      <c r="X68" s="370">
        <f>IF('Data (Calculations)'!X27="NA",#N/A, IFERROR(X42+X55,#N/A))</f>
        <v>703.06463483327536</v>
      </c>
      <c r="Y68" s="370">
        <f>IF('Data (Calculations)'!Y27="NA",#N/A, IFERROR(Y42+Y55,#N/A))</f>
        <v>405.88051856810091</v>
      </c>
      <c r="Z68" s="370">
        <f>IF('Data (Calculations)'!Z27="NA",#N/A, IFERROR(Z42+Z55,#N/A))</f>
        <v>100.36504703516671</v>
      </c>
      <c r="AA68" s="370"/>
      <c r="AB68" s="370"/>
      <c r="AC68" s="370" t="e">
        <f>IF('Data (Calculations)'!AZ27="NA",#N/A,IFERROR(AC42+AC55,#N/A))</f>
        <v>#N/A</v>
      </c>
      <c r="AD68" s="370">
        <f>IF('Data (Calculations)'!BA27="NA",#N/A,IFERROR(AD42+AD55,#N/A))</f>
        <v>6632.1491449747418</v>
      </c>
      <c r="AE68" s="370">
        <f>IF('Data (Calculations)'!BB27="NA",#N/A,IFERROR(AE42+AE55,#N/A))</f>
        <v>18008.547517808311</v>
      </c>
      <c r="AF68" s="370">
        <f>IF('Data (Calculations)'!BC27="NA",#N/A,IFERROR(AF42+AF55,#N/A))</f>
        <v>0</v>
      </c>
      <c r="AG68" s="370">
        <f>IF('Data (Calculations)'!BD27="NA",#N/A,IFERROR(AG42+AG55,#N/A))</f>
        <v>4671.0985237736722</v>
      </c>
      <c r="AH68" s="370">
        <f>IF('Data (Calculations)'!BE27="NA",#N/A,IFERROR(AH42+AH55,#N/A))</f>
        <v>3924.0368686464021</v>
      </c>
      <c r="AI68" s="370">
        <f>IF('Data (Calculations)'!BF27="NA",#N/A,IFERROR(AI42+AI55,#N/A))</f>
        <v>0</v>
      </c>
      <c r="AJ68" s="370">
        <f>IF('Data (Calculations)'!BG27="NA",#N/A,IFERROR(AJ42+AJ55,#N/A))</f>
        <v>0</v>
      </c>
      <c r="AK68" s="370" t="e">
        <f>IF('Data (Calculations)'!BH27="NA",#N/A,IFERROR(AK42+AK55,#N/A))</f>
        <v>#N/A</v>
      </c>
      <c r="AL68" s="370">
        <f>IF('Data (Calculations)'!BI27="NA",#N/A,IFERROR(AL42+AL55,#N/A))</f>
        <v>0</v>
      </c>
      <c r="AM68" s="370">
        <f>IF('Data (Calculations)'!BJ27="NA",#N/A,IFERROR(AM42+AM55,#N/A))</f>
        <v>0</v>
      </c>
      <c r="AN68" s="370">
        <f>IF('Data (Calculations)'!BK27="NA",#N/A,IFERROR(AN42+AN55,#N/A))</f>
        <v>0</v>
      </c>
      <c r="AO68" s="370">
        <f>IF('Data (Calculations)'!BL27="NA",#N/A,IFERROR(AO42+AO55,#N/A))</f>
        <v>0</v>
      </c>
      <c r="AP68" s="370">
        <f>IF('Data (Calculations)'!BM27="NA",#N/A,IFERROR(AP42+AP55,#N/A))</f>
        <v>0</v>
      </c>
      <c r="AQ68" s="370">
        <f>IF('Data (Calculations)'!BN27="NA",#N/A,IFERROR(AQ42+AQ55,#N/A))</f>
        <v>0</v>
      </c>
      <c r="AR68" s="370">
        <f>IF('Data (Calculations)'!BO27="NA",#N/A,IFERROR(AR42+AR55,#N/A))</f>
        <v>0</v>
      </c>
      <c r="AS68" s="370">
        <f>IF('Data (Calculations)'!BP27="NA",#N/A,IFERROR(AS42+AS55,#N/A))</f>
        <v>0</v>
      </c>
      <c r="AT68" s="370">
        <f>IF('Data (Calculations)'!BQ27="NA",#N/A,IFERROR(AT42+AT55,#N/A))</f>
        <v>0</v>
      </c>
      <c r="AU68" s="370">
        <f>IF('Data (Calculations)'!BR27="NA",#N/A,IFERROR(AU42+AU55,#N/A))</f>
        <v>0</v>
      </c>
      <c r="AV68" s="370">
        <f>IF('Data (Calculations)'!BS27="NA",#N/A,IFERROR(AV42+AV55,#N/A))</f>
        <v>0</v>
      </c>
      <c r="AW68" s="370">
        <f>IF('Data (Calculations)'!BT27="NA",#N/A,IFERROR(AW42+AW55,#N/A))</f>
        <v>0</v>
      </c>
      <c r="AX68" s="370"/>
      <c r="AY68" s="370"/>
      <c r="AZ68" s="370" t="e">
        <f>IF('Data (Calculations)'!AC27="NA",#N/A,IFERROR(AZ42+AZ55,#N/A))</f>
        <v>#N/A</v>
      </c>
      <c r="BA68" s="370">
        <f>IF('Data (Calculations)'!AD27="NA",#N/A,IFERROR(BA42+BA55,#N/A))</f>
        <v>14639.111672683744</v>
      </c>
      <c r="BB68" s="370">
        <f>IF('Data (Calculations)'!AE27="NA",#N/A,IFERROR(BB42+BB55,#N/A))</f>
        <v>26954.161992269168</v>
      </c>
      <c r="BC68" s="370">
        <f>IF('Data (Calculations)'!AF27="NA",#N/A,IFERROR(BC42+BC55,#N/A))</f>
        <v>6731.1453358973249</v>
      </c>
      <c r="BD68" s="370">
        <f>IF('Data (Calculations)'!AG27="NA",#N/A,IFERROR(BD42+BD55,#N/A))</f>
        <v>12181.694670900264</v>
      </c>
      <c r="BE68" s="370">
        <f>IF('Data (Calculations)'!AH27="NA",#N/A,IFERROR(BE42+BE55,#N/A))</f>
        <v>11391.649162916156</v>
      </c>
      <c r="BF68" s="370">
        <f>IF('Data (Calculations)'!AI27="NA",#N/A,IFERROR(BF42+BF55,#N/A))</f>
        <v>6601.4046575982047</v>
      </c>
      <c r="BG68" s="370">
        <f>IF('Data (Calculations)'!AJ27="NA",#N/A,IFERROR(BG42+BG55,#N/A))</f>
        <v>6969.1940424475397</v>
      </c>
      <c r="BH68" s="370" t="e">
        <f>IF('Data (Calculations)'!AK27="NA",#N/A,IFERROR(BH42+BH55,#N/A))</f>
        <v>#N/A</v>
      </c>
      <c r="BI68" s="370">
        <f>IF('Data (Calculations)'!AL27="NA",#N/A,IFERROR(BI42+BI55,#N/A))</f>
        <v>5965.375328345659</v>
      </c>
      <c r="BJ68" s="370">
        <f>IF('Data (Calculations)'!AM27="NA",#N/A,IFERROR(BJ42+BJ55,#N/A))</f>
        <v>5950.4606164405586</v>
      </c>
      <c r="BK68" s="370">
        <f>IF('Data (Calculations)'!AN27="NA",#N/A,IFERROR(BK42+BK55,#N/A))</f>
        <v>5572.6253529253172</v>
      </c>
      <c r="BL68" s="370">
        <f>IF('Data (Calculations)'!AO27="NA",#N/A,IFERROR(BL42+BL55,#N/A))</f>
        <v>5169.637528309484</v>
      </c>
      <c r="BM68" s="370">
        <f>IF('Data (Calculations)'!AP27="NA",#N/A,IFERROR(BM42+BM55,#N/A))</f>
        <v>4743.2527947437557</v>
      </c>
      <c r="BN68" s="370">
        <f>IF('Data (Calculations)'!AQ27="NA",#N/A,IFERROR(BN42+BN55,#N/A))</f>
        <v>4294.1680781875539</v>
      </c>
      <c r="BO68" s="370">
        <f>IF('Data (Calculations)'!AR27="NA",#N/A,IFERROR(BO42+BO55,#N/A))</f>
        <v>3823.0081684990118</v>
      </c>
      <c r="BP68" s="370">
        <f>IF('Data (Calculations)'!AS27="NA",#N/A,IFERROR(BP42+BP55,#N/A))</f>
        <v>3330.456886694054</v>
      </c>
      <c r="BQ68" s="370">
        <f>IF('Data (Calculations)'!AT27="NA",#N/A,IFERROR(BQ42+BQ55,#N/A))</f>
        <v>2817.4054954154713</v>
      </c>
      <c r="BR68" s="370">
        <f>IF('Data (Calculations)'!AU27="NA",#N/A,IFERROR(BR42+BR55,#N/A))</f>
        <v>2284.9448520426326</v>
      </c>
      <c r="BS68" s="370">
        <f>IF('Data (Calculations)'!AV27="NA",#N/A,IFERROR(BS42+BS55,#N/A))</f>
        <v>1734.3068831509177</v>
      </c>
      <c r="BT68" s="370">
        <f>IF('Data (Calculations)'!AW27="NA",#N/A,IFERROR(BT42+BT55,#N/A))</f>
        <v>1166.7169518687786</v>
      </c>
    </row>
    <row r="69" spans="1:72">
      <c r="A69" s="17"/>
      <c r="E69" s="162" t="s">
        <v>25</v>
      </c>
      <c r="F69" s="370" t="e">
        <f>IFERROR(F43+F56, #N/A)</f>
        <v>#N/A</v>
      </c>
      <c r="G69" s="370">
        <f t="shared" ref="G69:AI69" si="113">IFERROR(G43+G56, #N/A)</f>
        <v>4547.0811967200716</v>
      </c>
      <c r="H69" s="370">
        <f t="shared" si="113"/>
        <v>9710.0446651751299</v>
      </c>
      <c r="I69" s="370">
        <f t="shared" si="113"/>
        <v>1330.4146606234185</v>
      </c>
      <c r="J69" s="370">
        <f t="shared" si="113"/>
        <v>3609.3728920191347</v>
      </c>
      <c r="K69" s="370">
        <f t="shared" si="113"/>
        <v>3278.01066652287</v>
      </c>
      <c r="L69" s="370">
        <f t="shared" si="113"/>
        <v>1303.4713204299492</v>
      </c>
      <c r="M69" s="370">
        <f t="shared" si="113"/>
        <v>1459.1656975128647</v>
      </c>
      <c r="N69" s="370" t="e">
        <f t="shared" si="113"/>
        <v>#N/A</v>
      </c>
      <c r="O69" s="370">
        <f t="shared" si="113"/>
        <v>1213.8947020318635</v>
      </c>
      <c r="P69" s="370">
        <f t="shared" si="113"/>
        <v>1210.8597061150258</v>
      </c>
      <c r="Q69" s="370">
        <f t="shared" si="113"/>
        <v>1132.2314198552058</v>
      </c>
      <c r="R69" s="370">
        <f t="shared" si="113"/>
        <v>1048.8081658498336</v>
      </c>
      <c r="S69" s="370">
        <f t="shared" si="113"/>
        <v>960.94319237334082</v>
      </c>
      <c r="T69" s="370">
        <f t="shared" si="113"/>
        <v>868.77384411996343</v>
      </c>
      <c r="U69" s="370">
        <f t="shared" si="113"/>
        <v>772.42248897230706</v>
      </c>
      <c r="V69" s="370">
        <f t="shared" si="113"/>
        <v>672.02313800381171</v>
      </c>
      <c r="W69" s="370">
        <f t="shared" si="113"/>
        <v>567.75133514213633</v>
      </c>
      <c r="X69" s="370">
        <f t="shared" si="113"/>
        <v>459.82238152626127</v>
      </c>
      <c r="Y69" s="370">
        <f t="shared" si="113"/>
        <v>348.47939508893342</v>
      </c>
      <c r="Z69" s="370">
        <f t="shared" si="113"/>
        <v>233.96357806670738</v>
      </c>
      <c r="AA69" s="370"/>
      <c r="AB69" s="370"/>
      <c r="AC69" s="370" t="e">
        <f t="shared" si="113"/>
        <v>#N/A</v>
      </c>
      <c r="AD69" s="370">
        <f t="shared" si="113"/>
        <v>2875.8170097723319</v>
      </c>
      <c r="AE69" s="370">
        <f t="shared" si="113"/>
        <v>7852.8739241192225</v>
      </c>
      <c r="AF69" s="370">
        <f t="shared" si="113"/>
        <v>0</v>
      </c>
      <c r="AG69" s="370">
        <f t="shared" si="113"/>
        <v>2011.9160449866642</v>
      </c>
      <c r="AH69" s="370">
        <f t="shared" si="113"/>
        <v>1691.2451296108866</v>
      </c>
      <c r="AI69" s="370">
        <f t="shared" si="113"/>
        <v>0</v>
      </c>
      <c r="AJ69" s="370">
        <f>IFERROR(AJ43+AJ56, #N/A)</f>
        <v>0</v>
      </c>
      <c r="AK69" s="370" t="e">
        <f t="shared" ref="AK69:BC69" si="114">IFERROR(AK43+AK56, #N/A)</f>
        <v>#N/A</v>
      </c>
      <c r="AL69" s="370">
        <f t="shared" si="114"/>
        <v>0</v>
      </c>
      <c r="AM69" s="370">
        <f t="shared" si="114"/>
        <v>0</v>
      </c>
      <c r="AN69" s="370">
        <f t="shared" si="114"/>
        <v>0</v>
      </c>
      <c r="AO69" s="370">
        <f t="shared" si="114"/>
        <v>0</v>
      </c>
      <c r="AP69" s="370">
        <f t="shared" si="114"/>
        <v>0</v>
      </c>
      <c r="AQ69" s="370">
        <f t="shared" si="114"/>
        <v>0</v>
      </c>
      <c r="AR69" s="370">
        <f t="shared" si="114"/>
        <v>0</v>
      </c>
      <c r="AS69" s="370">
        <f t="shared" si="114"/>
        <v>0</v>
      </c>
      <c r="AT69" s="370">
        <f t="shared" si="114"/>
        <v>0</v>
      </c>
      <c r="AU69" s="370">
        <f t="shared" si="114"/>
        <v>0</v>
      </c>
      <c r="AV69" s="370">
        <f t="shared" si="114"/>
        <v>0</v>
      </c>
      <c r="AW69" s="370">
        <f t="shared" si="114"/>
        <v>0</v>
      </c>
      <c r="AX69" s="370"/>
      <c r="AY69" s="370"/>
      <c r="AZ69" s="370" t="e">
        <f t="shared" si="114"/>
        <v>#N/A</v>
      </c>
      <c r="BA69" s="370">
        <f t="shared" si="114"/>
        <v>6282.8639244598853</v>
      </c>
      <c r="BB69" s="370">
        <f t="shared" si="114"/>
        <v>11604.145088176838</v>
      </c>
      <c r="BC69" s="370">
        <f t="shared" si="114"/>
        <v>2906.7485741061</v>
      </c>
      <c r="BD69" s="370">
        <f>IFERROR(BD43+BD56, #N/A)</f>
        <v>5227.2673615210233</v>
      </c>
      <c r="BE69" s="370">
        <f t="shared" ref="BE69:BT69" si="115">IFERROR(BE43+BE56, #N/A)</f>
        <v>4889.5574049469669</v>
      </c>
      <c r="BF69" s="370">
        <f t="shared" si="115"/>
        <v>2855.3146720026716</v>
      </c>
      <c r="BG69" s="370">
        <f t="shared" si="115"/>
        <v>3012.7102386613265</v>
      </c>
      <c r="BH69" s="370" t="e">
        <f t="shared" si="115"/>
        <v>#N/A</v>
      </c>
      <c r="BI69" s="370">
        <f t="shared" si="115"/>
        <v>2631.8006206656064</v>
      </c>
      <c r="BJ69" s="370">
        <f t="shared" si="115"/>
        <v>2625.2205572348316</v>
      </c>
      <c r="BK69" s="370">
        <f t="shared" si="115"/>
        <v>2483.9403306850163</v>
      </c>
      <c r="BL69" s="370">
        <f t="shared" si="115"/>
        <v>2333.1509978824333</v>
      </c>
      <c r="BM69" s="370">
        <f t="shared" si="115"/>
        <v>2173.5786742304272</v>
      </c>
      <c r="BN69" s="370">
        <f t="shared" si="115"/>
        <v>2005.4787535907601</v>
      </c>
      <c r="BO69" s="370">
        <f t="shared" si="115"/>
        <v>1829.0664244724762</v>
      </c>
      <c r="BP69" s="370">
        <f t="shared" si="115"/>
        <v>1644.5716864333124</v>
      </c>
      <c r="BQ69" s="370">
        <f t="shared" si="115"/>
        <v>1452.3083130644652</v>
      </c>
      <c r="BR69" s="370">
        <f t="shared" si="115"/>
        <v>1252.6750147067207</v>
      </c>
      <c r="BS69" s="370">
        <f t="shared" si="115"/>
        <v>1046.1350163597051</v>
      </c>
      <c r="BT69" s="370">
        <f t="shared" si="115"/>
        <v>833.13891593240896</v>
      </c>
    </row>
    <row r="70" spans="1:72">
      <c r="A70" s="17"/>
      <c r="B70" s="331"/>
      <c r="E70" s="60" t="s">
        <v>33</v>
      </c>
      <c r="F70" s="370" t="e">
        <f>IFERROR(F44+F57, #N/A)</f>
        <v>#N/A</v>
      </c>
      <c r="G70" s="370">
        <f t="shared" ref="G70:AI70" si="116">IFERROR(G44+G57, #N/A)</f>
        <v>3045.4067364245611</v>
      </c>
      <c r="H70" s="370">
        <f t="shared" si="116"/>
        <v>6524.8547912892318</v>
      </c>
      <c r="I70" s="370">
        <f t="shared" si="116"/>
        <v>896.39106304952918</v>
      </c>
      <c r="J70" s="370">
        <f t="shared" si="116"/>
        <v>2411.5210491753451</v>
      </c>
      <c r="K70" s="370">
        <f t="shared" si="116"/>
        <v>2190.8962048827902</v>
      </c>
      <c r="L70" s="370">
        <f t="shared" si="116"/>
        <v>879.69849727672158</v>
      </c>
      <c r="M70" s="370">
        <f t="shared" si="116"/>
        <v>983.64499721322159</v>
      </c>
      <c r="N70" s="370" t="e">
        <f t="shared" si="116"/>
        <v>#N/A</v>
      </c>
      <c r="O70" s="370">
        <f t="shared" si="116"/>
        <v>835.44421966916559</v>
      </c>
      <c r="P70" s="370">
        <f t="shared" si="116"/>
        <v>833.3554307559283</v>
      </c>
      <c r="Q70" s="370">
        <f t="shared" si="116"/>
        <v>787.12078162488581</v>
      </c>
      <c r="R70" s="370">
        <f t="shared" si="116"/>
        <v>738.03281083370837</v>
      </c>
      <c r="S70" s="370">
        <f t="shared" si="116"/>
        <v>686.32038804995864</v>
      </c>
      <c r="T70" s="370">
        <f t="shared" si="116"/>
        <v>632.06273912778443</v>
      </c>
      <c r="U70" s="370">
        <f t="shared" si="116"/>
        <v>575.32627575687479</v>
      </c>
      <c r="V70" s="370">
        <f t="shared" si="116"/>
        <v>516.18206008038089</v>
      </c>
      <c r="W70" s="370">
        <f t="shared" si="116"/>
        <v>454.7274646654206</v>
      </c>
      <c r="X70" s="370">
        <f t="shared" si="116"/>
        <v>391.08636986962205</v>
      </c>
      <c r="Y70" s="370">
        <f t="shared" si="116"/>
        <v>325.40258414829702</v>
      </c>
      <c r="Z70" s="370">
        <f t="shared" si="116"/>
        <v>257.81571150058227</v>
      </c>
      <c r="AA70" s="370"/>
      <c r="AB70" s="370"/>
      <c r="AC70" s="370" t="e">
        <f t="shared" si="116"/>
        <v>#N/A</v>
      </c>
      <c r="AD70" s="370">
        <f t="shared" si="116"/>
        <v>1935.0606071611428</v>
      </c>
      <c r="AE70" s="370">
        <f t="shared" si="116"/>
        <v>5307.2092763011669</v>
      </c>
      <c r="AF70" s="370">
        <f t="shared" si="116"/>
        <v>0</v>
      </c>
      <c r="AG70" s="370">
        <f t="shared" si="116"/>
        <v>1346.6195914071579</v>
      </c>
      <c r="AH70" s="370">
        <f t="shared" si="116"/>
        <v>1132.5714426996005</v>
      </c>
      <c r="AI70" s="370">
        <f t="shared" si="116"/>
        <v>0</v>
      </c>
      <c r="AJ70" s="370">
        <f>IFERROR(AJ44+AJ57, #N/A)</f>
        <v>0</v>
      </c>
      <c r="AK70" s="370" t="e">
        <f t="shared" ref="AK70:BC70" si="117">IFERROR(AK44+AK57, #N/A)</f>
        <v>#N/A</v>
      </c>
      <c r="AL70" s="370">
        <f t="shared" si="117"/>
        <v>0</v>
      </c>
      <c r="AM70" s="370">
        <f t="shared" si="117"/>
        <v>0</v>
      </c>
      <c r="AN70" s="370">
        <f t="shared" si="117"/>
        <v>0</v>
      </c>
      <c r="AO70" s="370">
        <f t="shared" si="117"/>
        <v>0</v>
      </c>
      <c r="AP70" s="370">
        <f t="shared" si="117"/>
        <v>0</v>
      </c>
      <c r="AQ70" s="370">
        <f t="shared" si="117"/>
        <v>0</v>
      </c>
      <c r="AR70" s="370">
        <f t="shared" si="117"/>
        <v>0</v>
      </c>
      <c r="AS70" s="370">
        <f t="shared" si="117"/>
        <v>0</v>
      </c>
      <c r="AT70" s="370">
        <f t="shared" si="117"/>
        <v>0</v>
      </c>
      <c r="AU70" s="370">
        <f t="shared" si="117"/>
        <v>0</v>
      </c>
      <c r="AV70" s="370">
        <f t="shared" si="117"/>
        <v>0</v>
      </c>
      <c r="AW70" s="370">
        <f t="shared" si="117"/>
        <v>0</v>
      </c>
      <c r="AX70" s="370"/>
      <c r="AY70" s="370"/>
      <c r="AZ70" s="370" t="e">
        <f t="shared" si="117"/>
        <v>#N/A</v>
      </c>
      <c r="BA70" s="370">
        <f t="shared" si="117"/>
        <v>4193.3540413098635</v>
      </c>
      <c r="BB70" s="370">
        <f t="shared" si="117"/>
        <v>7764.0227932935395</v>
      </c>
      <c r="BC70" s="370">
        <f t="shared" si="117"/>
        <v>1949.5507835793601</v>
      </c>
      <c r="BD70" s="370">
        <f>IFERROR(BD44+BD57, #N/A)</f>
        <v>3488.3334804765973</v>
      </c>
      <c r="BE70" s="370">
        <f t="shared" ref="BE70:BT70" si="118">IFERROR(BE44+BE57, #N/A)</f>
        <v>3263.6633629840958</v>
      </c>
      <c r="BF70" s="370">
        <f t="shared" si="118"/>
        <v>1917.4851132379019</v>
      </c>
      <c r="BG70" s="370">
        <f t="shared" si="118"/>
        <v>2022.293648119869</v>
      </c>
      <c r="BH70" s="370" t="e">
        <f t="shared" si="118"/>
        <v>#N/A</v>
      </c>
      <c r="BI70" s="370">
        <f t="shared" si="118"/>
        <v>1794.6463840340055</v>
      </c>
      <c r="BJ70" s="370">
        <f t="shared" si="118"/>
        <v>1790.1593849239562</v>
      </c>
      <c r="BK70" s="370">
        <f t="shared" si="118"/>
        <v>1706.9854590105185</v>
      </c>
      <c r="BL70" s="370">
        <f t="shared" si="118"/>
        <v>1618.1497624167519</v>
      </c>
      <c r="BM70" s="370">
        <f t="shared" si="118"/>
        <v>1524.1223417065114</v>
      </c>
      <c r="BN70" s="370">
        <f t="shared" si="118"/>
        <v>1425.0503721517571</v>
      </c>
      <c r="BO70" s="370">
        <f t="shared" si="118"/>
        <v>1321.0492708529114</v>
      </c>
      <c r="BP70" s="370">
        <f t="shared" si="118"/>
        <v>1212.2387353327624</v>
      </c>
      <c r="BQ70" s="370">
        <f t="shared" si="118"/>
        <v>1098.7915767252507</v>
      </c>
      <c r="BR70" s="370">
        <f t="shared" si="118"/>
        <v>980.9369086097488</v>
      </c>
      <c r="BS70" s="370">
        <f t="shared" si="118"/>
        <v>858.94901776857921</v>
      </c>
      <c r="BT70" s="370">
        <f t="shared" si="118"/>
        <v>733.08853869174152</v>
      </c>
    </row>
    <row r="71" spans="1:72">
      <c r="A71" s="17"/>
      <c r="E71" s="60" t="s">
        <v>28</v>
      </c>
      <c r="F71" s="370" t="e">
        <f>IFERROR(F45+F58,#N/A)</f>
        <v>#N/A</v>
      </c>
      <c r="G71" s="370">
        <f t="shared" ref="G71:AI71" si="119">IFERROR(G45+G58,#N/A)</f>
        <v>7541.2299700975045</v>
      </c>
      <c r="H71" s="370">
        <f t="shared" si="119"/>
        <v>16046.632997177485</v>
      </c>
      <c r="I71" s="370">
        <f t="shared" si="119"/>
        <v>2192.2616346676891</v>
      </c>
      <c r="J71" s="370">
        <f t="shared" si="119"/>
        <v>6001.616529443766</v>
      </c>
      <c r="K71" s="370">
        <f t="shared" si="119"/>
        <v>5448.5936219524556</v>
      </c>
      <c r="L71" s="370">
        <f t="shared" si="119"/>
        <v>2143.9835305866586</v>
      </c>
      <c r="M71" s="370">
        <f t="shared" si="119"/>
        <v>2403.0750613528521</v>
      </c>
      <c r="N71" s="370" t="e">
        <f t="shared" si="119"/>
        <v>#N/A</v>
      </c>
      <c r="O71" s="370">
        <f t="shared" si="119"/>
        <v>1953.6143297383094</v>
      </c>
      <c r="P71" s="370">
        <f t="shared" si="119"/>
        <v>1948.7298768249661</v>
      </c>
      <c r="Q71" s="370">
        <f t="shared" si="119"/>
        <v>1801.2559295611672</v>
      </c>
      <c r="R71" s="370">
        <f t="shared" si="119"/>
        <v>1644.8784163317659</v>
      </c>
      <c r="S71" s="370">
        <f t="shared" si="119"/>
        <v>1480.2036930256563</v>
      </c>
      <c r="T71" s="370">
        <f t="shared" si="119"/>
        <v>1307.4934383541972</v>
      </c>
      <c r="U71" s="370">
        <f t="shared" si="119"/>
        <v>1126.9918858631065</v>
      </c>
      <c r="V71" s="370">
        <f t="shared" si="119"/>
        <v>938.97093979959095</v>
      </c>
      <c r="W71" s="370">
        <f t="shared" si="119"/>
        <v>743.77538653357033</v>
      </c>
      <c r="X71" s="370">
        <f t="shared" si="119"/>
        <v>541.8162665303397</v>
      </c>
      <c r="Y71" s="370">
        <f t="shared" si="119"/>
        <v>333.54730647429466</v>
      </c>
      <c r="Z71" s="370">
        <f t="shared" si="119"/>
        <v>119.42681593088527</v>
      </c>
      <c r="AA71" s="370"/>
      <c r="AB71" s="370"/>
      <c r="AC71" s="370" t="e">
        <f t="shared" si="119"/>
        <v>#N/A</v>
      </c>
      <c r="AD71" s="370">
        <f t="shared" si="119"/>
        <v>4745.6162333206048</v>
      </c>
      <c r="AE71" s="370">
        <f t="shared" si="119"/>
        <v>12896.979473984853</v>
      </c>
      <c r="AF71" s="370">
        <f t="shared" si="119"/>
        <v>0</v>
      </c>
      <c r="AG71" s="370">
        <f t="shared" si="119"/>
        <v>3339.0031149663955</v>
      </c>
      <c r="AH71" s="370">
        <f t="shared" si="119"/>
        <v>2805.2622383666085</v>
      </c>
      <c r="AI71" s="370">
        <f t="shared" si="119"/>
        <v>0</v>
      </c>
      <c r="AJ71" s="370">
        <f>IFERROR(AJ45+AJ58,#N/A)</f>
        <v>0</v>
      </c>
      <c r="AK71" s="370" t="e">
        <f t="shared" ref="AK71:BC71" si="120">IFERROR(AK45+AK58,#N/A)</f>
        <v>#N/A</v>
      </c>
      <c r="AL71" s="370">
        <f t="shared" si="120"/>
        <v>0</v>
      </c>
      <c r="AM71" s="370">
        <f t="shared" si="120"/>
        <v>0</v>
      </c>
      <c r="AN71" s="370">
        <f t="shared" si="120"/>
        <v>0</v>
      </c>
      <c r="AO71" s="370">
        <f t="shared" si="120"/>
        <v>0</v>
      </c>
      <c r="AP71" s="370">
        <f t="shared" si="120"/>
        <v>0</v>
      </c>
      <c r="AQ71" s="370">
        <f t="shared" si="120"/>
        <v>0</v>
      </c>
      <c r="AR71" s="370">
        <f t="shared" si="120"/>
        <v>0</v>
      </c>
      <c r="AS71" s="370">
        <f t="shared" si="120"/>
        <v>0</v>
      </c>
      <c r="AT71" s="370">
        <f t="shared" si="120"/>
        <v>0</v>
      </c>
      <c r="AU71" s="370">
        <f t="shared" si="120"/>
        <v>0</v>
      </c>
      <c r="AV71" s="370">
        <f t="shared" si="120"/>
        <v>0</v>
      </c>
      <c r="AW71" s="370">
        <f t="shared" si="120"/>
        <v>0</v>
      </c>
      <c r="AX71" s="370"/>
      <c r="AY71" s="370"/>
      <c r="AZ71" s="370" t="e">
        <f t="shared" si="120"/>
        <v>#N/A</v>
      </c>
      <c r="BA71" s="370">
        <f t="shared" si="120"/>
        <v>10458.748068101531</v>
      </c>
      <c r="BB71" s="370">
        <f t="shared" si="120"/>
        <v>19266.063195921917</v>
      </c>
      <c r="BC71" s="370">
        <f t="shared" si="120"/>
        <v>4813.4539546070437</v>
      </c>
      <c r="BD71" s="370">
        <f>IFERROR(BD45+BD58,#N/A)</f>
        <v>8702.8457477125594</v>
      </c>
      <c r="BE71" s="370">
        <f t="shared" ref="BE71:BT71" si="121">IFERROR(BE45+BE58,#N/A)</f>
        <v>8138.7477715786927</v>
      </c>
      <c r="BF71" s="370">
        <f t="shared" si="121"/>
        <v>4721.8243529710062</v>
      </c>
      <c r="BG71" s="370">
        <f t="shared" si="121"/>
        <v>4984.4739425799098</v>
      </c>
      <c r="BH71" s="370" t="e">
        <f t="shared" si="121"/>
        <v>#N/A</v>
      </c>
      <c r="BI71" s="370">
        <f t="shared" si="121"/>
        <v>4279.7851759476944</v>
      </c>
      <c r="BJ71" s="370">
        <f t="shared" si="121"/>
        <v>4269.0847992904755</v>
      </c>
      <c r="BK71" s="370">
        <f t="shared" si="121"/>
        <v>4004.3647612330537</v>
      </c>
      <c r="BL71" s="370">
        <f t="shared" si="121"/>
        <v>3721.9962488013662</v>
      </c>
      <c r="BM71" s="370">
        <f t="shared" si="121"/>
        <v>3423.2267225091728</v>
      </c>
      <c r="BN71" s="370">
        <f t="shared" si="121"/>
        <v>3108.5431644401333</v>
      </c>
      <c r="BO71" s="370">
        <f t="shared" si="121"/>
        <v>2778.3787084210908</v>
      </c>
      <c r="BP71" s="370">
        <f t="shared" si="121"/>
        <v>2433.206031386861</v>
      </c>
      <c r="BQ71" s="370">
        <f t="shared" si="121"/>
        <v>2073.6447004826528</v>
      </c>
      <c r="BR71" s="370">
        <f t="shared" si="121"/>
        <v>1700.4566995597074</v>
      </c>
      <c r="BS71" s="370">
        <f t="shared" si="121"/>
        <v>1314.5057902886979</v>
      </c>
      <c r="BT71" s="370">
        <f t="shared" si="121"/>
        <v>916.6485926177179</v>
      </c>
    </row>
    <row r="72" spans="1:72">
      <c r="A72" s="17"/>
      <c r="B72" s="92"/>
      <c r="E72" s="86" t="s">
        <v>106</v>
      </c>
      <c r="F72" s="268" t="e">
        <f>IF('Data (Calculations)'!F27="NA",#N/A, IFERROR(F60,#N/A))</f>
        <v>#N/A</v>
      </c>
      <c r="G72" s="268">
        <f>IF('Data (Calculations)'!G27="NA",#N/A, IFERROR(G60,#N/A))</f>
        <v>24613.217558820146</v>
      </c>
      <c r="H72" s="268">
        <f>IF('Data (Calculations)'!H27="NA",#N/A, IFERROR(H60,#N/A))</f>
        <v>52340.154487317777</v>
      </c>
      <c r="I72" s="268">
        <f>IF('Data (Calculations)'!I27="NA",#N/A, IFERROR(I60,#N/A))</f>
        <v>7146.9208240062662</v>
      </c>
      <c r="J72" s="268">
        <f>IF('Data (Calculations)'!J27="NA",#N/A, IFERROR(J60,#N/A))</f>
        <v>19597.207216902756</v>
      </c>
      <c r="K72" s="268">
        <f>IF('Data (Calculations)'!K27="NA",#N/A, IFERROR(K60,#N/A))</f>
        <v>17790.23190672668</v>
      </c>
      <c r="L72" s="268">
        <f>IF('Data (Calculations)'!L27="NA",#N/A, IFERROR(L60,#N/A))</f>
        <v>6987.2681822336799</v>
      </c>
      <c r="M72" s="268">
        <f>IF('Data (Calculations)'!M27="NA",#N/A, IFERROR(M60,#N/A))</f>
        <v>7833.4037813142877</v>
      </c>
      <c r="N72" s="268" t="e">
        <f>IF('Data (Calculations)'!N27="NA",#N/A, IFERROR(N60,#N/A))</f>
        <v>#N/A</v>
      </c>
      <c r="O72" s="268">
        <f>IF('Data (Calculations)'!O27="NA",#N/A, IFERROR(O60,#N/A))</f>
        <v>6341.7170241009298</v>
      </c>
      <c r="P72" s="268">
        <f>IF('Data (Calculations)'!P27="NA",#N/A, IFERROR(P60,#N/A))</f>
        <v>6325.8613776089624</v>
      </c>
      <c r="Q72" s="268">
        <f>IF('Data (Calculations)'!Q27="NA",#N/A, IFERROR(Q60,#N/A))</f>
        <v>5834.643580805563</v>
      </c>
      <c r="R72" s="268">
        <f>IF('Data (Calculations)'!R27="NA",#N/A, IFERROR(R60,#N/A))</f>
        <v>5313.8150877330245</v>
      </c>
      <c r="S72" s="268">
        <f>IF('Data (Calculations)'!S27="NA",#N/A, IFERROR(S60,#N/A))</f>
        <v>4765.3668118967644</v>
      </c>
      <c r="T72" s="268">
        <f>IF('Data (Calculations)'!T27="NA",#N/A, IFERROR(T60,#N/A))</f>
        <v>4190.1724618734206</v>
      </c>
      <c r="U72" s="268">
        <f>IF('Data (Calculations)'!U27="NA",#N/A, IFERROR(U60,#N/A))</f>
        <v>3589.0530915593304</v>
      </c>
      <c r="V72" s="268">
        <f>IF('Data (Calculations)'!V27="NA",#N/A, IFERROR(V60,#N/A))</f>
        <v>2962.9249105594718</v>
      </c>
      <c r="W72" s="268">
        <f>IF('Data (Calculations)'!W27="NA",#N/A, IFERROR(W60,#N/A))</f>
        <v>2312.9443203650026</v>
      </c>
      <c r="X72" s="268">
        <f>IF('Data (Calculations)'!X27="NA",#N/A, IFERROR(X60,#N/A))</f>
        <v>1640.4841479443094</v>
      </c>
      <c r="Y72" s="268">
        <f>IF('Data (Calculations)'!Y27="NA",#N/A, IFERROR(Y60,#N/A))</f>
        <v>947.05454332556894</v>
      </c>
      <c r="Z72" s="268">
        <f>IF('Data (Calculations)'!Z27="NA",#N/A, IFERROR(Z60,#N/A))</f>
        <v>234.18510974872231</v>
      </c>
      <c r="AA72" s="268"/>
      <c r="AB72" s="268"/>
      <c r="AC72" s="268" t="e">
        <f>IF('Data (Calculations)'!AZ27="NA",#N/A, IFERROR(AC60,#N/A))</f>
        <v>#N/A</v>
      </c>
      <c r="AD72" s="268">
        <f>IF('Data (Calculations)'!BA27="NA",#N/A, IFERROR(AD60,#N/A))</f>
        <v>15475.014671607732</v>
      </c>
      <c r="AE72" s="268">
        <f>IF('Data (Calculations)'!BB27="NA",#N/A, IFERROR(AE60,#N/A))</f>
        <v>42019.9442082194</v>
      </c>
      <c r="AF72" s="268">
        <f>IF('Data (Calculations)'!BC27="NA",#N/A, IFERROR(AF60,#N/A))</f>
        <v>0</v>
      </c>
      <c r="AG72" s="268">
        <f>IF('Data (Calculations)'!BD27="NA",#N/A, IFERROR(AG60,#N/A))</f>
        <v>10899.229888805236</v>
      </c>
      <c r="AH72" s="268">
        <f>IF('Data (Calculations)'!BE27="NA",#N/A, IFERROR(AH60,#N/A))</f>
        <v>9156.0860268416054</v>
      </c>
      <c r="AI72" s="268">
        <f>IF('Data (Calculations)'!BF27="NA",#N/A, IFERROR(AI60,#N/A))</f>
        <v>0</v>
      </c>
      <c r="AJ72" s="268">
        <f>IF('Data (Calculations)'!BG27="NA",#N/A, IFERROR(AJ60,#N/A))</f>
        <v>0</v>
      </c>
      <c r="AK72" s="268" t="e">
        <f>IF('Data (Calculations)'!BH27="NA",#N/A, IFERROR(AK60,#N/A))</f>
        <v>#N/A</v>
      </c>
      <c r="AL72" s="268">
        <f>IF('Data (Calculations)'!BI27="NA",#N/A, IFERROR(AL60,#N/A))</f>
        <v>0</v>
      </c>
      <c r="AM72" s="268">
        <f>IF('Data (Calculations)'!BJ27="NA",#N/A, IFERROR(AM60,#N/A))</f>
        <v>0</v>
      </c>
      <c r="AN72" s="268">
        <f>IF('Data (Calculations)'!BK27="NA",#N/A, IFERROR(AN60,#N/A))</f>
        <v>0</v>
      </c>
      <c r="AO72" s="268">
        <f>IF('Data (Calculations)'!BL27="NA",#N/A, IFERROR(AO60,#N/A))</f>
        <v>0</v>
      </c>
      <c r="AP72" s="268">
        <f>IF('Data (Calculations)'!BM27="NA",#N/A, IFERROR(AP60,#N/A))</f>
        <v>0</v>
      </c>
      <c r="AQ72" s="268">
        <f>IF('Data (Calculations)'!BN27="NA",#N/A, IFERROR(AQ60,#N/A))</f>
        <v>0</v>
      </c>
      <c r="AR72" s="268">
        <f>IF('Data (Calculations)'!BO27="NA",#N/A, IFERROR(AR60,#N/A))</f>
        <v>0</v>
      </c>
      <c r="AS72" s="268">
        <f>IF('Data (Calculations)'!BP27="NA",#N/A, IFERROR(AS60,#N/A))</f>
        <v>0</v>
      </c>
      <c r="AT72" s="268">
        <f>IF('Data (Calculations)'!BQ27="NA",#N/A, IFERROR(AT60,#N/A))</f>
        <v>0</v>
      </c>
      <c r="AU72" s="268">
        <f>IF('Data (Calculations)'!BR27="NA",#N/A, IFERROR(AU60,#N/A))</f>
        <v>0</v>
      </c>
      <c r="AV72" s="268">
        <f>IF('Data (Calculations)'!BS27="NA",#N/A, IFERROR(AV60,#N/A))</f>
        <v>0</v>
      </c>
      <c r="AW72" s="268">
        <f>IF('Data (Calculations)'!BT27="NA",#N/A, IFERROR(AW60,#N/A))</f>
        <v>0</v>
      </c>
      <c r="AX72" s="268"/>
      <c r="AY72" s="268"/>
      <c r="AZ72" s="268" t="e">
        <f>IF('Data (Calculations)'!AC27="NA",#N/A, IFERROR(AZ60,#N/A))</f>
        <v>#N/A</v>
      </c>
      <c r="BA72" s="268">
        <f>IF('Data (Calculations)'!AD27="NA",#N/A, IFERROR(BA60,#N/A))</f>
        <v>34157.927236262069</v>
      </c>
      <c r="BB72" s="268">
        <f>IF('Data (Calculations)'!AE27="NA",#N/A, IFERROR(BB60,#N/A))</f>
        <v>62893.044648628063</v>
      </c>
      <c r="BC72" s="268">
        <f>IF('Data (Calculations)'!AF27="NA",#N/A, IFERROR(BC60,#N/A))</f>
        <v>15706.005783760425</v>
      </c>
      <c r="BD72" s="268">
        <f>IF('Data (Calculations)'!AG27="NA",#N/A, IFERROR(BD60,#N/A))</f>
        <v>28423.954232100616</v>
      </c>
      <c r="BE72" s="268">
        <f>IF('Data (Calculations)'!AH27="NA",#N/A, IFERROR(BE60,#N/A))</f>
        <v>26580.514713471031</v>
      </c>
      <c r="BF72" s="268">
        <f>IF('Data (Calculations)'!AI27="NA",#N/A, IFERROR(BF60,#N/A))</f>
        <v>15403.277534395813</v>
      </c>
      <c r="BG72" s="268">
        <f>IF('Data (Calculations)'!AJ27="NA",#N/A, IFERROR(BG60,#N/A))</f>
        <v>16261.452765710928</v>
      </c>
      <c r="BH72" s="268" t="e">
        <f>IF('Data (Calculations)'!AK27="NA",#N/A, IFERROR(BH60,#N/A))</f>
        <v>#N/A</v>
      </c>
      <c r="BI72" s="268">
        <f>IF('Data (Calculations)'!AL27="NA",#N/A, IFERROR(BI60,#N/A))</f>
        <v>13919.209099473206</v>
      </c>
      <c r="BJ72" s="268">
        <f>IF('Data (Calculations)'!AM27="NA",#N/A, IFERROR(BJ60,#N/A))</f>
        <v>13884.408105027971</v>
      </c>
      <c r="BK72" s="268">
        <f>IF('Data (Calculations)'!AN27="NA",#N/A, IFERROR(BK60,#N/A))</f>
        <v>13002.792490159074</v>
      </c>
      <c r="BL72" s="268">
        <f>IF('Data (Calculations)'!AO27="NA",#N/A, IFERROR(BL60,#N/A))</f>
        <v>12062.487566055464</v>
      </c>
      <c r="BM72" s="268">
        <f>IF('Data (Calculations)'!AP27="NA",#N/A, IFERROR(BM60,#N/A))</f>
        <v>11067.589854402097</v>
      </c>
      <c r="BN72" s="268">
        <f>IF('Data (Calculations)'!AQ27="NA",#N/A, IFERROR(BN60,#N/A))</f>
        <v>10019.725515770959</v>
      </c>
      <c r="BO72" s="268">
        <f>IF('Data (Calculations)'!AR27="NA",#N/A, IFERROR(BO60,#N/A))</f>
        <v>8920.3523931643613</v>
      </c>
      <c r="BP72" s="268">
        <f>IF('Data (Calculations)'!AS27="NA",#N/A, IFERROR(BP60,#N/A))</f>
        <v>7771.066068952794</v>
      </c>
      <c r="BQ72" s="268">
        <f>IF('Data (Calculations)'!AT27="NA",#N/A, IFERROR(BQ60,#N/A))</f>
        <v>6573.9461559694337</v>
      </c>
      <c r="BR72" s="268">
        <f>IF('Data (Calculations)'!AU27="NA",#N/A, IFERROR(BR60,#N/A))</f>
        <v>5331.5379880994769</v>
      </c>
      <c r="BS72" s="268">
        <f>IF('Data (Calculations)'!AV27="NA",#N/A, IFERROR(BS60,#N/A))</f>
        <v>4046.7160606854741</v>
      </c>
      <c r="BT72" s="268">
        <f>IF('Data (Calculations)'!AW27="NA",#N/A, IFERROR(BT60,#N/A))</f>
        <v>2722.3395543604834</v>
      </c>
    </row>
    <row r="73" spans="1:72">
      <c r="A73" s="17"/>
      <c r="E73" s="86"/>
      <c r="F73" s="268"/>
      <c r="G73" s="268"/>
      <c r="H73" s="268"/>
      <c r="I73" s="268"/>
      <c r="J73" s="268"/>
      <c r="K73" s="268"/>
      <c r="L73" s="268"/>
      <c r="M73" s="268"/>
      <c r="N73" s="268"/>
      <c r="O73" s="268"/>
      <c r="P73" s="268"/>
      <c r="Q73" s="268"/>
      <c r="R73" s="268"/>
      <c r="S73" s="268"/>
      <c r="T73" s="268"/>
      <c r="U73" s="268"/>
      <c r="V73" s="268"/>
      <c r="W73" s="268"/>
      <c r="X73" s="268"/>
      <c r="Y73" s="268"/>
      <c r="Z73" s="268"/>
      <c r="AA73" s="268"/>
      <c r="AB73" s="268"/>
      <c r="AC73" s="268"/>
      <c r="AD73" s="268"/>
      <c r="AE73" s="268"/>
      <c r="AF73" s="268"/>
      <c r="AG73" s="268"/>
      <c r="AH73" s="268"/>
      <c r="AI73" s="268"/>
      <c r="AJ73" s="268"/>
      <c r="AK73" s="268"/>
      <c r="AL73" s="268"/>
      <c r="AM73" s="268"/>
      <c r="AN73" s="268"/>
      <c r="AO73" s="268"/>
      <c r="AP73" s="268"/>
      <c r="AQ73" s="268"/>
      <c r="AR73" s="268"/>
      <c r="AS73" s="268"/>
      <c r="AT73" s="268"/>
      <c r="AU73" s="268"/>
      <c r="AV73" s="268"/>
      <c r="AW73" s="268"/>
      <c r="AX73" s="268"/>
      <c r="AY73" s="268"/>
      <c r="AZ73" s="268"/>
      <c r="BA73" s="268"/>
      <c r="BB73" s="268"/>
      <c r="BC73" s="268"/>
      <c r="BD73" s="268"/>
      <c r="BE73" s="268"/>
      <c r="BF73" s="268"/>
      <c r="BG73" s="268"/>
      <c r="BH73" s="268"/>
      <c r="BI73" s="268"/>
      <c r="BJ73" s="268"/>
      <c r="BK73" s="268"/>
      <c r="BL73" s="268"/>
      <c r="BM73" s="268"/>
      <c r="BN73" s="268"/>
      <c r="BO73" s="268"/>
      <c r="BP73" s="268"/>
      <c r="BQ73" s="268"/>
      <c r="BR73" s="268"/>
      <c r="BS73" s="268"/>
      <c r="BT73" s="268"/>
    </row>
    <row r="74" spans="1:72" ht="19">
      <c r="A74" s="17"/>
      <c r="B74" s="92"/>
      <c r="E74" s="169" t="s">
        <v>195</v>
      </c>
      <c r="F74" s="373"/>
      <c r="G74" s="373"/>
      <c r="H74" s="373"/>
      <c r="I74" s="373"/>
      <c r="J74" s="373"/>
      <c r="K74" s="373"/>
      <c r="L74" s="373"/>
      <c r="M74" s="373"/>
      <c r="N74" s="373"/>
      <c r="O74" s="373"/>
      <c r="P74" s="373"/>
      <c r="Q74" s="373"/>
      <c r="R74" s="373"/>
      <c r="S74" s="373"/>
      <c r="T74" s="373"/>
      <c r="U74" s="373"/>
      <c r="V74" s="373"/>
      <c r="W74" s="373"/>
      <c r="X74" s="373"/>
      <c r="Y74" s="373"/>
      <c r="Z74" s="373"/>
      <c r="AA74" s="373"/>
      <c r="AB74" s="373"/>
      <c r="AC74" s="373"/>
      <c r="AD74" s="373"/>
      <c r="AE74" s="373"/>
      <c r="AF74" s="373"/>
      <c r="AG74" s="373"/>
      <c r="AH74" s="373"/>
      <c r="AI74" s="373"/>
      <c r="AJ74" s="373"/>
      <c r="AK74" s="373"/>
      <c r="AL74" s="373"/>
      <c r="AM74" s="373"/>
      <c r="AN74" s="373"/>
      <c r="AO74" s="373"/>
      <c r="AP74" s="373"/>
      <c r="AQ74" s="373"/>
      <c r="AR74" s="373"/>
      <c r="AS74" s="373"/>
      <c r="AT74" s="373"/>
      <c r="AU74" s="373"/>
      <c r="AV74" s="373"/>
      <c r="AW74" s="373"/>
      <c r="AX74" s="373"/>
      <c r="AY74" s="373"/>
      <c r="AZ74" s="373"/>
      <c r="BA74" s="373"/>
      <c r="BB74" s="373"/>
      <c r="BC74" s="373"/>
      <c r="BD74" s="373"/>
      <c r="BE74" s="373"/>
      <c r="BF74" s="373"/>
      <c r="BG74" s="373"/>
      <c r="BH74" s="373"/>
      <c r="BI74" s="373"/>
      <c r="BJ74" s="373"/>
      <c r="BK74" s="373"/>
      <c r="BL74" s="373"/>
      <c r="BM74" s="373"/>
      <c r="BN74" s="373"/>
      <c r="BO74" s="373"/>
      <c r="BP74" s="373"/>
      <c r="BQ74" s="373"/>
      <c r="BR74" s="373"/>
      <c r="BS74" s="373"/>
      <c r="BT74" s="373"/>
    </row>
    <row r="75" spans="1:72">
      <c r="A75" s="17"/>
      <c r="B75" s="17"/>
      <c r="E75" s="162" t="s">
        <v>23</v>
      </c>
      <c r="F75" s="370" t="e">
        <f>'Data (Calculations)'!$E$78*(F28+F27)</f>
        <v>#VALUE!</v>
      </c>
      <c r="G75" s="370">
        <f>'Data (Calculations)'!$E$78*(G28+G27)</f>
        <v>26269823.001655277</v>
      </c>
      <c r="H75" s="370">
        <f>'Data (Calculations)'!$E$78*(H28+H27)</f>
        <v>26005509.28355848</v>
      </c>
      <c r="I75" s="370">
        <f>'Data (Calculations)'!$E$78*(I28+I27)</f>
        <v>25946793.084157493</v>
      </c>
      <c r="J75" s="370">
        <f>'Data (Calculations)'!$E$78*(J28+J27)</f>
        <v>25812249.120819204</v>
      </c>
      <c r="K75" s="370">
        <f>'Data (Calculations)'!$E$78*(K28+K27)</f>
        <v>25749123.513248861</v>
      </c>
      <c r="L75" s="370">
        <f>'Data (Calculations)'!$E$78*(L28+L27)</f>
        <v>25734536.185388442</v>
      </c>
      <c r="M75" s="370">
        <f>'Data (Calculations)'!$E$78*(M28+M27)</f>
        <v>25707802.01787702</v>
      </c>
      <c r="N75" s="370" t="e">
        <f>'Data (Calculations)'!$E$78*(N28+N27)</f>
        <v>#VALUE!</v>
      </c>
      <c r="O75" s="370">
        <f>'Data (Calculations)'!$E$78*(O28+O27)</f>
        <v>25631894.350718465</v>
      </c>
      <c r="P75" s="370">
        <f>'Data (Calculations)'!$E$78*(P28+P27)</f>
        <v>25567809.142532751</v>
      </c>
      <c r="Q75" s="370">
        <f>'Data (Calculations)'!$E$78*(Q28+Q27)</f>
        <v>25485628.100220703</v>
      </c>
      <c r="R75" s="370">
        <f>'Data (Calculations)'!$E$78*(R28+R27)</f>
        <v>25391665.234254271</v>
      </c>
      <c r="S75" s="370">
        <f>'Data (Calculations)'!$E$78*(S28+S27)</f>
        <v>25290526.175689735</v>
      </c>
      <c r="T75" s="370">
        <f>'Data (Calculations)'!$E$78*(T28+T27)</f>
        <v>25182047.079951558</v>
      </c>
      <c r="U75" s="370">
        <f>'Data (Calculations)'!$E$78*(U28+U27)</f>
        <v>25065245.8786388</v>
      </c>
      <c r="V75" s="370">
        <f>'Data (Calculations)'!$E$78*(V28+V27)</f>
        <v>24938712.908970457</v>
      </c>
      <c r="W75" s="370">
        <f>'Data (Calculations)'!$E$78*(W28+W27)</f>
        <v>24801460.108231865</v>
      </c>
      <c r="X75" s="370">
        <f>'Data (Calculations)'!$E$78*(X28+X27)</f>
        <v>24653167.779690258</v>
      </c>
      <c r="Y75" s="370">
        <f>'Data (Calculations)'!$E$78*(Y28+Y27)</f>
        <v>24494260.520568825</v>
      </c>
      <c r="Z75" s="370">
        <f>'Data (Calculations)'!$E$78*(Z28+Z27)</f>
        <v>24324544.514723338</v>
      </c>
      <c r="AA75" s="370"/>
      <c r="AB75" s="370"/>
      <c r="AC75" s="370" t="e">
        <f>'Data (Calculations)'!$E$78*(AC28+AC27)</f>
        <v>#VALUE!</v>
      </c>
      <c r="AD75" s="370">
        <f>'Data (Calculations)'!$E$78*(AD28+AD27)</f>
        <v>26287880.022872422</v>
      </c>
      <c r="AE75" s="370">
        <f>'Data (Calculations)'!$E$78*(AE28+AE27)</f>
        <v>26023427.732083403</v>
      </c>
      <c r="AF75" s="370">
        <f>'Data (Calculations)'!$E$78*(AF28+AF27)</f>
        <v>25962822.530788001</v>
      </c>
      <c r="AG75" s="370">
        <f>'Data (Calculations)'!$E$78*(AG28+AG27)</f>
        <v>25829984.306291722</v>
      </c>
      <c r="AH75" s="370">
        <f>'Data (Calculations)'!$E$78*(AH28+AH27)</f>
        <v>25766812.895302735</v>
      </c>
      <c r="AI75" s="370">
        <f>'Data (Calculations)'!$E$78*(AI28+AI27)</f>
        <v>25750434.503651001</v>
      </c>
      <c r="AJ75" s="370">
        <f>'Data (Calculations)'!$E$78*(AJ28+AJ27)</f>
        <v>25725449.676355001</v>
      </c>
      <c r="AK75" s="370" t="e">
        <f>'Data (Calculations)'!$E$78*(AK28+AK27)</f>
        <v>#VALUE!</v>
      </c>
      <c r="AL75" s="370">
        <f>'Data (Calculations)'!$E$78*(AL28+AL27)</f>
        <v>25648845.668017</v>
      </c>
      <c r="AM75" s="370">
        <f>'Data (Calculations)'!$E$78*(AM28+AM27)</f>
        <v>25584718.077918999</v>
      </c>
      <c r="AN75" s="370">
        <f>'Data (Calculations)'!$E$78*(AN28+AN27)</f>
        <v>25502482.686251998</v>
      </c>
      <c r="AO75" s="370">
        <f>'Data (Calculations)'!$E$78*(AO28+AO27)</f>
        <v>25408457.679175999</v>
      </c>
      <c r="AP75" s="370">
        <f>'Data (Calculations)'!$E$78*(AP28+AP27)</f>
        <v>25307251.733620998</v>
      </c>
      <c r="AQ75" s="370">
        <f>'Data (Calculations)'!$E$78*(AQ28+AQ27)</f>
        <v>25198700.896655001</v>
      </c>
      <c r="AR75" s="370">
        <f>'Data (Calculations)'!$E$78*(AR28+AR27)</f>
        <v>25081822.450399</v>
      </c>
      <c r="AS75" s="370">
        <f>'Data (Calculations)'!$E$78*(AS28+AS27)</f>
        <v>24955205.79981</v>
      </c>
      <c r="AT75" s="370">
        <f>'Data (Calculations)'!$E$78*(AT28+AT27)</f>
        <v>24817862.228730999</v>
      </c>
      <c r="AU75" s="370">
        <f>'Data (Calculations)'!$E$78*(AU28+AU27)</f>
        <v>24669471.829002</v>
      </c>
      <c r="AV75" s="370">
        <f>'Data (Calculations)'!$E$78*(AV28+AV27)</f>
        <v>24510459.478647999</v>
      </c>
      <c r="AW75" s="370">
        <f>'Data (Calculations)'!$E$78*(AW28+AW27)</f>
        <v>24340631.233346999</v>
      </c>
      <c r="AX75" s="370"/>
      <c r="AY75" s="370"/>
      <c r="AZ75" s="370" t="e">
        <f>'Data (Calculations)'!$E$78*(AZ28+AZ27)</f>
        <v>#VALUE!</v>
      </c>
      <c r="BA75" s="370">
        <f>'Data (Calculations)'!$E$78*(BA28+BA27)</f>
        <v>26251765.980438132</v>
      </c>
      <c r="BB75" s="370">
        <f>'Data (Calculations)'!$E$78*(BB28+BB27)</f>
        <v>25987590.835033558</v>
      </c>
      <c r="BC75" s="370">
        <f>'Data (Calculations)'!$E$78*(BC28+BC27)</f>
        <v>25928982.587901372</v>
      </c>
      <c r="BD75" s="370">
        <f>'Data (Calculations)'!$E$78*(BD28+BD27)</f>
        <v>25794513.935346682</v>
      </c>
      <c r="BE75" s="370">
        <f>'Data (Calculations)'!$E$78*(BE28+BE27)</f>
        <v>25731434.131194983</v>
      </c>
      <c r="BF75" s="370">
        <f>'Data (Calculations)'!$E$78*(BF28+BF27)</f>
        <v>25716871.387318939</v>
      </c>
      <c r="BG75" s="370">
        <f>'Data (Calculations)'!$E$78*(BG28+BG27)</f>
        <v>25690154.359399039</v>
      </c>
      <c r="BH75" s="370" t="e">
        <f>'Data (Calculations)'!$E$78*(BH28+BH27)</f>
        <v>#VALUE!</v>
      </c>
      <c r="BI75" s="370">
        <f>'Data (Calculations)'!$E$78*(BI28+BI27)</f>
        <v>25614299.242590208</v>
      </c>
      <c r="BJ75" s="370">
        <f>'Data (Calculations)'!$E$78*(BJ28+BJ27)</f>
        <v>25550258.025931295</v>
      </c>
      <c r="BK75" s="370">
        <f>'Data (Calculations)'!$E$78*(BK28+BK27)</f>
        <v>25468133.397097934</v>
      </c>
      <c r="BL75" s="370">
        <f>'Data (Calculations)'!$E$78*(BL28+BL27)</f>
        <v>25374235.032286357</v>
      </c>
      <c r="BM75" s="370">
        <f>'Data (Calculations)'!$E$78*(BM28+BM27)</f>
        <v>25273165.40100047</v>
      </c>
      <c r="BN75" s="370">
        <f>'Data (Calculations)'!$E$78*(BN28+BN27)</f>
        <v>25164760.771136452</v>
      </c>
      <c r="BO75" s="370">
        <f>'Data (Calculations)'!$E$78*(BO28+BO27)</f>
        <v>25048039.748437822</v>
      </c>
      <c r="BP75" s="370">
        <f>'Data (Calculations)'!$E$78*(BP28+BP27)</f>
        <v>24921593.637791794</v>
      </c>
      <c r="BQ75" s="370">
        <f>'Data (Calculations)'!$E$78*(BQ28+BQ27)</f>
        <v>24784435.054742955</v>
      </c>
      <c r="BR75" s="370">
        <f>'Data (Calculations)'!$E$78*(BR28+BR27)</f>
        <v>24636244.522015557</v>
      </c>
      <c r="BS75" s="370">
        <f>'Data (Calculations)'!$E$78*(BS28+BS27)</f>
        <v>24477446.345366474</v>
      </c>
      <c r="BT75" s="370">
        <f>'Data (Calculations)'!$E$78*(BT28+BT27)</f>
        <v>24307846.841697261</v>
      </c>
    </row>
    <row r="76" spans="1:72">
      <c r="A76" s="17"/>
      <c r="B76" s="17"/>
      <c r="E76" s="162" t="s">
        <v>24</v>
      </c>
      <c r="F76" s="370" t="e">
        <f>'Data (Calculations)'!$E$79*(F28+F27)</f>
        <v>#VALUE!</v>
      </c>
      <c r="G76" s="370">
        <f>'Data (Calculations)'!$E$79*(G28+G27)</f>
        <v>7541.6036417202386</v>
      </c>
      <c r="H76" s="370">
        <f>'Data (Calculations)'!$E$79*(H28+H27)</f>
        <v>7465.7238271196666</v>
      </c>
      <c r="I76" s="370">
        <f>'Data (Calculations)'!$E$79*(I28+I27)</f>
        <v>7448.8674401085109</v>
      </c>
      <c r="J76" s="370">
        <f>'Data (Calculations)'!$E$79*(J28+J27)</f>
        <v>7410.242237197187</v>
      </c>
      <c r="K76" s="370">
        <f>'Data (Calculations)'!$E$79*(K28+K27)</f>
        <v>7392.1199867386167</v>
      </c>
      <c r="L76" s="370">
        <f>'Data (Calculations)'!$E$79*(L28+L27)</f>
        <v>7387.9322217541267</v>
      </c>
      <c r="M76" s="370">
        <f>'Data (Calculations)'!$E$79*(M28+M27)</f>
        <v>7380.2573129795292</v>
      </c>
      <c r="N76" s="370" t="e">
        <f>'Data (Calculations)'!$E$79*(N28+N27)</f>
        <v>#VALUE!</v>
      </c>
      <c r="O76" s="370">
        <f>'Data (Calculations)'!$E$79*(O28+O27)</f>
        <v>7358.4655582714231</v>
      </c>
      <c r="P76" s="370">
        <f>'Data (Calculations)'!$E$79*(P28+P27)</f>
        <v>7340.0678233722074</v>
      </c>
      <c r="Q76" s="370">
        <f>'Data (Calculations)'!$E$79*(Q28+Q27)</f>
        <v>7316.4750931150656</v>
      </c>
      <c r="R76" s="370">
        <f>'Data (Calculations)'!$E$79*(R28+R27)</f>
        <v>7289.5000087334829</v>
      </c>
      <c r="S76" s="370">
        <f>'Data (Calculations)'!$E$79*(S28+S27)</f>
        <v>7260.4647658107415</v>
      </c>
      <c r="T76" s="370">
        <f>'Data (Calculations)'!$E$79*(T28+T27)</f>
        <v>7229.322327454076</v>
      </c>
      <c r="U76" s="370">
        <f>'Data (Calculations)'!$E$79*(U28+U27)</f>
        <v>7195.7907591172016</v>
      </c>
      <c r="V76" s="370">
        <f>'Data (Calculations)'!$E$79*(V28+V27)</f>
        <v>7159.465371436123</v>
      </c>
      <c r="W76" s="370">
        <f>'Data (Calculations)'!$E$79*(W28+W27)</f>
        <v>7120.0625090026288</v>
      </c>
      <c r="X76" s="370">
        <f>'Data (Calculations)'!$E$79*(X28+X27)</f>
        <v>7077.4903925137551</v>
      </c>
      <c r="Y76" s="370">
        <f>'Data (Calculations)'!$E$79*(Y28+Y27)</f>
        <v>7031.8709163562462</v>
      </c>
      <c r="Z76" s="370">
        <f>'Data (Calculations)'!$E$79*(Z28+Z27)</f>
        <v>6983.1484393276851</v>
      </c>
      <c r="AA76" s="370"/>
      <c r="AB76" s="370"/>
      <c r="AC76" s="370" t="e">
        <f>'Data (Calculations)'!$E$79*(AC28+AC27)</f>
        <v>#VALUE!</v>
      </c>
      <c r="AD76" s="370">
        <f>'Data (Calculations)'!$E$79*(AD28+AD27)</f>
        <v>7546.7874945753283</v>
      </c>
      <c r="AE76" s="370">
        <f>'Data (Calculations)'!$E$79*(AE28+AE27)</f>
        <v>7470.8678981947187</v>
      </c>
      <c r="AF76" s="370">
        <f>'Data (Calculations)'!$E$79*(AF28+AF27)</f>
        <v>7453.469212</v>
      </c>
      <c r="AG76" s="370">
        <f>'Data (Calculations)'!$E$79*(AG28+AG27)</f>
        <v>7415.3336966766701</v>
      </c>
      <c r="AH76" s="370">
        <f>'Data (Calculations)'!$E$79*(AH28+AH27)</f>
        <v>7397.1982968630846</v>
      </c>
      <c r="AI76" s="370">
        <f>'Data (Calculations)'!$E$79*(AI28+AI27)</f>
        <v>7392.496349</v>
      </c>
      <c r="AJ76" s="370">
        <f>'Data (Calculations)'!$E$79*(AJ28+AJ27)</f>
        <v>7385.3236449999995</v>
      </c>
      <c r="AK76" s="370" t="e">
        <f>'Data (Calculations)'!$E$79*(AK28+AK27)</f>
        <v>#VALUE!</v>
      </c>
      <c r="AL76" s="370">
        <f>'Data (Calculations)'!$E$79*(AL28+AL27)</f>
        <v>7363.3319829999991</v>
      </c>
      <c r="AM76" s="370">
        <f>'Data (Calculations)'!$E$79*(AM28+AM27)</f>
        <v>7344.9220809999997</v>
      </c>
      <c r="AN76" s="370">
        <f>'Data (Calculations)'!$E$79*(AN28+AN27)</f>
        <v>7321.3137479999996</v>
      </c>
      <c r="AO76" s="370">
        <f>'Data (Calculations)'!$E$79*(AO28+AO27)</f>
        <v>7294.3208239999994</v>
      </c>
      <c r="AP76" s="370">
        <f>'Data (Calculations)'!$E$79*(AP28+AP27)</f>
        <v>7265.2663789999997</v>
      </c>
      <c r="AQ76" s="370">
        <f>'Data (Calculations)'!$E$79*(AQ28+AQ27)</f>
        <v>7234.1033449999995</v>
      </c>
      <c r="AR76" s="370">
        <f>'Data (Calculations)'!$E$79*(AR28+AR27)</f>
        <v>7200.5496009999997</v>
      </c>
      <c r="AS76" s="370">
        <f>'Data (Calculations)'!$E$79*(AS28+AS27)</f>
        <v>7164.2001899999996</v>
      </c>
      <c r="AT76" s="370">
        <f>'Data (Calculations)'!$E$79*(AT28+AT27)</f>
        <v>7124.7712689999998</v>
      </c>
      <c r="AU76" s="370">
        <f>'Data (Calculations)'!$E$79*(AU28+AU27)</f>
        <v>7082.1709979999996</v>
      </c>
      <c r="AV76" s="370">
        <f>'Data (Calculations)'!$E$79*(AV28+AV27)</f>
        <v>7036.5213519999998</v>
      </c>
      <c r="AW76" s="370">
        <f>'Data (Calculations)'!$E$79*(AW28+AW27)</f>
        <v>6987.7666529999997</v>
      </c>
      <c r="AX76" s="370"/>
      <c r="AY76" s="370"/>
      <c r="AZ76" s="370" t="e">
        <f>'Data (Calculations)'!$E$79*(AZ28+AZ27)</f>
        <v>#VALUE!</v>
      </c>
      <c r="BA76" s="370">
        <f>'Data (Calculations)'!$E$79*(BA28+BA27)</f>
        <v>7536.4197888651479</v>
      </c>
      <c r="BB76" s="370">
        <f>'Data (Calculations)'!$E$79*(BB28+BB27)</f>
        <v>7460.5797560446154</v>
      </c>
      <c r="BC76" s="370">
        <f>'Data (Calculations)'!$E$79*(BC28+BC27)</f>
        <v>7443.7543602290789</v>
      </c>
      <c r="BD76" s="370">
        <f>'Data (Calculations)'!$E$79*(BD28+BD27)</f>
        <v>7405.150777717703</v>
      </c>
      <c r="BE76" s="370">
        <f>'Data (Calculations)'!$E$79*(BE28+BE27)</f>
        <v>7387.0416766141479</v>
      </c>
      <c r="BF76" s="370">
        <f>'Data (Calculations)'!$E$79*(BF28+BF27)</f>
        <v>7382.8609692587124</v>
      </c>
      <c r="BG76" s="370">
        <f>'Data (Calculations)'!$E$79*(BG28+BG27)</f>
        <v>7375.1909809590588</v>
      </c>
      <c r="BH76" s="370" t="e">
        <f>'Data (Calculations)'!$E$79*(BH28+BH27)</f>
        <v>#VALUE!</v>
      </c>
      <c r="BI76" s="370">
        <f>'Data (Calculations)'!$E$79*(BI28+BI27)</f>
        <v>7353.4143125310857</v>
      </c>
      <c r="BJ76" s="370">
        <f>'Data (Calculations)'!$E$79*(BJ28+BJ27)</f>
        <v>7335.0292068246408</v>
      </c>
      <c r="BK76" s="370">
        <f>'Data (Calculations)'!$E$79*(BK28+BK27)</f>
        <v>7311.4526718839379</v>
      </c>
      <c r="BL76" s="370">
        <f>'Data (Calculations)'!$E$79*(BL28+BL27)</f>
        <v>7284.4961046482185</v>
      </c>
      <c r="BM76" s="370">
        <f>'Data (Calculations)'!$E$79*(BM28+BM27)</f>
        <v>7255.4807930747475</v>
      </c>
      <c r="BN76" s="370">
        <f>'Data (Calculations)'!$E$79*(BN28+BN27)</f>
        <v>7224.3597325594064</v>
      </c>
      <c r="BO76" s="370">
        <f>'Data (Calculations)'!$E$79*(BO28+BO27)</f>
        <v>7190.8511820909152</v>
      </c>
      <c r="BP76" s="370">
        <f>'Data (Calculations)'!$E$79*(BP28+BP27)</f>
        <v>7154.5507301057851</v>
      </c>
      <c r="BQ76" s="370">
        <f>'Data (Calculations)'!$E$79*(BQ28+BQ27)</f>
        <v>7115.1749159120945</v>
      </c>
      <c r="BR76" s="370">
        <f>'Data (Calculations)'!$E$79*(BR28+BR27)</f>
        <v>7072.6320232091257</v>
      </c>
      <c r="BS76" s="370">
        <f>'Data (Calculations)'!$E$79*(BS28+BS27)</f>
        <v>7027.0438627087751</v>
      </c>
      <c r="BT76" s="370">
        <f>'Data (Calculations)'!$E$79*(BT28+BT27)</f>
        <v>6978.3548314037271</v>
      </c>
    </row>
    <row r="77" spans="1:72">
      <c r="A77" s="17"/>
      <c r="B77" s="17"/>
      <c r="E77" s="162" t="s">
        <v>25</v>
      </c>
      <c r="F77" s="370" t="e">
        <f>'Data (Calculations)'!$E$80*(F28+F27)</f>
        <v>#VALUE!</v>
      </c>
      <c r="G77" s="370">
        <f>'Data (Calculations)'!$E$80*(G28+G27)</f>
        <v>0</v>
      </c>
      <c r="H77" s="370">
        <f>'Data (Calculations)'!$E$80*(H28+H27)</f>
        <v>0</v>
      </c>
      <c r="I77" s="370">
        <f>'Data (Calculations)'!$E$80*(I28+I27)</f>
        <v>0</v>
      </c>
      <c r="J77" s="370">
        <f>'Data (Calculations)'!$E$80*(J28+J27)</f>
        <v>0</v>
      </c>
      <c r="K77" s="370">
        <f>'Data (Calculations)'!$E$80*(K28+K27)</f>
        <v>0</v>
      </c>
      <c r="L77" s="370">
        <f>'Data (Calculations)'!$E$80*(L28+L27)</f>
        <v>0</v>
      </c>
      <c r="M77" s="370">
        <f>'Data (Calculations)'!$E$80*(M28+M27)</f>
        <v>0</v>
      </c>
      <c r="N77" s="370" t="e">
        <f>'Data (Calculations)'!$E$80*(N28+N27)</f>
        <v>#VALUE!</v>
      </c>
      <c r="O77" s="370">
        <f>'Data (Calculations)'!$E$80*(O28+O27)</f>
        <v>0</v>
      </c>
      <c r="P77" s="370">
        <f>'Data (Calculations)'!$E$80*(P28+P27)</f>
        <v>0</v>
      </c>
      <c r="Q77" s="370">
        <f>'Data (Calculations)'!$E$80*(Q28+Q27)</f>
        <v>0</v>
      </c>
      <c r="R77" s="370">
        <f>'Data (Calculations)'!$E$80*(R28+R27)</f>
        <v>0</v>
      </c>
      <c r="S77" s="370">
        <f>'Data (Calculations)'!$E$80*(S28+S27)</f>
        <v>0</v>
      </c>
      <c r="T77" s="370">
        <f>'Data (Calculations)'!$E$80*(T28+T27)</f>
        <v>0</v>
      </c>
      <c r="U77" s="370">
        <f>'Data (Calculations)'!$E$80*(U28+U27)</f>
        <v>0</v>
      </c>
      <c r="V77" s="370">
        <f>'Data (Calculations)'!$E$80*(V28+V27)</f>
        <v>0</v>
      </c>
      <c r="W77" s="370">
        <f>'Data (Calculations)'!$E$80*(W28+W27)</f>
        <v>0</v>
      </c>
      <c r="X77" s="370">
        <f>'Data (Calculations)'!$E$80*(X28+X27)</f>
        <v>0</v>
      </c>
      <c r="Y77" s="370">
        <f>'Data (Calculations)'!$E$80*(Y28+Y27)</f>
        <v>0</v>
      </c>
      <c r="Z77" s="370">
        <f>'Data (Calculations)'!$E$80*(Z28+Z27)</f>
        <v>0</v>
      </c>
      <c r="AA77" s="370"/>
      <c r="AB77" s="370"/>
      <c r="AC77" s="370" t="e">
        <f>'Data (Calculations)'!$E$80*(AC28+AC27)</f>
        <v>#VALUE!</v>
      </c>
      <c r="AD77" s="370">
        <f>'Data (Calculations)'!$E$80*(AD28+AD27)</f>
        <v>0</v>
      </c>
      <c r="AE77" s="370">
        <f>'Data (Calculations)'!$E$80*(AE28+AE27)</f>
        <v>0</v>
      </c>
      <c r="AF77" s="370">
        <f>'Data (Calculations)'!$E$80*(AF28+AF27)</f>
        <v>0</v>
      </c>
      <c r="AG77" s="370">
        <f>'Data (Calculations)'!$E$80*(AG28+AG27)</f>
        <v>0</v>
      </c>
      <c r="AH77" s="370">
        <f>'Data (Calculations)'!$E$80*(AH28+AH27)</f>
        <v>0</v>
      </c>
      <c r="AI77" s="370">
        <f>'Data (Calculations)'!$E$80*(AI28+AI27)</f>
        <v>0</v>
      </c>
      <c r="AJ77" s="370">
        <f>'Data (Calculations)'!$E$80*(AJ28+AJ27)</f>
        <v>0</v>
      </c>
      <c r="AK77" s="370" t="e">
        <f>'Data (Calculations)'!$E$80*(AK28+AK27)</f>
        <v>#VALUE!</v>
      </c>
      <c r="AL77" s="370">
        <f>'Data (Calculations)'!$E$80*(AL28+AL27)</f>
        <v>0</v>
      </c>
      <c r="AM77" s="370">
        <f>'Data (Calculations)'!$E$80*(AM28+AM27)</f>
        <v>0</v>
      </c>
      <c r="AN77" s="370">
        <f>'Data (Calculations)'!$E$80*(AN28+AN27)</f>
        <v>0</v>
      </c>
      <c r="AO77" s="370">
        <f>'Data (Calculations)'!$E$80*(AO28+AO27)</f>
        <v>0</v>
      </c>
      <c r="AP77" s="370">
        <f>'Data (Calculations)'!$E$80*(AP28+AP27)</f>
        <v>0</v>
      </c>
      <c r="AQ77" s="370">
        <f>'Data (Calculations)'!$E$80*(AQ28+AQ27)</f>
        <v>0</v>
      </c>
      <c r="AR77" s="370">
        <f>'Data (Calculations)'!$E$80*(AR28+AR27)</f>
        <v>0</v>
      </c>
      <c r="AS77" s="370">
        <f>'Data (Calculations)'!$E$80*(AS28+AS27)</f>
        <v>0</v>
      </c>
      <c r="AT77" s="370">
        <f>'Data (Calculations)'!$E$80*(AT28+AT27)</f>
        <v>0</v>
      </c>
      <c r="AU77" s="370">
        <f>'Data (Calculations)'!$E$80*(AU28+AU27)</f>
        <v>0</v>
      </c>
      <c r="AV77" s="370">
        <f>'Data (Calculations)'!$E$80*(AV28+AV27)</f>
        <v>0</v>
      </c>
      <c r="AW77" s="370">
        <f>'Data (Calculations)'!$E$80*(AW28+AW27)</f>
        <v>0</v>
      </c>
      <c r="AX77" s="370"/>
      <c r="AY77" s="370"/>
      <c r="AZ77" s="370" t="e">
        <f>'Data (Calculations)'!$E$80*(AZ28+AZ27)</f>
        <v>#VALUE!</v>
      </c>
      <c r="BA77" s="370">
        <f>'Data (Calculations)'!$E$80*(BA28+BA27)</f>
        <v>0</v>
      </c>
      <c r="BB77" s="370">
        <f>'Data (Calculations)'!$E$80*(BB28+BB27)</f>
        <v>0</v>
      </c>
      <c r="BC77" s="370">
        <f>'Data (Calculations)'!$E$80*(BC28+BC27)</f>
        <v>0</v>
      </c>
      <c r="BD77" s="370">
        <f>'Data (Calculations)'!$E$80*(BD28+BD27)</f>
        <v>0</v>
      </c>
      <c r="BE77" s="370">
        <f>'Data (Calculations)'!$E$80*(BE28+BE27)</f>
        <v>0</v>
      </c>
      <c r="BF77" s="370">
        <f>'Data (Calculations)'!$E$80*(BF28+BF27)</f>
        <v>0</v>
      </c>
      <c r="BG77" s="370">
        <f>'Data (Calculations)'!$E$80*(BG28+BG27)</f>
        <v>0</v>
      </c>
      <c r="BH77" s="370" t="e">
        <f>'Data (Calculations)'!$E$80*(BH28+BH27)</f>
        <v>#VALUE!</v>
      </c>
      <c r="BI77" s="370">
        <f>'Data (Calculations)'!$E$80*(BI28+BI27)</f>
        <v>0</v>
      </c>
      <c r="BJ77" s="370">
        <f>'Data (Calculations)'!$E$80*(BJ28+BJ27)</f>
        <v>0</v>
      </c>
      <c r="BK77" s="370">
        <f>'Data (Calculations)'!$E$80*(BK28+BK27)</f>
        <v>0</v>
      </c>
      <c r="BL77" s="370">
        <f>'Data (Calculations)'!$E$80*(BL28+BL27)</f>
        <v>0</v>
      </c>
      <c r="BM77" s="370">
        <f>'Data (Calculations)'!$E$80*(BM28+BM27)</f>
        <v>0</v>
      </c>
      <c r="BN77" s="370">
        <f>'Data (Calculations)'!$E$80*(BN28+BN27)</f>
        <v>0</v>
      </c>
      <c r="BO77" s="370">
        <f>'Data (Calculations)'!$E$80*(BO28+BO27)</f>
        <v>0</v>
      </c>
      <c r="BP77" s="370">
        <f>'Data (Calculations)'!$E$80*(BP28+BP27)</f>
        <v>0</v>
      </c>
      <c r="BQ77" s="370">
        <f>'Data (Calculations)'!$E$80*(BQ28+BQ27)</f>
        <v>0</v>
      </c>
      <c r="BR77" s="370">
        <f>'Data (Calculations)'!$E$80*(BR28+BR27)</f>
        <v>0</v>
      </c>
      <c r="BS77" s="370">
        <f>'Data (Calculations)'!$E$80*(BS28+BS27)</f>
        <v>0</v>
      </c>
      <c r="BT77" s="370">
        <f>'Data (Calculations)'!$E$80*(BT28+BT27)</f>
        <v>0</v>
      </c>
    </row>
    <row r="78" spans="1:72">
      <c r="A78" s="17"/>
      <c r="B78" s="17"/>
      <c r="E78" s="60" t="s">
        <v>33</v>
      </c>
      <c r="F78" s="370" t="e">
        <f>'Data (Calculations)'!$E$81*(F28+F27)</f>
        <v>#VALUE!</v>
      </c>
      <c r="G78" s="370">
        <f>'Data (Calculations)'!$E$81*(G28+G27)</f>
        <v>0</v>
      </c>
      <c r="H78" s="370">
        <f>'Data (Calculations)'!$E$81*(H28+H27)</f>
        <v>0</v>
      </c>
      <c r="I78" s="370">
        <f>'Data (Calculations)'!$E$81*(I28+I27)</f>
        <v>0</v>
      </c>
      <c r="J78" s="370">
        <f>'Data (Calculations)'!$E$81*(J28+J27)</f>
        <v>0</v>
      </c>
      <c r="K78" s="370">
        <f>'Data (Calculations)'!$E$81*(K28+K27)</f>
        <v>0</v>
      </c>
      <c r="L78" s="370">
        <f>'Data (Calculations)'!$E$81*(L28+L27)</f>
        <v>0</v>
      </c>
      <c r="M78" s="370">
        <f>'Data (Calculations)'!$E$81*(M28+M27)</f>
        <v>0</v>
      </c>
      <c r="N78" s="370" t="e">
        <f>'Data (Calculations)'!$E$81*(N28+N27)</f>
        <v>#VALUE!</v>
      </c>
      <c r="O78" s="370">
        <f>'Data (Calculations)'!$E$81*(O28+O27)</f>
        <v>0</v>
      </c>
      <c r="P78" s="370">
        <f>'Data (Calculations)'!$E$81*(P28+P27)</f>
        <v>0</v>
      </c>
      <c r="Q78" s="370">
        <f>'Data (Calculations)'!$E$81*(Q28+Q27)</f>
        <v>0</v>
      </c>
      <c r="R78" s="370">
        <f>'Data (Calculations)'!$E$81*(R28+R27)</f>
        <v>0</v>
      </c>
      <c r="S78" s="370">
        <f>'Data (Calculations)'!$E$81*(S28+S27)</f>
        <v>0</v>
      </c>
      <c r="T78" s="370">
        <f>'Data (Calculations)'!$E$81*(T28+T27)</f>
        <v>0</v>
      </c>
      <c r="U78" s="370">
        <f>'Data (Calculations)'!$E$81*(U28+U27)</f>
        <v>0</v>
      </c>
      <c r="V78" s="370">
        <f>'Data (Calculations)'!$E$81*(V28+V27)</f>
        <v>0</v>
      </c>
      <c r="W78" s="370">
        <f>'Data (Calculations)'!$E$81*(W28+W27)</f>
        <v>0</v>
      </c>
      <c r="X78" s="370">
        <f>'Data (Calculations)'!$E$81*(X28+X27)</f>
        <v>0</v>
      </c>
      <c r="Y78" s="370">
        <f>'Data (Calculations)'!$E$81*(Y28+Y27)</f>
        <v>0</v>
      </c>
      <c r="Z78" s="370">
        <f>'Data (Calculations)'!$E$81*(Z28+Z27)</f>
        <v>0</v>
      </c>
      <c r="AA78" s="370"/>
      <c r="AB78" s="370"/>
      <c r="AC78" s="370" t="e">
        <f>'Data (Calculations)'!$E$81*(AC28+AC27)</f>
        <v>#VALUE!</v>
      </c>
      <c r="AD78" s="370">
        <f>'Data (Calculations)'!$E$81*(AD28+AD27)</f>
        <v>0</v>
      </c>
      <c r="AE78" s="370">
        <f>'Data (Calculations)'!$E$81*(AE28+AE27)</f>
        <v>0</v>
      </c>
      <c r="AF78" s="370">
        <f>'Data (Calculations)'!$E$81*(AF28+AF27)</f>
        <v>0</v>
      </c>
      <c r="AG78" s="370">
        <f>'Data (Calculations)'!$E$81*(AG28+AG27)</f>
        <v>0</v>
      </c>
      <c r="AH78" s="370">
        <f>'Data (Calculations)'!$E$81*(AH28+AH27)</f>
        <v>0</v>
      </c>
      <c r="AI78" s="370">
        <f>'Data (Calculations)'!$E$81*(AI28+AI27)</f>
        <v>0</v>
      </c>
      <c r="AJ78" s="370">
        <f>'Data (Calculations)'!$E$81*(AJ28+AJ27)</f>
        <v>0</v>
      </c>
      <c r="AK78" s="370" t="e">
        <f>'Data (Calculations)'!$E$81*(AK28+AK27)</f>
        <v>#VALUE!</v>
      </c>
      <c r="AL78" s="370">
        <f>'Data (Calculations)'!$E$81*(AL28+AL27)</f>
        <v>0</v>
      </c>
      <c r="AM78" s="370">
        <f>'Data (Calculations)'!$E$81*(AM28+AM27)</f>
        <v>0</v>
      </c>
      <c r="AN78" s="370">
        <f>'Data (Calculations)'!$E$81*(AN28+AN27)</f>
        <v>0</v>
      </c>
      <c r="AO78" s="370">
        <f>'Data (Calculations)'!$E$81*(AO28+AO27)</f>
        <v>0</v>
      </c>
      <c r="AP78" s="370">
        <f>'Data (Calculations)'!$E$81*(AP28+AP27)</f>
        <v>0</v>
      </c>
      <c r="AQ78" s="370">
        <f>'Data (Calculations)'!$E$81*(AQ28+AQ27)</f>
        <v>0</v>
      </c>
      <c r="AR78" s="370">
        <f>'Data (Calculations)'!$E$81*(AR28+AR27)</f>
        <v>0</v>
      </c>
      <c r="AS78" s="370">
        <f>'Data (Calculations)'!$E$81*(AS28+AS27)</f>
        <v>0</v>
      </c>
      <c r="AT78" s="370">
        <f>'Data (Calculations)'!$E$81*(AT28+AT27)</f>
        <v>0</v>
      </c>
      <c r="AU78" s="370">
        <f>'Data (Calculations)'!$E$81*(AU28+AU27)</f>
        <v>0</v>
      </c>
      <c r="AV78" s="370">
        <f>'Data (Calculations)'!$E$81*(AV28+AV27)</f>
        <v>0</v>
      </c>
      <c r="AW78" s="370">
        <f>'Data (Calculations)'!$E$81*(AW28+AW27)</f>
        <v>0</v>
      </c>
      <c r="AX78" s="370"/>
      <c r="AY78" s="370"/>
      <c r="AZ78" s="370" t="e">
        <f>'Data (Calculations)'!$E$81*(AZ28+AZ27)</f>
        <v>#VALUE!</v>
      </c>
      <c r="BA78" s="370">
        <f>'Data (Calculations)'!$E$81*(BA28+BA27)</f>
        <v>0</v>
      </c>
      <c r="BB78" s="370">
        <f>'Data (Calculations)'!$E$81*(BB28+BB27)</f>
        <v>0</v>
      </c>
      <c r="BC78" s="370">
        <f>'Data (Calculations)'!$E$81*(BC28+BC27)</f>
        <v>0</v>
      </c>
      <c r="BD78" s="370">
        <f>'Data (Calculations)'!$E$81*(BD28+BD27)</f>
        <v>0</v>
      </c>
      <c r="BE78" s="370">
        <f>'Data (Calculations)'!$E$81*(BE28+BE27)</f>
        <v>0</v>
      </c>
      <c r="BF78" s="370">
        <f>'Data (Calculations)'!$E$81*(BF28+BF27)</f>
        <v>0</v>
      </c>
      <c r="BG78" s="370">
        <f>'Data (Calculations)'!$E$81*(BG28+BG27)</f>
        <v>0</v>
      </c>
      <c r="BH78" s="370" t="e">
        <f>'Data (Calculations)'!$E$81*(BH28+BH27)</f>
        <v>#VALUE!</v>
      </c>
      <c r="BI78" s="370">
        <f>'Data (Calculations)'!$E$81*(BI28+BI27)</f>
        <v>0</v>
      </c>
      <c r="BJ78" s="370">
        <f>'Data (Calculations)'!$E$81*(BJ28+BJ27)</f>
        <v>0</v>
      </c>
      <c r="BK78" s="370">
        <f>'Data (Calculations)'!$E$81*(BK28+BK27)</f>
        <v>0</v>
      </c>
      <c r="BL78" s="370">
        <f>'Data (Calculations)'!$E$81*(BL28+BL27)</f>
        <v>0</v>
      </c>
      <c r="BM78" s="370">
        <f>'Data (Calculations)'!$E$81*(BM28+BM27)</f>
        <v>0</v>
      </c>
      <c r="BN78" s="370">
        <f>'Data (Calculations)'!$E$81*(BN28+BN27)</f>
        <v>0</v>
      </c>
      <c r="BO78" s="370">
        <f>'Data (Calculations)'!$E$81*(BO28+BO27)</f>
        <v>0</v>
      </c>
      <c r="BP78" s="370">
        <f>'Data (Calculations)'!$E$81*(BP28+BP27)</f>
        <v>0</v>
      </c>
      <c r="BQ78" s="370">
        <f>'Data (Calculations)'!$E$81*(BQ28+BQ27)</f>
        <v>0</v>
      </c>
      <c r="BR78" s="370">
        <f>'Data (Calculations)'!$E$81*(BR28+BR27)</f>
        <v>0</v>
      </c>
      <c r="BS78" s="370">
        <f>'Data (Calculations)'!$E$81*(BS28+BS27)</f>
        <v>0</v>
      </c>
      <c r="BT78" s="370">
        <f>'Data (Calculations)'!$E$81*(BT28+BT27)</f>
        <v>0</v>
      </c>
    </row>
    <row r="79" spans="1:72">
      <c r="A79" s="17"/>
      <c r="B79" s="17"/>
      <c r="E79" s="60" t="s">
        <v>28</v>
      </c>
      <c r="F79" s="370" t="e">
        <f>'Data (Calculations)'!$E$82*(F28+F27)</f>
        <v>#VALUE!</v>
      </c>
      <c r="G79" s="370">
        <f>'Data (Calculations)'!$E$82*(G28+G27)</f>
        <v>0</v>
      </c>
      <c r="H79" s="370">
        <f>'Data (Calculations)'!$E$82*(H28+H27)</f>
        <v>0</v>
      </c>
      <c r="I79" s="370">
        <f>'Data (Calculations)'!$E$82*(I28+I27)</f>
        <v>0</v>
      </c>
      <c r="J79" s="370">
        <f>'Data (Calculations)'!$E$82*(J28+J27)</f>
        <v>0</v>
      </c>
      <c r="K79" s="370">
        <f>'Data (Calculations)'!$E$82*(K28+K27)</f>
        <v>0</v>
      </c>
      <c r="L79" s="370">
        <f>'Data (Calculations)'!$E$82*(L28+L27)</f>
        <v>0</v>
      </c>
      <c r="M79" s="370">
        <f>'Data (Calculations)'!$E$82*(M28+M27)</f>
        <v>0</v>
      </c>
      <c r="N79" s="370" t="e">
        <f>'Data (Calculations)'!$E$82*(N28+N27)</f>
        <v>#VALUE!</v>
      </c>
      <c r="O79" s="370">
        <f>'Data (Calculations)'!$E$82*(O28+O27)</f>
        <v>0</v>
      </c>
      <c r="P79" s="370">
        <f>'Data (Calculations)'!$E$82*(P28+P27)</f>
        <v>0</v>
      </c>
      <c r="Q79" s="370">
        <f>'Data (Calculations)'!$E$82*(Q28+Q27)</f>
        <v>0</v>
      </c>
      <c r="R79" s="370">
        <f>'Data (Calculations)'!$E$82*(R28+R27)</f>
        <v>0</v>
      </c>
      <c r="S79" s="370">
        <f>'Data (Calculations)'!$E$82*(S28+S27)</f>
        <v>0</v>
      </c>
      <c r="T79" s="370">
        <f>'Data (Calculations)'!$E$82*(T28+T27)</f>
        <v>0</v>
      </c>
      <c r="U79" s="370">
        <f>'Data (Calculations)'!$E$82*(U28+U27)</f>
        <v>0</v>
      </c>
      <c r="V79" s="370">
        <f>'Data (Calculations)'!$E$82*(V28+V27)</f>
        <v>0</v>
      </c>
      <c r="W79" s="370">
        <f>'Data (Calculations)'!$E$82*(W28+W27)</f>
        <v>0</v>
      </c>
      <c r="X79" s="370">
        <f>'Data (Calculations)'!$E$82*(X28+X27)</f>
        <v>0</v>
      </c>
      <c r="Y79" s="370">
        <f>'Data (Calculations)'!$E$82*(Y28+Y27)</f>
        <v>0</v>
      </c>
      <c r="Z79" s="370">
        <f>'Data (Calculations)'!$E$82*(Z28+Z27)</f>
        <v>0</v>
      </c>
      <c r="AA79" s="370"/>
      <c r="AB79" s="370"/>
      <c r="AC79" s="370" t="e">
        <f>'Data (Calculations)'!$E$82*(AC28+AC27)</f>
        <v>#VALUE!</v>
      </c>
      <c r="AD79" s="370">
        <f>'Data (Calculations)'!$E$82*(AD28+AD27)</f>
        <v>0</v>
      </c>
      <c r="AE79" s="370">
        <f>'Data (Calculations)'!$E$82*(AE28+AE27)</f>
        <v>0</v>
      </c>
      <c r="AF79" s="370">
        <f>'Data (Calculations)'!$E$82*(AF28+AF27)</f>
        <v>0</v>
      </c>
      <c r="AG79" s="370">
        <f>'Data (Calculations)'!$E$82*(AG28+AG27)</f>
        <v>0</v>
      </c>
      <c r="AH79" s="370">
        <f>'Data (Calculations)'!$E$82*(AH28+AH27)</f>
        <v>0</v>
      </c>
      <c r="AI79" s="370">
        <f>'Data (Calculations)'!$E$82*(AI28+AI27)</f>
        <v>0</v>
      </c>
      <c r="AJ79" s="370">
        <f>'Data (Calculations)'!$E$82*(AJ28+AJ27)</f>
        <v>0</v>
      </c>
      <c r="AK79" s="370" t="e">
        <f>'Data (Calculations)'!$E$82*(AK28+AK27)</f>
        <v>#VALUE!</v>
      </c>
      <c r="AL79" s="370">
        <f>'Data (Calculations)'!$E$82*(AL28+AL27)</f>
        <v>0</v>
      </c>
      <c r="AM79" s="370">
        <f>'Data (Calculations)'!$E$82*(AM28+AM27)</f>
        <v>0</v>
      </c>
      <c r="AN79" s="370">
        <f>'Data (Calculations)'!$E$82*(AN28+AN27)</f>
        <v>0</v>
      </c>
      <c r="AO79" s="370">
        <f>'Data (Calculations)'!$E$82*(AO28+AO27)</f>
        <v>0</v>
      </c>
      <c r="AP79" s="370">
        <f>'Data (Calculations)'!$E$82*(AP28+AP27)</f>
        <v>0</v>
      </c>
      <c r="AQ79" s="370">
        <f>'Data (Calculations)'!$E$82*(AQ28+AQ27)</f>
        <v>0</v>
      </c>
      <c r="AR79" s="370">
        <f>'Data (Calculations)'!$E$82*(AR28+AR27)</f>
        <v>0</v>
      </c>
      <c r="AS79" s="370">
        <f>'Data (Calculations)'!$E$82*(AS28+AS27)</f>
        <v>0</v>
      </c>
      <c r="AT79" s="370">
        <f>'Data (Calculations)'!$E$82*(AT28+AT27)</f>
        <v>0</v>
      </c>
      <c r="AU79" s="370">
        <f>'Data (Calculations)'!$E$82*(AU28+AU27)</f>
        <v>0</v>
      </c>
      <c r="AV79" s="370">
        <f>'Data (Calculations)'!$E$82*(AV28+AV27)</f>
        <v>0</v>
      </c>
      <c r="AW79" s="370">
        <f>'Data (Calculations)'!$E$82*(AW28+AW27)</f>
        <v>0</v>
      </c>
      <c r="AX79" s="370"/>
      <c r="AY79" s="370"/>
      <c r="AZ79" s="370" t="e">
        <f>'Data (Calculations)'!$E$82*(AZ28+AZ27)</f>
        <v>#VALUE!</v>
      </c>
      <c r="BA79" s="370">
        <f>'Data (Calculations)'!$E$82*(BA28+BA27)</f>
        <v>0</v>
      </c>
      <c r="BB79" s="370">
        <f>'Data (Calculations)'!$E$82*(BB28+BB27)</f>
        <v>0</v>
      </c>
      <c r="BC79" s="370">
        <f>'Data (Calculations)'!$E$82*(BC28+BC27)</f>
        <v>0</v>
      </c>
      <c r="BD79" s="370">
        <f>'Data (Calculations)'!$E$82*(BD28+BD27)</f>
        <v>0</v>
      </c>
      <c r="BE79" s="370">
        <f>'Data (Calculations)'!$E$82*(BE28+BE27)</f>
        <v>0</v>
      </c>
      <c r="BF79" s="370">
        <f>'Data (Calculations)'!$E$82*(BF28+BF27)</f>
        <v>0</v>
      </c>
      <c r="BG79" s="370">
        <f>'Data (Calculations)'!$E$82*(BG28+BG27)</f>
        <v>0</v>
      </c>
      <c r="BH79" s="370" t="e">
        <f>'Data (Calculations)'!$E$82*(BH28+BH27)</f>
        <v>#VALUE!</v>
      </c>
      <c r="BI79" s="370">
        <f>'Data (Calculations)'!$E$82*(BI28+BI27)</f>
        <v>0</v>
      </c>
      <c r="BJ79" s="370">
        <f>'Data (Calculations)'!$E$82*(BJ28+BJ27)</f>
        <v>0</v>
      </c>
      <c r="BK79" s="370">
        <f>'Data (Calculations)'!$E$82*(BK28+BK27)</f>
        <v>0</v>
      </c>
      <c r="BL79" s="370">
        <f>'Data (Calculations)'!$E$82*(BL28+BL27)</f>
        <v>0</v>
      </c>
      <c r="BM79" s="370">
        <f>'Data (Calculations)'!$E$82*(BM28+BM27)</f>
        <v>0</v>
      </c>
      <c r="BN79" s="370">
        <f>'Data (Calculations)'!$E$82*(BN28+BN27)</f>
        <v>0</v>
      </c>
      <c r="BO79" s="370">
        <f>'Data (Calculations)'!$E$82*(BO28+BO27)</f>
        <v>0</v>
      </c>
      <c r="BP79" s="370">
        <f>'Data (Calculations)'!$E$82*(BP28+BP27)</f>
        <v>0</v>
      </c>
      <c r="BQ79" s="370">
        <f>'Data (Calculations)'!$E$82*(BQ28+BQ27)</f>
        <v>0</v>
      </c>
      <c r="BR79" s="370">
        <f>'Data (Calculations)'!$E$82*(BR28+BR27)</f>
        <v>0</v>
      </c>
      <c r="BS79" s="370">
        <f>'Data (Calculations)'!$E$82*(BS28+BS27)</f>
        <v>0</v>
      </c>
      <c r="BT79" s="370">
        <f>'Data (Calculations)'!$E$82*(BT28+BT27)</f>
        <v>0</v>
      </c>
    </row>
    <row r="80" spans="1:72">
      <c r="A80" s="17"/>
      <c r="B80" s="17"/>
      <c r="F80" s="86"/>
      <c r="L80" s="86"/>
      <c r="N80" s="86"/>
      <c r="O80" s="86"/>
      <c r="P80" s="86"/>
      <c r="Q80" s="86"/>
      <c r="R80" s="86"/>
      <c r="S80" s="86"/>
      <c r="T80" s="86"/>
      <c r="U80" s="86"/>
      <c r="V80" s="86"/>
      <c r="W80" s="86"/>
      <c r="X80" s="86"/>
      <c r="Y80" s="86"/>
      <c r="Z80" s="86"/>
      <c r="AA80" s="86"/>
      <c r="AB80" s="86"/>
      <c r="AC80" s="86"/>
      <c r="AD80" s="86"/>
      <c r="AE80" s="86"/>
      <c r="AF80" s="86"/>
      <c r="AG80" s="86"/>
      <c r="AH80" s="86"/>
      <c r="AI80" s="86"/>
      <c r="AJ80" s="86"/>
      <c r="AK80" s="86"/>
      <c r="AL80" s="86"/>
      <c r="AM80" s="86"/>
      <c r="AN80" s="86"/>
      <c r="AO80" s="86"/>
      <c r="AP80" s="86"/>
      <c r="AQ80" s="86"/>
      <c r="AR80" s="86"/>
      <c r="AS80" s="86"/>
      <c r="AT80" s="86"/>
      <c r="AU80" s="86"/>
      <c r="AV80" s="86"/>
      <c r="AW80" s="86"/>
      <c r="AX80" s="86"/>
      <c r="AY80" s="86"/>
      <c r="AZ80" s="86"/>
      <c r="BA80" s="86"/>
      <c r="BB80" s="86"/>
      <c r="BC80" s="86"/>
      <c r="BD80" s="86"/>
      <c r="BE80" s="86"/>
      <c r="BF80" s="86"/>
      <c r="BG80" s="86"/>
      <c r="BH80" s="86"/>
      <c r="BI80" s="86"/>
      <c r="BJ80" s="86"/>
      <c r="BK80" s="86"/>
      <c r="BL80" s="86"/>
      <c r="BM80" s="86"/>
      <c r="BN80" s="86"/>
      <c r="BO80" s="86"/>
      <c r="BP80" s="86"/>
      <c r="BQ80" s="86"/>
      <c r="BR80" s="86"/>
      <c r="BS80" s="86"/>
      <c r="BT80" s="86"/>
    </row>
    <row r="81" spans="1:72" ht="19">
      <c r="A81" s="17"/>
      <c r="B81" s="17"/>
      <c r="E81" s="311" t="s">
        <v>196</v>
      </c>
      <c r="F81" s="374"/>
      <c r="G81" s="374"/>
      <c r="H81" s="374"/>
      <c r="I81" s="374"/>
      <c r="J81" s="374"/>
      <c r="K81" s="374"/>
      <c r="L81" s="374"/>
      <c r="M81" s="374"/>
      <c r="N81" s="374"/>
      <c r="O81" s="374"/>
      <c r="P81" s="374"/>
      <c r="Q81" s="374"/>
      <c r="R81" s="374"/>
      <c r="S81" s="374"/>
      <c r="T81" s="374"/>
      <c r="U81" s="374"/>
      <c r="V81" s="374"/>
      <c r="W81" s="374"/>
      <c r="X81" s="374"/>
      <c r="Y81" s="374"/>
      <c r="Z81" s="374"/>
      <c r="AA81" s="374"/>
      <c r="AB81" s="374"/>
      <c r="AC81" s="374"/>
      <c r="AD81" s="374"/>
      <c r="AE81" s="374"/>
      <c r="AF81" s="374"/>
      <c r="AG81" s="374"/>
      <c r="AH81" s="374"/>
      <c r="AI81" s="374"/>
      <c r="AJ81" s="374"/>
      <c r="AK81" s="374"/>
      <c r="AL81" s="374"/>
      <c r="AM81" s="374"/>
      <c r="AN81" s="374"/>
      <c r="AO81" s="374"/>
      <c r="AP81" s="374"/>
      <c r="AQ81" s="374"/>
      <c r="AR81" s="374"/>
      <c r="AS81" s="374"/>
      <c r="AT81" s="374"/>
      <c r="AU81" s="374"/>
      <c r="AV81" s="374"/>
      <c r="AW81" s="374"/>
      <c r="AX81" s="374"/>
      <c r="AY81" s="374"/>
      <c r="AZ81" s="374"/>
      <c r="BA81" s="374"/>
      <c r="BB81" s="374"/>
      <c r="BC81" s="374"/>
      <c r="BD81" s="374"/>
      <c r="BE81" s="374"/>
      <c r="BF81" s="374"/>
      <c r="BG81" s="374"/>
      <c r="BH81" s="374"/>
      <c r="BI81" s="374"/>
      <c r="BJ81" s="374"/>
      <c r="BK81" s="374"/>
      <c r="BL81" s="374"/>
      <c r="BM81" s="374"/>
      <c r="BN81" s="374"/>
      <c r="BO81" s="374"/>
      <c r="BP81" s="374"/>
      <c r="BQ81" s="374"/>
      <c r="BR81" s="374"/>
      <c r="BS81" s="374"/>
      <c r="BT81" s="374"/>
    </row>
    <row r="82" spans="1:72">
      <c r="A82" s="17"/>
      <c r="B82" s="17"/>
      <c r="F82" s="86"/>
      <c r="L82" s="86"/>
      <c r="N82" s="86"/>
      <c r="O82" s="86"/>
      <c r="P82" s="86"/>
      <c r="Q82" s="86"/>
      <c r="R82" s="86"/>
      <c r="S82" s="86"/>
      <c r="T82" s="86"/>
      <c r="U82" s="86"/>
      <c r="V82" s="86"/>
      <c r="W82" s="86"/>
      <c r="X82" s="86"/>
      <c r="Y82" s="86"/>
      <c r="Z82" s="86"/>
      <c r="AA82" s="86"/>
      <c r="AB82" s="86"/>
      <c r="AC82" s="86"/>
      <c r="AD82" s="86"/>
      <c r="AE82" s="86"/>
      <c r="AF82" s="86"/>
      <c r="AG82" s="86"/>
      <c r="AH82" s="86"/>
      <c r="AI82" s="86"/>
      <c r="AJ82" s="86"/>
      <c r="AK82" s="86"/>
      <c r="AL82" s="86"/>
      <c r="AM82" s="86"/>
      <c r="AN82" s="86"/>
      <c r="AO82" s="86"/>
      <c r="AP82" s="86"/>
      <c r="AQ82" s="86"/>
      <c r="AR82" s="86"/>
      <c r="AS82" s="86"/>
      <c r="AT82" s="86"/>
      <c r="AU82" s="86"/>
      <c r="AV82" s="86"/>
      <c r="AW82" s="86"/>
      <c r="AX82" s="86"/>
      <c r="AY82" s="86"/>
      <c r="AZ82" s="86"/>
      <c r="BA82" s="86"/>
      <c r="BB82" s="86"/>
      <c r="BC82" s="86"/>
      <c r="BD82" s="86"/>
      <c r="BE82" s="86"/>
      <c r="BF82" s="86"/>
      <c r="BG82" s="86"/>
      <c r="BH82" s="86"/>
      <c r="BI82" s="86"/>
      <c r="BJ82" s="86"/>
      <c r="BK82" s="86"/>
      <c r="BL82" s="86"/>
      <c r="BM82" s="86"/>
      <c r="BN82" s="86"/>
      <c r="BO82" s="86"/>
      <c r="BP82" s="86"/>
      <c r="BQ82" s="86"/>
      <c r="BR82" s="86"/>
      <c r="BS82" s="86"/>
      <c r="BT82" s="86"/>
    </row>
    <row r="83" spans="1:72">
      <c r="A83" s="17"/>
      <c r="B83" s="17"/>
      <c r="E83" s="284" t="s">
        <v>259</v>
      </c>
      <c r="F83" s="301" t="e">
        <f>SUM(F68:F70)+SUM(F76:F78)</f>
        <v>#N/A</v>
      </c>
      <c r="G83" s="301">
        <f t="shared" ref="G83:AI83" si="122">SUM(G68:G70)+SUM(G76:G78)</f>
        <v>25682.61338578779</v>
      </c>
      <c r="H83" s="301">
        <f t="shared" si="122"/>
        <v>46132.118063863076</v>
      </c>
      <c r="I83" s="301">
        <f t="shared" si="122"/>
        <v>12738.639231212715</v>
      </c>
      <c r="J83" s="301">
        <f t="shared" si="122"/>
        <v>21829.939271349991</v>
      </c>
      <c r="K83" s="301">
        <f t="shared" si="122"/>
        <v>20485.411961027137</v>
      </c>
      <c r="L83" s="301">
        <f t="shared" si="122"/>
        <v>12565.645546132375</v>
      </c>
      <c r="M83" s="301">
        <f t="shared" si="122"/>
        <v>13180.24105684031</v>
      </c>
      <c r="N83" s="301" t="e">
        <f t="shared" si="122"/>
        <v>#N/A</v>
      </c>
      <c r="O83" s="301">
        <f t="shared" si="122"/>
        <v>12125.683204587134</v>
      </c>
      <c r="P83" s="301">
        <f t="shared" si="122"/>
        <v>12095.366407789859</v>
      </c>
      <c r="Q83" s="301">
        <f t="shared" si="122"/>
        <v>11736.388829226113</v>
      </c>
      <c r="R83" s="301">
        <f t="shared" si="122"/>
        <v>11353.690308731178</v>
      </c>
      <c r="S83" s="301">
        <f t="shared" si="122"/>
        <v>10950.028408475511</v>
      </c>
      <c r="T83" s="301">
        <f t="shared" si="122"/>
        <v>10525.947108647575</v>
      </c>
      <c r="U83" s="301">
        <f t="shared" si="122"/>
        <v>10081.705134514668</v>
      </c>
      <c r="V83" s="301">
        <f t="shared" si="122"/>
        <v>9617.4955311886606</v>
      </c>
      <c r="W83" s="301">
        <f t="shared" si="122"/>
        <v>9133.8031603951858</v>
      </c>
      <c r="X83" s="301">
        <f t="shared" si="122"/>
        <v>8631.4637787429128</v>
      </c>
      <c r="Y83" s="301">
        <f t="shared" si="122"/>
        <v>8111.6334141615771</v>
      </c>
      <c r="Z83" s="301">
        <f t="shared" si="122"/>
        <v>7575.2927759301419</v>
      </c>
      <c r="AA83" s="301"/>
      <c r="AB83" s="301"/>
      <c r="AC83" s="301" t="e">
        <f t="shared" si="122"/>
        <v>#N/A</v>
      </c>
      <c r="AD83" s="301">
        <f t="shared" si="122"/>
        <v>18989.814256483543</v>
      </c>
      <c r="AE83" s="301">
        <f t="shared" si="122"/>
        <v>38639.498616423421</v>
      </c>
      <c r="AF83" s="301">
        <f t="shared" si="122"/>
        <v>7453.469212</v>
      </c>
      <c r="AG83" s="301">
        <f t="shared" si="122"/>
        <v>15444.967856844163</v>
      </c>
      <c r="AH83" s="301">
        <f t="shared" si="122"/>
        <v>14145.051737819973</v>
      </c>
      <c r="AI83" s="301">
        <f t="shared" si="122"/>
        <v>7392.496349</v>
      </c>
      <c r="AJ83" s="301">
        <f>SUM(AJ68:AJ70)+SUM(AJ76:AJ78)</f>
        <v>7385.3236449999995</v>
      </c>
      <c r="AK83" s="301" t="e">
        <f t="shared" ref="AK83:BC83" si="123">SUM(AK68:AK70)+SUM(AK76:AK78)</f>
        <v>#N/A</v>
      </c>
      <c r="AL83" s="301">
        <f t="shared" si="123"/>
        <v>7363.3319829999991</v>
      </c>
      <c r="AM83" s="301">
        <f t="shared" si="123"/>
        <v>7344.9220809999997</v>
      </c>
      <c r="AN83" s="301">
        <f t="shared" si="123"/>
        <v>7321.3137479999996</v>
      </c>
      <c r="AO83" s="301">
        <f t="shared" si="123"/>
        <v>7294.3208239999994</v>
      </c>
      <c r="AP83" s="301">
        <f t="shared" si="123"/>
        <v>7265.2663789999997</v>
      </c>
      <c r="AQ83" s="301">
        <f t="shared" si="123"/>
        <v>7234.1033449999995</v>
      </c>
      <c r="AR83" s="301">
        <f t="shared" si="123"/>
        <v>7200.5496009999997</v>
      </c>
      <c r="AS83" s="301">
        <f t="shared" si="123"/>
        <v>7164.2001899999996</v>
      </c>
      <c r="AT83" s="301">
        <f t="shared" si="123"/>
        <v>7124.7712689999998</v>
      </c>
      <c r="AU83" s="301">
        <f t="shared" si="123"/>
        <v>7082.1709979999996</v>
      </c>
      <c r="AV83" s="301">
        <f t="shared" si="123"/>
        <v>7036.5213519999998</v>
      </c>
      <c r="AW83" s="301">
        <f t="shared" si="123"/>
        <v>6987.7666529999997</v>
      </c>
      <c r="AX83" s="301"/>
      <c r="AY83" s="301"/>
      <c r="AZ83" s="301" t="e">
        <f t="shared" si="123"/>
        <v>#N/A</v>
      </c>
      <c r="BA83" s="301">
        <f t="shared" si="123"/>
        <v>32651.749427318642</v>
      </c>
      <c r="BB83" s="301">
        <f t="shared" si="123"/>
        <v>53782.909629784161</v>
      </c>
      <c r="BC83" s="301">
        <f t="shared" si="123"/>
        <v>19031.199053811863</v>
      </c>
      <c r="BD83" s="301">
        <f>SUM(BD68:BD70)+SUM(BD76:BD78)</f>
        <v>28302.44629061559</v>
      </c>
      <c r="BE83" s="301">
        <f t="shared" ref="BE83:BT83" si="124">SUM(BE68:BE70)+SUM(BE76:BE78)</f>
        <v>26931.911607461363</v>
      </c>
      <c r="BF83" s="301">
        <f t="shared" si="124"/>
        <v>18757.065412097494</v>
      </c>
      <c r="BG83" s="301">
        <f t="shared" si="124"/>
        <v>19379.388910187794</v>
      </c>
      <c r="BH83" s="301" t="e">
        <f t="shared" si="124"/>
        <v>#N/A</v>
      </c>
      <c r="BI83" s="301">
        <f t="shared" si="124"/>
        <v>17745.236645576355</v>
      </c>
      <c r="BJ83" s="301">
        <f t="shared" si="124"/>
        <v>17700.869765423988</v>
      </c>
      <c r="BK83" s="301">
        <f t="shared" si="124"/>
        <v>17075.003814504791</v>
      </c>
      <c r="BL83" s="301">
        <f t="shared" si="124"/>
        <v>16405.434393256888</v>
      </c>
      <c r="BM83" s="301">
        <f t="shared" si="124"/>
        <v>15696.434603755442</v>
      </c>
      <c r="BN83" s="301">
        <f t="shared" si="124"/>
        <v>14949.056936489476</v>
      </c>
      <c r="BO83" s="301">
        <f t="shared" si="124"/>
        <v>14163.975045915315</v>
      </c>
      <c r="BP83" s="301">
        <f t="shared" si="124"/>
        <v>13341.818038565914</v>
      </c>
      <c r="BQ83" s="301">
        <f t="shared" si="124"/>
        <v>12483.680301117281</v>
      </c>
      <c r="BR83" s="301">
        <f t="shared" si="124"/>
        <v>11591.188798568228</v>
      </c>
      <c r="BS83" s="301">
        <f t="shared" si="124"/>
        <v>10666.434779987976</v>
      </c>
      <c r="BT83" s="301">
        <f t="shared" si="124"/>
        <v>9711.2992378966555</v>
      </c>
    </row>
    <row r="84" spans="1:72">
      <c r="A84" s="17"/>
      <c r="B84" s="17"/>
      <c r="E84" s="34" t="s">
        <v>260</v>
      </c>
      <c r="F84" s="281" t="e">
        <f>IFERROR(F71+F79,#N/A)</f>
        <v>#N/A</v>
      </c>
      <c r="G84" s="281">
        <f t="shared" ref="G84:AI84" si="125">IFERROR(G71+G79,#N/A)</f>
        <v>7541.2299700975045</v>
      </c>
      <c r="H84" s="281">
        <f t="shared" si="125"/>
        <v>16046.632997177485</v>
      </c>
      <c r="I84" s="281">
        <f t="shared" si="125"/>
        <v>2192.2616346676891</v>
      </c>
      <c r="J84" s="281">
        <f t="shared" si="125"/>
        <v>6001.616529443766</v>
      </c>
      <c r="K84" s="281">
        <f t="shared" si="125"/>
        <v>5448.5936219524556</v>
      </c>
      <c r="L84" s="281">
        <f t="shared" si="125"/>
        <v>2143.9835305866586</v>
      </c>
      <c r="M84" s="281">
        <f t="shared" si="125"/>
        <v>2403.0750613528521</v>
      </c>
      <c r="N84" s="281" t="e">
        <f t="shared" si="125"/>
        <v>#N/A</v>
      </c>
      <c r="O84" s="281">
        <f t="shared" si="125"/>
        <v>1953.6143297383094</v>
      </c>
      <c r="P84" s="281">
        <f t="shared" si="125"/>
        <v>1948.7298768249661</v>
      </c>
      <c r="Q84" s="281">
        <f t="shared" si="125"/>
        <v>1801.2559295611672</v>
      </c>
      <c r="R84" s="281">
        <f t="shared" si="125"/>
        <v>1644.8784163317659</v>
      </c>
      <c r="S84" s="281">
        <f t="shared" si="125"/>
        <v>1480.2036930256563</v>
      </c>
      <c r="T84" s="281">
        <f t="shared" si="125"/>
        <v>1307.4934383541972</v>
      </c>
      <c r="U84" s="281">
        <f t="shared" si="125"/>
        <v>1126.9918858631065</v>
      </c>
      <c r="V84" s="281">
        <f t="shared" si="125"/>
        <v>938.97093979959095</v>
      </c>
      <c r="W84" s="281">
        <f t="shared" si="125"/>
        <v>743.77538653357033</v>
      </c>
      <c r="X84" s="281">
        <f t="shared" si="125"/>
        <v>541.8162665303397</v>
      </c>
      <c r="Y84" s="281">
        <f t="shared" si="125"/>
        <v>333.54730647429466</v>
      </c>
      <c r="Z84" s="281">
        <f t="shared" si="125"/>
        <v>119.42681593088527</v>
      </c>
      <c r="AA84" s="281"/>
      <c r="AB84" s="281"/>
      <c r="AC84" s="281" t="e">
        <f t="shared" si="125"/>
        <v>#N/A</v>
      </c>
      <c r="AD84" s="281">
        <f t="shared" si="125"/>
        <v>4745.6162333206048</v>
      </c>
      <c r="AE84" s="281">
        <f t="shared" si="125"/>
        <v>12896.979473984853</v>
      </c>
      <c r="AF84" s="281">
        <f t="shared" si="125"/>
        <v>0</v>
      </c>
      <c r="AG84" s="281">
        <f t="shared" si="125"/>
        <v>3339.0031149663955</v>
      </c>
      <c r="AH84" s="281">
        <f t="shared" si="125"/>
        <v>2805.2622383666085</v>
      </c>
      <c r="AI84" s="281">
        <f t="shared" si="125"/>
        <v>0</v>
      </c>
      <c r="AJ84" s="281">
        <f>IFERROR(AJ71+AJ79,#N/A)</f>
        <v>0</v>
      </c>
      <c r="AK84" s="281" t="e">
        <f t="shared" ref="AK84:BC84" si="126">IFERROR(AK71+AK79,#N/A)</f>
        <v>#N/A</v>
      </c>
      <c r="AL84" s="281">
        <f t="shared" si="126"/>
        <v>0</v>
      </c>
      <c r="AM84" s="281">
        <f t="shared" si="126"/>
        <v>0</v>
      </c>
      <c r="AN84" s="281">
        <f t="shared" si="126"/>
        <v>0</v>
      </c>
      <c r="AO84" s="281">
        <f t="shared" si="126"/>
        <v>0</v>
      </c>
      <c r="AP84" s="281">
        <f t="shared" si="126"/>
        <v>0</v>
      </c>
      <c r="AQ84" s="281">
        <f t="shared" si="126"/>
        <v>0</v>
      </c>
      <c r="AR84" s="281">
        <f t="shared" si="126"/>
        <v>0</v>
      </c>
      <c r="AS84" s="281">
        <f t="shared" si="126"/>
        <v>0</v>
      </c>
      <c r="AT84" s="281">
        <f t="shared" si="126"/>
        <v>0</v>
      </c>
      <c r="AU84" s="281">
        <f t="shared" si="126"/>
        <v>0</v>
      </c>
      <c r="AV84" s="281">
        <f t="shared" si="126"/>
        <v>0</v>
      </c>
      <c r="AW84" s="281">
        <f t="shared" si="126"/>
        <v>0</v>
      </c>
      <c r="AX84" s="281"/>
      <c r="AY84" s="281"/>
      <c r="AZ84" s="281" t="e">
        <f t="shared" si="126"/>
        <v>#N/A</v>
      </c>
      <c r="BA84" s="281">
        <f t="shared" si="126"/>
        <v>10458.748068101531</v>
      </c>
      <c r="BB84" s="281">
        <f t="shared" si="126"/>
        <v>19266.063195921917</v>
      </c>
      <c r="BC84" s="281">
        <f t="shared" si="126"/>
        <v>4813.4539546070437</v>
      </c>
      <c r="BD84" s="281">
        <f>IFERROR(BD71+BD79,#N/A)</f>
        <v>8702.8457477125594</v>
      </c>
      <c r="BE84" s="281">
        <f t="shared" ref="BE84:BT84" si="127">IFERROR(BE71+BE79,#N/A)</f>
        <v>8138.7477715786927</v>
      </c>
      <c r="BF84" s="281">
        <f t="shared" si="127"/>
        <v>4721.8243529710062</v>
      </c>
      <c r="BG84" s="281">
        <f t="shared" si="127"/>
        <v>4984.4739425799098</v>
      </c>
      <c r="BH84" s="281" t="e">
        <f t="shared" si="127"/>
        <v>#N/A</v>
      </c>
      <c r="BI84" s="281">
        <f t="shared" si="127"/>
        <v>4279.7851759476944</v>
      </c>
      <c r="BJ84" s="281">
        <f t="shared" si="127"/>
        <v>4269.0847992904755</v>
      </c>
      <c r="BK84" s="281">
        <f t="shared" si="127"/>
        <v>4004.3647612330537</v>
      </c>
      <c r="BL84" s="281">
        <f t="shared" si="127"/>
        <v>3721.9962488013662</v>
      </c>
      <c r="BM84" s="281">
        <f t="shared" si="127"/>
        <v>3423.2267225091728</v>
      </c>
      <c r="BN84" s="281">
        <f t="shared" si="127"/>
        <v>3108.5431644401333</v>
      </c>
      <c r="BO84" s="281">
        <f t="shared" si="127"/>
        <v>2778.3787084210908</v>
      </c>
      <c r="BP84" s="281">
        <f t="shared" si="127"/>
        <v>2433.206031386861</v>
      </c>
      <c r="BQ84" s="281">
        <f t="shared" si="127"/>
        <v>2073.6447004826528</v>
      </c>
      <c r="BR84" s="281">
        <f t="shared" si="127"/>
        <v>1700.4566995597074</v>
      </c>
      <c r="BS84" s="281">
        <f t="shared" si="127"/>
        <v>1314.5057902886979</v>
      </c>
      <c r="BT84" s="281">
        <f t="shared" si="127"/>
        <v>916.6485926177179</v>
      </c>
    </row>
    <row r="85" spans="1:72">
      <c r="A85" s="17"/>
      <c r="B85" s="17"/>
      <c r="E85" s="34" t="s">
        <v>261</v>
      </c>
      <c r="F85" s="302" t="e">
        <f>IFERROR(((SUM(F42:F45)+SUM(F55:F58)+F60)*100000)     /    (SUM(F67:F72)+SUM(F75:F79)), #N/A)</f>
        <v>#N/A</v>
      </c>
      <c r="G85" s="302">
        <f t="shared" ref="G85:AI85" si="128">IFERROR(((SUM(G42:G45)+SUM(G55:G58)+G60)*100000)     /    (SUM(G67:G72)+SUM(G75:G79)), #N/A)</f>
        <v>191.02143705905704</v>
      </c>
      <c r="H85" s="302">
        <f t="shared" si="128"/>
        <v>409.73081857015063</v>
      </c>
      <c r="I85" s="302">
        <f t="shared" si="128"/>
        <v>56.329606392239192</v>
      </c>
      <c r="J85" s="302">
        <f t="shared" si="128"/>
        <v>154.7478957665154</v>
      </c>
      <c r="K85" s="302">
        <f t="shared" si="128"/>
        <v>140.8566980530484</v>
      </c>
      <c r="L85" s="302">
        <f t="shared" si="128"/>
        <v>55.551910637487346</v>
      </c>
      <c r="M85" s="302">
        <f t="shared" si="128"/>
        <v>62.319066618691345</v>
      </c>
      <c r="N85" s="302" t="e">
        <f t="shared" si="128"/>
        <v>#N/A</v>
      </c>
      <c r="O85" s="302">
        <f t="shared" si="128"/>
        <v>50.913792447492739</v>
      </c>
      <c r="P85" s="302">
        <f t="shared" si="128"/>
        <v>50.913792447492732</v>
      </c>
      <c r="Q85" s="302">
        <f t="shared" si="128"/>
        <v>47.259529106839786</v>
      </c>
      <c r="R85" s="302">
        <f t="shared" si="128"/>
        <v>43.370283924955238</v>
      </c>
      <c r="S85" s="302">
        <f t="shared" si="128"/>
        <v>39.246785342920795</v>
      </c>
      <c r="T85" s="302">
        <f t="shared" si="128"/>
        <v>34.889761801818167</v>
      </c>
      <c r="U85" s="302">
        <f t="shared" si="128"/>
        <v>30.299941742729096</v>
      </c>
      <c r="V85" s="302">
        <f t="shared" si="128"/>
        <v>25.478053606735262</v>
      </c>
      <c r="W85" s="302">
        <f t="shared" si="128"/>
        <v>20.424825834918387</v>
      </c>
      <c r="X85" s="302">
        <f t="shared" si="128"/>
        <v>15.140986868360176</v>
      </c>
      <c r="Y85" s="302">
        <f t="shared" si="128"/>
        <v>9.6272651481423512</v>
      </c>
      <c r="Z85" s="302">
        <f t="shared" si="128"/>
        <v>3.8843891153466132</v>
      </c>
      <c r="AA85" s="302"/>
      <c r="AB85" s="302"/>
      <c r="AC85" s="302" t="e">
        <f t="shared" si="128"/>
        <v>#N/A</v>
      </c>
      <c r="AD85" s="302">
        <f t="shared" si="128"/>
        <v>120.25812504768489</v>
      </c>
      <c r="AE85" s="302">
        <f t="shared" si="128"/>
        <v>329.4802088498497</v>
      </c>
      <c r="AF85" s="302">
        <f t="shared" si="128"/>
        <v>0</v>
      </c>
      <c r="AG85" s="302">
        <f t="shared" si="128"/>
        <v>86.107770092967101</v>
      </c>
      <c r="AH85" s="302">
        <f t="shared" si="128"/>
        <v>72.534070587094732</v>
      </c>
      <c r="AI85" s="302">
        <f t="shared" si="128"/>
        <v>0</v>
      </c>
      <c r="AJ85" s="302">
        <f>IFERROR(((SUM(AJ42:AJ45)+SUM(AJ55:AJ58)+AJ60)*100000)     /    (SUM(AJ67:AJ72)+SUM(AJ75:AJ79)), #N/A)</f>
        <v>0</v>
      </c>
      <c r="AK85" s="302" t="e">
        <f t="shared" ref="AK85:BC85" si="129">IFERROR(((SUM(AK42:AK45)+SUM(AK55:AK58)+AK60)*100000)     /    (SUM(AK67:AK72)+SUM(AK75:AK79)), #N/A)</f>
        <v>#N/A</v>
      </c>
      <c r="AL85" s="302">
        <f t="shared" si="129"/>
        <v>0</v>
      </c>
      <c r="AM85" s="302">
        <f t="shared" si="129"/>
        <v>0</v>
      </c>
      <c r="AN85" s="302">
        <f t="shared" si="129"/>
        <v>0</v>
      </c>
      <c r="AO85" s="302">
        <f t="shared" si="129"/>
        <v>0</v>
      </c>
      <c r="AP85" s="302">
        <f t="shared" si="129"/>
        <v>0</v>
      </c>
      <c r="AQ85" s="302">
        <f t="shared" si="129"/>
        <v>0</v>
      </c>
      <c r="AR85" s="302">
        <f t="shared" si="129"/>
        <v>0</v>
      </c>
      <c r="AS85" s="302">
        <f t="shared" si="129"/>
        <v>0</v>
      </c>
      <c r="AT85" s="302">
        <f t="shared" si="129"/>
        <v>0</v>
      </c>
      <c r="AU85" s="302">
        <f t="shared" si="129"/>
        <v>0</v>
      </c>
      <c r="AV85" s="302">
        <f t="shared" si="129"/>
        <v>0</v>
      </c>
      <c r="AW85" s="302">
        <f t="shared" si="129"/>
        <v>0</v>
      </c>
      <c r="AX85" s="302"/>
      <c r="AY85" s="302"/>
      <c r="AZ85" s="302" t="e">
        <f t="shared" si="129"/>
        <v>#N/A</v>
      </c>
      <c r="BA85" s="302">
        <f t="shared" si="129"/>
        <v>264.84117086138548</v>
      </c>
      <c r="BB85" s="302">
        <f t="shared" si="129"/>
        <v>491.74441899787649</v>
      </c>
      <c r="BC85" s="302">
        <f t="shared" si="129"/>
        <v>123.62943093847079</v>
      </c>
      <c r="BD85" s="302">
        <f>IFERROR(((SUM(BD42:BD45)+SUM(BD55:BD58)+BD60)*100000)     /    (SUM(BD67:BD72)+SUM(BD75:BD79)), #N/A)</f>
        <v>224.37377759419405</v>
      </c>
      <c r="BE85" s="302">
        <f t="shared" ref="BE85:BT85" si="130">IFERROR(((SUM(BE42:BE45)+SUM(BE55:BE58)+BE60)*100000)     /    (SUM(BE67:BE72)+SUM(BE75:BE79)), #N/A)</f>
        <v>210.37767793722193</v>
      </c>
      <c r="BF85" s="302">
        <f t="shared" si="130"/>
        <v>122.29023174278481</v>
      </c>
      <c r="BG85" s="302">
        <f t="shared" si="130"/>
        <v>129.21283114557559</v>
      </c>
      <c r="BH85" s="302" t="e">
        <f t="shared" si="130"/>
        <v>#N/A</v>
      </c>
      <c r="BI85" s="302">
        <f t="shared" si="130"/>
        <v>111.43819653350256</v>
      </c>
      <c r="BJ85" s="302">
        <f t="shared" si="130"/>
        <v>111.43819653350259</v>
      </c>
      <c r="BK85" s="302">
        <f t="shared" si="130"/>
        <v>104.94282274380853</v>
      </c>
      <c r="BL85" s="302">
        <f t="shared" si="130"/>
        <v>97.992072410312716</v>
      </c>
      <c r="BM85" s="302">
        <f t="shared" si="130"/>
        <v>90.587430080502685</v>
      </c>
      <c r="BN85" s="302">
        <f t="shared" si="130"/>
        <v>82.730380301866077</v>
      </c>
      <c r="BO85" s="302">
        <f t="shared" si="130"/>
        <v>74.422407621890486</v>
      </c>
      <c r="BP85" s="302">
        <f t="shared" si="130"/>
        <v>65.664996588063488</v>
      </c>
      <c r="BQ85" s="302">
        <f t="shared" si="130"/>
        <v>56.459631747872713</v>
      </c>
      <c r="BR85" s="302">
        <f t="shared" si="130"/>
        <v>46.807797648805796</v>
      </c>
      <c r="BS85" s="302">
        <f t="shared" si="130"/>
        <v>36.710978838350265</v>
      </c>
      <c r="BT85" s="302">
        <f t="shared" si="130"/>
        <v>26.170659863993809</v>
      </c>
    </row>
    <row r="86" spans="1:72">
      <c r="A86" s="17"/>
      <c r="B86" s="17"/>
      <c r="E86" s="86" t="s">
        <v>262</v>
      </c>
      <c r="F86" s="268" t="e">
        <f>IFERROR(SUM(F42:F45)+SUM(F55:F58)+F60,#N/A)</f>
        <v>#N/A</v>
      </c>
      <c r="G86" s="268">
        <f t="shared" ref="G86:AI86" si="131">IFERROR(SUM(G42:G45)+SUM(G55:G58)+G60,#N/A)</f>
        <v>50295.457272985208</v>
      </c>
      <c r="H86" s="268">
        <f t="shared" si="131"/>
        <v>107053.18172123865</v>
      </c>
      <c r="I86" s="268">
        <f t="shared" si="131"/>
        <v>14628.95424977816</v>
      </c>
      <c r="J86" s="268">
        <f t="shared" si="131"/>
        <v>40018.520780499326</v>
      </c>
      <c r="K86" s="268">
        <f t="shared" si="131"/>
        <v>36332.117502967652</v>
      </c>
      <c r="L86" s="268">
        <f t="shared" si="131"/>
        <v>14308.965037198586</v>
      </c>
      <c r="M86" s="268">
        <f t="shared" si="131"/>
        <v>16036.462586527921</v>
      </c>
      <c r="N86" s="268" t="e">
        <f t="shared" si="131"/>
        <v>#N/A</v>
      </c>
      <c r="O86" s="268">
        <f t="shared" si="131"/>
        <v>13062.549000154952</v>
      </c>
      <c r="P86" s="268">
        <f t="shared" si="131"/>
        <v>13029.889838851581</v>
      </c>
      <c r="Q86" s="268">
        <f t="shared" si="131"/>
        <v>12055.813246477777</v>
      </c>
      <c r="R86" s="268">
        <f t="shared" si="131"/>
        <v>11022.883804062487</v>
      </c>
      <c r="S86" s="268">
        <f t="shared" si="131"/>
        <v>9935.1341475871905</v>
      </c>
      <c r="T86" s="268">
        <f t="shared" si="131"/>
        <v>8794.2906814211165</v>
      </c>
      <c r="U86" s="268">
        <f t="shared" si="131"/>
        <v>7601.9593528199039</v>
      </c>
      <c r="V86" s="268">
        <f t="shared" si="131"/>
        <v>6359.9260101116006</v>
      </c>
      <c r="W86" s="268">
        <f t="shared" si="131"/>
        <v>5070.4603582911304</v>
      </c>
      <c r="X86" s="268">
        <f t="shared" si="131"/>
        <v>3736.2738007038079</v>
      </c>
      <c r="Y86" s="268">
        <f t="shared" si="131"/>
        <v>2360.3643476051948</v>
      </c>
      <c r="Z86" s="268">
        <f t="shared" si="131"/>
        <v>945.75626228206386</v>
      </c>
      <c r="AA86" s="268"/>
      <c r="AB86" s="268"/>
      <c r="AC86" s="268" t="e">
        <f t="shared" si="131"/>
        <v>#N/A</v>
      </c>
      <c r="AD86" s="268">
        <f t="shared" si="131"/>
        <v>31663.657666836552</v>
      </c>
      <c r="AE86" s="268">
        <f t="shared" si="131"/>
        <v>86085.554400432942</v>
      </c>
      <c r="AF86" s="268">
        <f t="shared" si="131"/>
        <v>0</v>
      </c>
      <c r="AG86" s="268">
        <f t="shared" si="131"/>
        <v>22267.867163939125</v>
      </c>
      <c r="AH86" s="268">
        <f t="shared" si="131"/>
        <v>18709.201706165102</v>
      </c>
      <c r="AI86" s="268">
        <f t="shared" si="131"/>
        <v>0</v>
      </c>
      <c r="AJ86" s="268">
        <f>IFERROR(SUM(AJ42:AJ45)+SUM(AJ55:AJ58)+AJ60,#N/A)</f>
        <v>0</v>
      </c>
      <c r="AK86" s="268" t="e">
        <f t="shared" ref="AK86:BC86" si="132">IFERROR(SUM(AK42:AK45)+SUM(AK55:AK58)+AK60,#N/A)</f>
        <v>#N/A</v>
      </c>
      <c r="AL86" s="268">
        <f t="shared" si="132"/>
        <v>0</v>
      </c>
      <c r="AM86" s="268">
        <f t="shared" si="132"/>
        <v>0</v>
      </c>
      <c r="AN86" s="268">
        <f t="shared" si="132"/>
        <v>0</v>
      </c>
      <c r="AO86" s="268">
        <f t="shared" si="132"/>
        <v>0</v>
      </c>
      <c r="AP86" s="268">
        <f t="shared" si="132"/>
        <v>0</v>
      </c>
      <c r="AQ86" s="268">
        <f t="shared" si="132"/>
        <v>0</v>
      </c>
      <c r="AR86" s="268">
        <f t="shared" si="132"/>
        <v>0</v>
      </c>
      <c r="AS86" s="268">
        <f t="shared" si="132"/>
        <v>0</v>
      </c>
      <c r="AT86" s="268">
        <f t="shared" si="132"/>
        <v>0</v>
      </c>
      <c r="AU86" s="268">
        <f t="shared" si="132"/>
        <v>0</v>
      </c>
      <c r="AV86" s="268">
        <f t="shared" si="132"/>
        <v>0</v>
      </c>
      <c r="AW86" s="268">
        <f t="shared" si="132"/>
        <v>0</v>
      </c>
      <c r="AX86" s="268"/>
      <c r="AY86" s="268"/>
      <c r="AZ86" s="268" t="e">
        <f t="shared" si="132"/>
        <v>#N/A</v>
      </c>
      <c r="BA86" s="268">
        <f t="shared" si="132"/>
        <v>69732.00494281709</v>
      </c>
      <c r="BB86" s="268">
        <f t="shared" si="132"/>
        <v>128481.43771828953</v>
      </c>
      <c r="BC86" s="268">
        <f t="shared" si="132"/>
        <v>32106.904431950254</v>
      </c>
      <c r="BD86" s="268">
        <f>IFERROR(SUM(BD42:BD45)+SUM(BD55:BD58)+BD60,#N/A)</f>
        <v>58024.095492711058</v>
      </c>
      <c r="BE86" s="268">
        <f t="shared" ref="BE86:BT86" si="133">IFERROR(SUM(BE42:BE45)+SUM(BE55:BE58)+BE60,#N/A)</f>
        <v>54264.132415896936</v>
      </c>
      <c r="BF86" s="268">
        <f t="shared" si="133"/>
        <v>31499.306330205596</v>
      </c>
      <c r="BG86" s="268">
        <f t="shared" si="133"/>
        <v>33250.124637519577</v>
      </c>
      <c r="BH86" s="268" t="e">
        <f t="shared" si="133"/>
        <v>#N/A</v>
      </c>
      <c r="BI86" s="268">
        <f t="shared" si="133"/>
        <v>28590.816608466172</v>
      </c>
      <c r="BJ86" s="268">
        <f t="shared" si="133"/>
        <v>28519.333462917792</v>
      </c>
      <c r="BK86" s="268">
        <f t="shared" si="133"/>
        <v>26770.708394012981</v>
      </c>
      <c r="BL86" s="268">
        <f t="shared" si="133"/>
        <v>24905.422103465498</v>
      </c>
      <c r="BM86" s="268">
        <f t="shared" si="133"/>
        <v>22931.770387591965</v>
      </c>
      <c r="BN86" s="268">
        <f t="shared" si="133"/>
        <v>20852.965884141166</v>
      </c>
      <c r="BO86" s="268">
        <f t="shared" si="133"/>
        <v>18671.854965409853</v>
      </c>
      <c r="BP86" s="268">
        <f t="shared" si="133"/>
        <v>16391.539408799785</v>
      </c>
      <c r="BQ86" s="268">
        <f t="shared" si="133"/>
        <v>14016.096241657273</v>
      </c>
      <c r="BR86" s="268">
        <f t="shared" si="133"/>
        <v>11550.551463018288</v>
      </c>
      <c r="BS86" s="268">
        <f t="shared" si="133"/>
        <v>9000.6127682533734</v>
      </c>
      <c r="BT86" s="268">
        <f t="shared" si="133"/>
        <v>6371.9325534711297</v>
      </c>
    </row>
    <row r="87" spans="1:72">
      <c r="A87" s="17"/>
      <c r="B87" s="17"/>
      <c r="E87" s="34" t="s">
        <v>263</v>
      </c>
      <c r="F87" s="281" t="e">
        <f>SUM(F42:F44)+SUM(F55:F57)</f>
        <v>#VALUE!</v>
      </c>
      <c r="G87" s="281">
        <f t="shared" ref="G87:AI87" si="134">SUM(G42:G44)+SUM(G55:G57)</f>
        <v>18141.009744067553</v>
      </c>
      <c r="H87" s="281">
        <f t="shared" si="134"/>
        <v>38666.394236743399</v>
      </c>
      <c r="I87" s="281">
        <f t="shared" si="134"/>
        <v>5289.7717911042046</v>
      </c>
      <c r="J87" s="281">
        <f t="shared" si="134"/>
        <v>14419.697034152803</v>
      </c>
      <c r="K87" s="281">
        <f t="shared" si="134"/>
        <v>13093.291974288521</v>
      </c>
      <c r="L87" s="281">
        <f t="shared" si="134"/>
        <v>5177.7133243782473</v>
      </c>
      <c r="M87" s="281">
        <f t="shared" si="134"/>
        <v>5799.9837438607801</v>
      </c>
      <c r="N87" s="281" t="e">
        <f t="shared" si="134"/>
        <v>#VALUE!</v>
      </c>
      <c r="O87" s="281">
        <f t="shared" si="134"/>
        <v>4767.217646315713</v>
      </c>
      <c r="P87" s="281">
        <f t="shared" si="134"/>
        <v>4755.2985844176528</v>
      </c>
      <c r="Q87" s="281">
        <f t="shared" si="134"/>
        <v>4419.913736111047</v>
      </c>
      <c r="R87" s="281">
        <f t="shared" si="134"/>
        <v>4064.1902999976955</v>
      </c>
      <c r="S87" s="281">
        <f t="shared" si="134"/>
        <v>3689.5636426647702</v>
      </c>
      <c r="T87" s="281">
        <f t="shared" si="134"/>
        <v>3296.6247811934995</v>
      </c>
      <c r="U87" s="281">
        <f t="shared" si="134"/>
        <v>2885.9143753974663</v>
      </c>
      <c r="V87" s="281">
        <f t="shared" si="134"/>
        <v>2458.0301597525377</v>
      </c>
      <c r="W87" s="281">
        <f t="shared" si="134"/>
        <v>2013.7406513925575</v>
      </c>
      <c r="X87" s="281">
        <f t="shared" si="134"/>
        <v>1553.9733862291587</v>
      </c>
      <c r="Y87" s="281">
        <f t="shared" si="134"/>
        <v>1079.7624978053313</v>
      </c>
      <c r="Z87" s="281">
        <f t="shared" si="134"/>
        <v>592.14433660245629</v>
      </c>
      <c r="AA87" s="281"/>
      <c r="AB87" s="281"/>
      <c r="AC87" s="281" t="e">
        <f t="shared" si="134"/>
        <v>#VALUE!</v>
      </c>
      <c r="AD87" s="281">
        <f t="shared" si="134"/>
        <v>11443.026761908217</v>
      </c>
      <c r="AE87" s="281">
        <f t="shared" si="134"/>
        <v>31168.630718228702</v>
      </c>
      <c r="AF87" s="281">
        <f t="shared" si="134"/>
        <v>0</v>
      </c>
      <c r="AG87" s="281">
        <f t="shared" si="134"/>
        <v>8029.6341601674949</v>
      </c>
      <c r="AH87" s="281">
        <f t="shared" si="134"/>
        <v>6747.8534409568892</v>
      </c>
      <c r="AI87" s="281">
        <f t="shared" si="134"/>
        <v>0</v>
      </c>
      <c r="AJ87" s="281">
        <f>SUM(AJ42:AJ44)+SUM(AJ55:AJ57)</f>
        <v>0</v>
      </c>
      <c r="AK87" s="281" t="e">
        <f t="shared" ref="AK87:BC87" si="135">SUM(AK42:AK44)+SUM(AK55:AK57)</f>
        <v>#VALUE!</v>
      </c>
      <c r="AL87" s="281">
        <f t="shared" si="135"/>
        <v>0</v>
      </c>
      <c r="AM87" s="281">
        <f t="shared" si="135"/>
        <v>0</v>
      </c>
      <c r="AN87" s="281">
        <f t="shared" si="135"/>
        <v>0</v>
      </c>
      <c r="AO87" s="281">
        <f t="shared" si="135"/>
        <v>0</v>
      </c>
      <c r="AP87" s="281">
        <f t="shared" si="135"/>
        <v>0</v>
      </c>
      <c r="AQ87" s="281">
        <f t="shared" si="135"/>
        <v>0</v>
      </c>
      <c r="AR87" s="281">
        <f t="shared" si="135"/>
        <v>0</v>
      </c>
      <c r="AS87" s="281">
        <f t="shared" si="135"/>
        <v>0</v>
      </c>
      <c r="AT87" s="281">
        <f t="shared" si="135"/>
        <v>0</v>
      </c>
      <c r="AU87" s="281">
        <f t="shared" si="135"/>
        <v>0</v>
      </c>
      <c r="AV87" s="281">
        <f t="shared" si="135"/>
        <v>0</v>
      </c>
      <c r="AW87" s="281">
        <f t="shared" si="135"/>
        <v>0</v>
      </c>
      <c r="AX87" s="281"/>
      <c r="AY87" s="281"/>
      <c r="AZ87" s="281" t="e">
        <f t="shared" si="135"/>
        <v>#VALUE!</v>
      </c>
      <c r="BA87" s="281">
        <f t="shared" si="135"/>
        <v>25115.329638453495</v>
      </c>
      <c r="BB87" s="281">
        <f t="shared" si="135"/>
        <v>46322.329873739545</v>
      </c>
      <c r="BC87" s="281">
        <f t="shared" si="135"/>
        <v>11587.444693582784</v>
      </c>
      <c r="BD87" s="281">
        <f>SUM(BD42:BD44)+SUM(BD55:BD57)</f>
        <v>20897.295512897887</v>
      </c>
      <c r="BE87" s="281">
        <f t="shared" ref="BE87:BT87" si="136">SUM(BE42:BE44)+SUM(BE55:BE57)</f>
        <v>19544.869930847217</v>
      </c>
      <c r="BF87" s="281">
        <f t="shared" si="136"/>
        <v>11374.204442838776</v>
      </c>
      <c r="BG87" s="281">
        <f t="shared" si="136"/>
        <v>12004.197929228734</v>
      </c>
      <c r="BH87" s="281" t="e">
        <f t="shared" si="136"/>
        <v>#VALUE!</v>
      </c>
      <c r="BI87" s="281">
        <f t="shared" si="136"/>
        <v>10391.822333045271</v>
      </c>
      <c r="BJ87" s="281">
        <f t="shared" si="136"/>
        <v>10365.840558599346</v>
      </c>
      <c r="BK87" s="281">
        <f t="shared" si="136"/>
        <v>9763.5511426208504</v>
      </c>
      <c r="BL87" s="281">
        <f t="shared" si="136"/>
        <v>9120.9382886086678</v>
      </c>
      <c r="BM87" s="281">
        <f t="shared" si="136"/>
        <v>8440.953810680694</v>
      </c>
      <c r="BN87" s="281">
        <f t="shared" si="136"/>
        <v>7724.6972039300708</v>
      </c>
      <c r="BO87" s="281">
        <f t="shared" si="136"/>
        <v>6973.1238638243995</v>
      </c>
      <c r="BP87" s="281">
        <f t="shared" si="136"/>
        <v>6187.2673084601283</v>
      </c>
      <c r="BQ87" s="281">
        <f t="shared" si="136"/>
        <v>5368.5053852051869</v>
      </c>
      <c r="BR87" s="281">
        <f t="shared" si="136"/>
        <v>4518.5567753591022</v>
      </c>
      <c r="BS87" s="281">
        <f t="shared" si="136"/>
        <v>3639.3909172792019</v>
      </c>
      <c r="BT87" s="281">
        <f t="shared" si="136"/>
        <v>2732.9444064929289</v>
      </c>
    </row>
    <row r="88" spans="1:72">
      <c r="A88" s="17"/>
      <c r="B88" s="17"/>
      <c r="E88" s="34" t="s">
        <v>107</v>
      </c>
      <c r="F88" s="282" t="e">
        <f>(SUM(F68:F70))/(SUM(F67:F72))</f>
        <v>#N/A</v>
      </c>
      <c r="G88" s="282">
        <f t="shared" ref="G88:AI88" si="137">(SUM(G68:G70))/(SUM(G67:G72))</f>
        <v>0.34633205509290588</v>
      </c>
      <c r="H88" s="282">
        <f t="shared" si="137"/>
        <v>0.33707662496409685</v>
      </c>
      <c r="I88" s="282">
        <f t="shared" si="137"/>
        <v>0.32990868296945042</v>
      </c>
      <c r="J88" s="282">
        <f t="shared" si="137"/>
        <v>0.35340110625900534</v>
      </c>
      <c r="K88" s="282">
        <f t="shared" si="137"/>
        <v>0.35236457127692444</v>
      </c>
      <c r="L88" s="282">
        <f t="shared" si="137"/>
        <v>0.32558332492600189</v>
      </c>
      <c r="M88" s="282">
        <f t="shared" si="137"/>
        <v>0.32856025380145154</v>
      </c>
      <c r="N88" s="282" t="e">
        <f t="shared" si="137"/>
        <v>#N/A</v>
      </c>
      <c r="O88" s="282">
        <f t="shared" si="137"/>
        <v>0.28114920928675674</v>
      </c>
      <c r="P88" s="282">
        <f t="shared" si="137"/>
        <v>0.28114920928675685</v>
      </c>
      <c r="Q88" s="282">
        <f t="shared" si="137"/>
        <v>0.26216278540835247</v>
      </c>
      <c r="R88" s="282">
        <f t="shared" si="137"/>
        <v>0.24195546844550136</v>
      </c>
      <c r="S88" s="282">
        <f t="shared" si="137"/>
        <v>0.22053104315312066</v>
      </c>
      <c r="T88" s="282">
        <f t="shared" si="137"/>
        <v>0.19789329428612776</v>
      </c>
      <c r="U88" s="282">
        <f t="shared" si="137"/>
        <v>0.17404600659943997</v>
      </c>
      <c r="V88" s="282">
        <f t="shared" si="137"/>
        <v>0.1489929648479747</v>
      </c>
      <c r="W88" s="282">
        <f t="shared" si="137"/>
        <v>0.12273795378664919</v>
      </c>
      <c r="X88" s="282">
        <f t="shared" si="137"/>
        <v>9.5284758170380915E-2</v>
      </c>
      <c r="Y88" s="282">
        <f t="shared" si="137"/>
        <v>6.6637162754087167E-2</v>
      </c>
      <c r="Z88" s="282">
        <f t="shared" si="137"/>
        <v>3.6798952292685254E-2</v>
      </c>
      <c r="AA88" s="282"/>
      <c r="AB88" s="282"/>
      <c r="AC88" s="282" t="e">
        <f t="shared" si="137"/>
        <v>#N/A</v>
      </c>
      <c r="AD88" s="282">
        <f t="shared" si="137"/>
        <v>0.33343911448361263</v>
      </c>
      <c r="AE88" s="282">
        <f t="shared" si="137"/>
        <v>0.32203190407329157</v>
      </c>
      <c r="AF88" s="282" t="e">
        <f t="shared" si="137"/>
        <v>#DIV/0!</v>
      </c>
      <c r="AG88" s="282">
        <f t="shared" si="137"/>
        <v>0.34817053224946265</v>
      </c>
      <c r="AH88" s="282">
        <f t="shared" si="137"/>
        <v>0.34668546499063602</v>
      </c>
      <c r="AI88" s="282" t="e">
        <f t="shared" si="137"/>
        <v>#DIV/0!</v>
      </c>
      <c r="AJ88" s="282" t="e">
        <f>(SUM(AJ68:AJ70))/(SUM(AJ67:AJ72))</f>
        <v>#DIV/0!</v>
      </c>
      <c r="AK88" s="282" t="e">
        <f t="shared" ref="AK88:BC88" si="138">(SUM(AK68:AK70))/(SUM(AK67:AK72))</f>
        <v>#N/A</v>
      </c>
      <c r="AL88" s="282" t="e">
        <f t="shared" si="138"/>
        <v>#DIV/0!</v>
      </c>
      <c r="AM88" s="282" t="e">
        <f t="shared" si="138"/>
        <v>#DIV/0!</v>
      </c>
      <c r="AN88" s="282" t="e">
        <f t="shared" si="138"/>
        <v>#DIV/0!</v>
      </c>
      <c r="AO88" s="282" t="e">
        <f t="shared" si="138"/>
        <v>#DIV/0!</v>
      </c>
      <c r="AP88" s="282" t="e">
        <f t="shared" si="138"/>
        <v>#DIV/0!</v>
      </c>
      <c r="AQ88" s="282" t="e">
        <f t="shared" si="138"/>
        <v>#DIV/0!</v>
      </c>
      <c r="AR88" s="282" t="e">
        <f t="shared" si="138"/>
        <v>#DIV/0!</v>
      </c>
      <c r="AS88" s="282" t="e">
        <f t="shared" si="138"/>
        <v>#DIV/0!</v>
      </c>
      <c r="AT88" s="282" t="e">
        <f t="shared" si="138"/>
        <v>#DIV/0!</v>
      </c>
      <c r="AU88" s="282" t="e">
        <f t="shared" si="138"/>
        <v>#DIV/0!</v>
      </c>
      <c r="AV88" s="282" t="e">
        <f t="shared" si="138"/>
        <v>#DIV/0!</v>
      </c>
      <c r="AW88" s="282" t="e">
        <f t="shared" si="138"/>
        <v>#DIV/0!</v>
      </c>
      <c r="AX88" s="282"/>
      <c r="AY88" s="282"/>
      <c r="AZ88" s="282" t="e">
        <f t="shared" si="138"/>
        <v>#N/A</v>
      </c>
      <c r="BA88" s="282">
        <f t="shared" si="138"/>
        <v>0.35653609775032707</v>
      </c>
      <c r="BB88" s="282">
        <f t="shared" si="138"/>
        <v>0.3492477456031382</v>
      </c>
      <c r="BC88" s="282">
        <f t="shared" si="138"/>
        <v>0.34232088203472927</v>
      </c>
      <c r="BD88" s="282">
        <f>(SUM(BD68:BD70))/(SUM(BD67:BD72))</f>
        <v>0.35695687367566492</v>
      </c>
      <c r="BE88" s="282">
        <f t="shared" ref="BE88:BT88" si="139">(SUM(BE68:BE70))/(SUM(BE67:BE72))</f>
        <v>0.35631472348902643</v>
      </c>
      <c r="BF88" s="282">
        <f t="shared" si="139"/>
        <v>0.33879273705291862</v>
      </c>
      <c r="BG88" s="282">
        <f t="shared" si="139"/>
        <v>0.34000977351747247</v>
      </c>
      <c r="BH88" s="282" t="e">
        <f t="shared" si="139"/>
        <v>#N/A</v>
      </c>
      <c r="BI88" s="282">
        <f t="shared" si="139"/>
        <v>0.30072112386999206</v>
      </c>
      <c r="BJ88" s="282">
        <f t="shared" si="139"/>
        <v>0.300721123869992</v>
      </c>
      <c r="BK88" s="282">
        <f t="shared" si="139"/>
        <v>0.28416160112263533</v>
      </c>
      <c r="BL88" s="282">
        <f t="shared" si="139"/>
        <v>0.26644112621457866</v>
      </c>
      <c r="BM88" s="282">
        <f t="shared" si="139"/>
        <v>0.24756348390073951</v>
      </c>
      <c r="BN88" s="282">
        <f t="shared" si="139"/>
        <v>0.22753245893603524</v>
      </c>
      <c r="BO88" s="282">
        <f t="shared" si="139"/>
        <v>0.20635183607538304</v>
      </c>
      <c r="BP88" s="282">
        <f t="shared" si="139"/>
        <v>0.1840254000737003</v>
      </c>
      <c r="BQ88" s="282">
        <f t="shared" si="139"/>
        <v>0.16055693568590446</v>
      </c>
      <c r="BR88" s="282">
        <f t="shared" si="139"/>
        <v>0.13595022766691273</v>
      </c>
      <c r="BS88" s="282">
        <f t="shared" si="139"/>
        <v>0.11020906077164258</v>
      </c>
      <c r="BT88" s="282">
        <f t="shared" si="139"/>
        <v>8.3337219755011308E-2</v>
      </c>
    </row>
    <row r="89" spans="1:72">
      <c r="A89" s="17"/>
      <c r="B89" s="17"/>
      <c r="E89" s="280" t="s">
        <v>74</v>
      </c>
      <c r="F89" s="303" t="e">
        <f>SUM(F76:F78)/SUM(F75:F79)</f>
        <v>#VALUE!</v>
      </c>
      <c r="G89" s="303">
        <f t="shared" ref="G89:AI89" si="140">SUM(G76:G78)/SUM(G75:G79)</f>
        <v>2.8700000000000004E-4</v>
      </c>
      <c r="H89" s="303">
        <f t="shared" si="140"/>
        <v>2.8699999999999998E-4</v>
      </c>
      <c r="I89" s="303">
        <f t="shared" si="140"/>
        <v>2.8699999999999998E-4</v>
      </c>
      <c r="J89" s="303">
        <f t="shared" si="140"/>
        <v>2.8700000000000004E-4</v>
      </c>
      <c r="K89" s="303">
        <f t="shared" si="140"/>
        <v>2.8699999999999998E-4</v>
      </c>
      <c r="L89" s="303">
        <f t="shared" si="140"/>
        <v>2.8699999999999998E-4</v>
      </c>
      <c r="M89" s="303">
        <f t="shared" si="140"/>
        <v>2.8699999999999998E-4</v>
      </c>
      <c r="N89" s="303" t="e">
        <f t="shared" si="140"/>
        <v>#VALUE!</v>
      </c>
      <c r="O89" s="303">
        <f t="shared" si="140"/>
        <v>2.8699999999999998E-4</v>
      </c>
      <c r="P89" s="303">
        <f t="shared" si="140"/>
        <v>2.8699999999999998E-4</v>
      </c>
      <c r="Q89" s="303">
        <f t="shared" si="140"/>
        <v>2.8699999999999998E-4</v>
      </c>
      <c r="R89" s="303">
        <f t="shared" si="140"/>
        <v>2.8700000000000004E-4</v>
      </c>
      <c r="S89" s="303">
        <f t="shared" si="140"/>
        <v>2.8700000000000004E-4</v>
      </c>
      <c r="T89" s="303">
        <f t="shared" si="140"/>
        <v>2.8699999999999998E-4</v>
      </c>
      <c r="U89" s="303">
        <f t="shared" si="140"/>
        <v>2.8699999999999998E-4</v>
      </c>
      <c r="V89" s="303">
        <f t="shared" si="140"/>
        <v>2.8699999999999998E-4</v>
      </c>
      <c r="W89" s="303">
        <f t="shared" si="140"/>
        <v>2.8699999999999998E-4</v>
      </c>
      <c r="X89" s="303">
        <f t="shared" si="140"/>
        <v>2.8699999999999998E-4</v>
      </c>
      <c r="Y89" s="303">
        <f t="shared" si="140"/>
        <v>2.8699999999999998E-4</v>
      </c>
      <c r="Z89" s="303">
        <f t="shared" si="140"/>
        <v>2.8699999999999998E-4</v>
      </c>
      <c r="AA89" s="303"/>
      <c r="AB89" s="303"/>
      <c r="AC89" s="303" t="e">
        <f t="shared" si="140"/>
        <v>#VALUE!</v>
      </c>
      <c r="AD89" s="303">
        <f t="shared" si="140"/>
        <v>2.8700000000000004E-4</v>
      </c>
      <c r="AE89" s="303">
        <f t="shared" si="140"/>
        <v>2.8699999999999998E-4</v>
      </c>
      <c r="AF89" s="303">
        <f t="shared" si="140"/>
        <v>2.8699999999999998E-4</v>
      </c>
      <c r="AG89" s="303">
        <f t="shared" si="140"/>
        <v>2.8699999999999998E-4</v>
      </c>
      <c r="AH89" s="303">
        <f t="shared" si="140"/>
        <v>2.8699999999999998E-4</v>
      </c>
      <c r="AI89" s="303">
        <f t="shared" si="140"/>
        <v>2.8699999999999998E-4</v>
      </c>
      <c r="AJ89" s="303">
        <f>SUM(AJ76:AJ78)/SUM(AJ75:AJ79)</f>
        <v>2.8699999999999998E-4</v>
      </c>
      <c r="AK89" s="303" t="e">
        <f t="shared" ref="AK89:BC89" si="141">SUM(AK76:AK78)/SUM(AK75:AK79)</f>
        <v>#VALUE!</v>
      </c>
      <c r="AL89" s="303">
        <f t="shared" si="141"/>
        <v>2.8699999999999998E-4</v>
      </c>
      <c r="AM89" s="303">
        <f t="shared" si="141"/>
        <v>2.8699999999999998E-4</v>
      </c>
      <c r="AN89" s="303">
        <f t="shared" si="141"/>
        <v>2.8700000000000004E-4</v>
      </c>
      <c r="AO89" s="303">
        <f t="shared" si="141"/>
        <v>2.8699999999999998E-4</v>
      </c>
      <c r="AP89" s="303">
        <f t="shared" si="141"/>
        <v>2.8700000000000004E-4</v>
      </c>
      <c r="AQ89" s="303">
        <f t="shared" si="141"/>
        <v>2.8699999999999998E-4</v>
      </c>
      <c r="AR89" s="303">
        <f t="shared" si="141"/>
        <v>2.8699999999999998E-4</v>
      </c>
      <c r="AS89" s="303">
        <f t="shared" si="141"/>
        <v>2.8699999999999998E-4</v>
      </c>
      <c r="AT89" s="303">
        <f t="shared" si="141"/>
        <v>2.8699999999999998E-4</v>
      </c>
      <c r="AU89" s="303">
        <f t="shared" si="141"/>
        <v>2.8699999999999998E-4</v>
      </c>
      <c r="AV89" s="303">
        <f t="shared" si="141"/>
        <v>2.8699999999999998E-4</v>
      </c>
      <c r="AW89" s="303">
        <f t="shared" si="141"/>
        <v>2.8699999999999998E-4</v>
      </c>
      <c r="AX89" s="303"/>
      <c r="AY89" s="303"/>
      <c r="AZ89" s="303" t="e">
        <f t="shared" si="141"/>
        <v>#VALUE!</v>
      </c>
      <c r="BA89" s="303">
        <f t="shared" si="141"/>
        <v>2.8699999999999998E-4</v>
      </c>
      <c r="BB89" s="303">
        <f t="shared" si="141"/>
        <v>2.8699999999999998E-4</v>
      </c>
      <c r="BC89" s="303">
        <f t="shared" si="141"/>
        <v>2.8699999999999998E-4</v>
      </c>
      <c r="BD89" s="303">
        <f>SUM(BD76:BD78)/SUM(BD75:BD79)</f>
        <v>2.8700000000000004E-4</v>
      </c>
      <c r="BE89" s="303">
        <f t="shared" ref="BE89:BT89" si="142">SUM(BE76:BE78)/SUM(BE75:BE79)</f>
        <v>2.8699999999999998E-4</v>
      </c>
      <c r="BF89" s="303">
        <f t="shared" si="142"/>
        <v>2.8699999999999998E-4</v>
      </c>
      <c r="BG89" s="303">
        <f t="shared" si="142"/>
        <v>2.8699999999999998E-4</v>
      </c>
      <c r="BH89" s="303" t="e">
        <f t="shared" si="142"/>
        <v>#VALUE!</v>
      </c>
      <c r="BI89" s="303">
        <f t="shared" si="142"/>
        <v>2.8699999999999998E-4</v>
      </c>
      <c r="BJ89" s="303">
        <f t="shared" si="142"/>
        <v>2.8700000000000004E-4</v>
      </c>
      <c r="BK89" s="303">
        <f t="shared" si="142"/>
        <v>2.8699999999999998E-4</v>
      </c>
      <c r="BL89" s="303">
        <f t="shared" si="142"/>
        <v>2.8700000000000004E-4</v>
      </c>
      <c r="BM89" s="303">
        <f t="shared" si="142"/>
        <v>2.8700000000000004E-4</v>
      </c>
      <c r="BN89" s="303">
        <f t="shared" si="142"/>
        <v>2.8699999999999998E-4</v>
      </c>
      <c r="BO89" s="303">
        <f t="shared" si="142"/>
        <v>2.8699999999999998E-4</v>
      </c>
      <c r="BP89" s="303">
        <f t="shared" si="142"/>
        <v>2.8699999999999998E-4</v>
      </c>
      <c r="BQ89" s="303">
        <f t="shared" si="142"/>
        <v>2.8699999999999998E-4</v>
      </c>
      <c r="BR89" s="303">
        <f t="shared" si="142"/>
        <v>2.8700000000000004E-4</v>
      </c>
      <c r="BS89" s="303">
        <f t="shared" si="142"/>
        <v>2.8699999999999998E-4</v>
      </c>
      <c r="BT89" s="303">
        <f t="shared" si="142"/>
        <v>2.8699999999999998E-4</v>
      </c>
    </row>
    <row r="90" spans="1:72">
      <c r="A90" s="17"/>
      <c r="B90" s="17"/>
      <c r="F90" s="86"/>
      <c r="L90" s="86"/>
      <c r="N90" s="86"/>
      <c r="O90" s="86"/>
      <c r="P90" s="86"/>
      <c r="Q90" s="86"/>
      <c r="R90" s="86"/>
      <c r="S90" s="86"/>
      <c r="T90" s="86"/>
      <c r="U90" s="86"/>
      <c r="V90" s="86"/>
      <c r="W90" s="86"/>
      <c r="X90" s="86"/>
      <c r="Y90" s="86"/>
      <c r="Z90" s="86"/>
      <c r="AA90" s="86"/>
      <c r="AB90" s="86"/>
      <c r="AC90" s="86"/>
      <c r="AD90" s="86"/>
      <c r="AE90" s="86"/>
      <c r="AF90" s="86"/>
      <c r="AG90" s="86"/>
      <c r="AH90" s="86"/>
      <c r="AI90" s="86"/>
      <c r="AJ90" s="86"/>
      <c r="AK90" s="86"/>
      <c r="AL90" s="86"/>
      <c r="AM90" s="86"/>
      <c r="AN90" s="86"/>
      <c r="AO90" s="86"/>
      <c r="AP90" s="86"/>
      <c r="AQ90" s="86"/>
      <c r="AR90" s="86"/>
      <c r="AS90" s="86"/>
      <c r="AT90" s="86"/>
      <c r="AU90" s="86"/>
      <c r="AV90" s="86"/>
      <c r="AW90" s="86"/>
      <c r="AX90" s="86"/>
      <c r="AY90" s="86"/>
      <c r="AZ90" s="86"/>
      <c r="BA90" s="86"/>
      <c r="BB90" s="86"/>
      <c r="BC90" s="86"/>
      <c r="BD90" s="86"/>
      <c r="BE90" s="86"/>
      <c r="BF90" s="86"/>
      <c r="BG90" s="86"/>
      <c r="BH90" s="86"/>
      <c r="BI90" s="86"/>
      <c r="BJ90" s="86"/>
      <c r="BK90" s="86"/>
      <c r="BL90" s="86"/>
      <c r="BM90" s="86"/>
      <c r="BN90" s="86"/>
      <c r="BO90" s="86"/>
      <c r="BP90" s="86"/>
      <c r="BQ90" s="86"/>
      <c r="BR90" s="86"/>
      <c r="BS90" s="86"/>
      <c r="BT90" s="86"/>
    </row>
    <row r="91" spans="1:72">
      <c r="A91" s="17"/>
      <c r="B91" s="17"/>
      <c r="E91" s="86" t="s">
        <v>110</v>
      </c>
      <c r="F91" s="268" t="e">
        <f>IF((SUM(F67:F72)+SUM(F75:F79))='Data (Calculations)'!F19, "Correct", "Wrong")</f>
        <v>#N/A</v>
      </c>
      <c r="G91" s="268" t="str">
        <f>IF((SUM(G67:G72)+SUM(G75:G79))='Data (Calculations)'!G19, "Correct", "Wrong")</f>
        <v>Correct</v>
      </c>
      <c r="H91" s="268" t="str">
        <f>IF((SUM(H67:H72)+SUM(H75:H79))='Data (Calculations)'!H19, "Correct", "Wrong")</f>
        <v>Correct</v>
      </c>
      <c r="I91" s="268" t="str">
        <f>IF((SUM(I67:I72)+SUM(I75:I79))='Data (Calculations)'!I19, "Correct", "Wrong")</f>
        <v>Correct</v>
      </c>
      <c r="J91" s="268" t="str">
        <f>IF((SUM(J67:J72)+SUM(J75:J79))='Data (Calculations)'!J19, "Correct", "Wrong")</f>
        <v>Correct</v>
      </c>
      <c r="K91" s="268" t="str">
        <f>IF((SUM(K67:K72)+SUM(K75:K79))='Data (Calculations)'!K19, "Correct", "Wrong")</f>
        <v>Correct</v>
      </c>
      <c r="L91" s="268" t="str">
        <f>IF((SUM(L67:L72)+SUM(L75:L79))='Data (Calculations)'!L19, "Correct", "Wrong")</f>
        <v>Correct</v>
      </c>
      <c r="M91" s="268" t="str">
        <f>IF((SUM(M67:M72)+SUM(M75:M79))='Data (Calculations)'!M19, "Correct", "Wrong")</f>
        <v>Correct</v>
      </c>
      <c r="N91" s="268" t="e">
        <f>IF((SUM(N67:N72)+SUM(N75:N79))='Data (Calculations)'!N19, "Correct", "Wrong")</f>
        <v>#N/A</v>
      </c>
      <c r="O91" s="268" t="str">
        <f>IF((SUM(O67:O72)+SUM(O75:O79))='Data (Calculations)'!O19, "Correct", "Wrong")</f>
        <v>Correct</v>
      </c>
      <c r="P91" s="268" t="str">
        <f>IF((SUM(P67:P72)+SUM(P75:P79))='Data (Calculations)'!P19, "Correct", "Wrong")</f>
        <v>Correct</v>
      </c>
      <c r="Q91" s="268" t="str">
        <f>IF((SUM(Q67:Q72)+SUM(Q75:Q79))='Data (Calculations)'!Q19, "Correct", "Wrong")</f>
        <v>Correct</v>
      </c>
      <c r="R91" s="268" t="str">
        <f>IF((SUM(R67:R72)+SUM(R75:R79))='Data (Calculations)'!R19, "Correct", "Wrong")</f>
        <v>Correct</v>
      </c>
      <c r="S91" s="268" t="str">
        <f>IF((SUM(S67:S72)+SUM(S75:S79))='Data (Calculations)'!S19, "Correct", "Wrong")</f>
        <v>Correct</v>
      </c>
      <c r="T91" s="268" t="str">
        <f>IF((SUM(T67:T72)+SUM(T75:T79))='Data (Calculations)'!T19, "Correct", "Wrong")</f>
        <v>Correct</v>
      </c>
      <c r="U91" s="268" t="str">
        <f>IF((SUM(U67:U72)+SUM(U75:U79))='Data (Calculations)'!U19, "Correct", "Wrong")</f>
        <v>Correct</v>
      </c>
      <c r="V91" s="268" t="str">
        <f>IF((SUM(V67:V72)+SUM(V75:V79))='Data (Calculations)'!V19, "Correct", "Wrong")</f>
        <v>Correct</v>
      </c>
      <c r="W91" s="268" t="str">
        <f>IF((SUM(W67:W72)+SUM(W75:W79))='Data (Calculations)'!W19, "Correct", "Wrong")</f>
        <v>Correct</v>
      </c>
      <c r="X91" s="268" t="str">
        <f>IF((SUM(X67:X72)+SUM(X75:X79))='Data (Calculations)'!X19, "Correct", "Wrong")</f>
        <v>Correct</v>
      </c>
      <c r="Y91" s="268" t="str">
        <f>IF((SUM(Y67:Y72)+SUM(Y75:Y79))='Data (Calculations)'!Y19, "Correct", "Wrong")</f>
        <v>Correct</v>
      </c>
      <c r="Z91" s="268" t="str">
        <f>IF((SUM(Z67:Z72)+SUM(Z75:Z79))='Data (Calculations)'!Z19, "Correct", "Wrong")</f>
        <v>Correct</v>
      </c>
      <c r="AA91" s="268"/>
      <c r="AB91" s="268"/>
      <c r="AC91" s="268" t="e">
        <f>IF((SUM(AC67:AC72)+SUM(AC75:AC79))='Data (Calculations)'!AC19, "Correct", "Wrong")</f>
        <v>#N/A</v>
      </c>
      <c r="AD91" s="268" t="str">
        <f>IF((SUM(AD67:AD72)+SUM(AD75:AD79))='Data (Calculations)'!AD19, "Correct", "Wrong")</f>
        <v>Correct</v>
      </c>
      <c r="AE91" s="268" t="str">
        <f>IF((SUM(AE67:AE72)+SUM(AE75:AE79))='Data (Calculations)'!AE19, "Correct", "Wrong")</f>
        <v>Correct</v>
      </c>
      <c r="AF91" s="268" t="str">
        <f>IF((SUM(AF67:AF72)+SUM(AF75:AF79))='Data (Calculations)'!AF19, "Correct", "Wrong")</f>
        <v>Correct</v>
      </c>
      <c r="AG91" s="268" t="str">
        <f>IF((SUM(AG67:AG72)+SUM(AG75:AG79))='Data (Calculations)'!AG19, "Correct", "Wrong")</f>
        <v>Correct</v>
      </c>
      <c r="AH91" s="268" t="str">
        <f>IF((SUM(AH67:AH72)+SUM(AH75:AH79))='Data (Calculations)'!AH19, "Correct", "Wrong")</f>
        <v>Correct</v>
      </c>
      <c r="AI91" s="268" t="str">
        <f>IF((SUM(AI67:AI72)+SUM(AI75:AI79))='Data (Calculations)'!AI19, "Correct", "Wrong")</f>
        <v>Correct</v>
      </c>
      <c r="AJ91" s="268" t="str">
        <f>IF((SUM(AJ67:AJ72)+SUM(AJ75:AJ79))='Data (Calculations)'!AJ19, "Correct", "Wrong")</f>
        <v>Correct</v>
      </c>
      <c r="AK91" s="268" t="e">
        <f>IF((SUM(AK67:AK72)+SUM(AK75:AK79))='Data (Calculations)'!AK19, "Correct", "Wrong")</f>
        <v>#N/A</v>
      </c>
      <c r="AL91" s="268" t="str">
        <f>IF((SUM(AL67:AL72)+SUM(AL75:AL79))='Data (Calculations)'!AL19, "Correct", "Wrong")</f>
        <v>Correct</v>
      </c>
      <c r="AM91" s="268" t="str">
        <f>IF((SUM(AM67:AM72)+SUM(AM75:AM79))='Data (Calculations)'!AM19, "Correct", "Wrong")</f>
        <v>Correct</v>
      </c>
      <c r="AN91" s="268" t="str">
        <f>IF((SUM(AN67:AN72)+SUM(AN75:AN79))='Data (Calculations)'!AN19, "Correct", "Wrong")</f>
        <v>Correct</v>
      </c>
      <c r="AO91" s="268" t="str">
        <f>IF((SUM(AO67:AO72)+SUM(AO75:AO79))='Data (Calculations)'!AO19, "Correct", "Wrong")</f>
        <v>Correct</v>
      </c>
      <c r="AP91" s="268" t="str">
        <f>IF((SUM(AP67:AP72)+SUM(AP75:AP79))='Data (Calculations)'!AP19, "Correct", "Wrong")</f>
        <v>Correct</v>
      </c>
      <c r="AQ91" s="268" t="str">
        <f>IF((SUM(AQ67:AQ72)+SUM(AQ75:AQ79))='Data (Calculations)'!AQ19, "Correct", "Wrong")</f>
        <v>Correct</v>
      </c>
      <c r="AR91" s="268" t="str">
        <f>IF((SUM(AR67:AR72)+SUM(AR75:AR79))='Data (Calculations)'!AR19, "Correct", "Wrong")</f>
        <v>Correct</v>
      </c>
      <c r="AS91" s="268" t="str">
        <f>IF((SUM(AS67:AS72)+SUM(AS75:AS79))='Data (Calculations)'!AS19, "Correct", "Wrong")</f>
        <v>Correct</v>
      </c>
      <c r="AT91" s="268" t="str">
        <f>IF((SUM(AT67:AT72)+SUM(AT75:AT79))='Data (Calculations)'!AT19, "Correct", "Wrong")</f>
        <v>Correct</v>
      </c>
      <c r="AU91" s="268" t="str">
        <f>IF((SUM(AU67:AU72)+SUM(AU75:AU79))='Data (Calculations)'!AU19, "Correct", "Wrong")</f>
        <v>Correct</v>
      </c>
      <c r="AV91" s="268" t="str">
        <f>IF((SUM(AV67:AV72)+SUM(AV75:AV79))='Data (Calculations)'!AV19, "Correct", "Wrong")</f>
        <v>Correct</v>
      </c>
      <c r="AW91" s="268" t="str">
        <f>IF((SUM(AW67:AW72)+SUM(AW75:AW79))='Data (Calculations)'!AW19, "Correct", "Wrong")</f>
        <v>Correct</v>
      </c>
      <c r="AX91" s="268"/>
      <c r="AY91" s="268"/>
      <c r="AZ91" s="268" t="e">
        <f>IF((SUM(AZ67:AZ72)+SUM(AZ75:AZ79))='Data (Calculations)'!AZ19, "Correct", "Wrong")</f>
        <v>#N/A</v>
      </c>
      <c r="BA91" s="268" t="str">
        <f>IF((SUM(BA67:BA72)+SUM(BA75:BA79))='Data (Calculations)'!BA19, "Correct", "Wrong")</f>
        <v>Correct</v>
      </c>
      <c r="BB91" s="268" t="str">
        <f>IF((SUM(BB67:BB72)+SUM(BB75:BB79))='Data (Calculations)'!BB19, "Correct", "Wrong")</f>
        <v>Correct</v>
      </c>
      <c r="BC91" s="268" t="str">
        <f>IF((SUM(BC67:BC72)+SUM(BC75:BC79))='Data (Calculations)'!BC19, "Correct", "Wrong")</f>
        <v>Correct</v>
      </c>
      <c r="BD91" s="268" t="str">
        <f>IF((SUM(BD67:BD72)+SUM(BD75:BD79))='Data (Calculations)'!BD19, "Correct", "Wrong")</f>
        <v>Correct</v>
      </c>
      <c r="BE91" s="268" t="str">
        <f>IF((SUM(BE67:BE72)+SUM(BE75:BE79))='Data (Calculations)'!BE19, "Correct", "Wrong")</f>
        <v>Correct</v>
      </c>
      <c r="BF91" s="268" t="str">
        <f>IF((SUM(BF67:BF72)+SUM(BF75:BF79))='Data (Calculations)'!BF19, "Correct", "Wrong")</f>
        <v>Correct</v>
      </c>
      <c r="BG91" s="268" t="str">
        <f>IF((SUM(BG67:BG72)+SUM(BG75:BG79))='Data (Calculations)'!BG19, "Correct", "Wrong")</f>
        <v>Correct</v>
      </c>
      <c r="BH91" s="268" t="e">
        <f>IF((SUM(BH67:BH72)+SUM(BH75:BH79))='Data (Calculations)'!BH19, "Correct", "Wrong")</f>
        <v>#N/A</v>
      </c>
      <c r="BI91" s="268" t="str">
        <f>IF((SUM(BI67:BI72)+SUM(BI75:BI79))='Data (Calculations)'!BI19, "Correct", "Wrong")</f>
        <v>Correct</v>
      </c>
      <c r="BJ91" s="268" t="str">
        <f>IF((SUM(BJ67:BJ72)+SUM(BJ75:BJ79))='Data (Calculations)'!BJ19, "Correct", "Wrong")</f>
        <v>Correct</v>
      </c>
      <c r="BK91" s="268" t="str">
        <f>IF((SUM(BK67:BK72)+SUM(BK75:BK79))='Data (Calculations)'!BK19, "Correct", "Wrong")</f>
        <v>Correct</v>
      </c>
      <c r="BL91" s="268" t="str">
        <f>IF((SUM(BL67:BL72)+SUM(BL75:BL79))='Data (Calculations)'!BL19, "Correct", "Wrong")</f>
        <v>Correct</v>
      </c>
      <c r="BM91" s="268" t="str">
        <f>IF((SUM(BM67:BM72)+SUM(BM75:BM79))='Data (Calculations)'!BM19, "Correct", "Wrong")</f>
        <v>Correct</v>
      </c>
      <c r="BN91" s="268" t="str">
        <f>IF((SUM(BN67:BN72)+SUM(BN75:BN79))='Data (Calculations)'!BN19, "Correct", "Wrong")</f>
        <v>Correct</v>
      </c>
      <c r="BO91" s="268" t="str">
        <f>IF((SUM(BO67:BO72)+SUM(BO75:BO79))='Data (Calculations)'!BO19, "Correct", "Wrong")</f>
        <v>Correct</v>
      </c>
      <c r="BP91" s="268" t="str">
        <f>IF((SUM(BP67:BP72)+SUM(BP75:BP79))='Data (Calculations)'!BP19, "Correct", "Wrong")</f>
        <v>Correct</v>
      </c>
      <c r="BQ91" s="268" t="str">
        <f>IF((SUM(BQ67:BQ72)+SUM(BQ75:BQ79))='Data (Calculations)'!BQ19, "Correct", "Wrong")</f>
        <v>Correct</v>
      </c>
      <c r="BR91" s="268" t="str">
        <f>IF((SUM(BR67:BR72)+SUM(BR75:BR79))='Data (Calculations)'!BR19, "Correct", "Wrong")</f>
        <v>Correct</v>
      </c>
      <c r="BS91" s="268" t="str">
        <f>IF((SUM(BS67:BS72)+SUM(BS75:BS79))='Data (Calculations)'!BS19, "Correct", "Wrong")</f>
        <v>Correct</v>
      </c>
      <c r="BT91" s="268" t="str">
        <f>IF((SUM(BT67:BT72)+SUM(BT75:BT79))='Data (Calculations)'!BT19, "Correct", "Wrong")</f>
        <v>Correct</v>
      </c>
    </row>
    <row r="92" spans="1:72">
      <c r="A92" s="17"/>
      <c r="B92" s="17"/>
      <c r="L92" s="86"/>
      <c r="N92" s="86"/>
    </row>
    <row r="93" spans="1:72" ht="27" thickBot="1">
      <c r="A93" s="17"/>
      <c r="B93" s="17"/>
      <c r="E93" s="20" t="s">
        <v>35</v>
      </c>
      <c r="F93" s="696"/>
      <c r="L93" s="86"/>
      <c r="N93" s="86"/>
    </row>
    <row r="94" spans="1:72">
      <c r="A94" s="17"/>
      <c r="B94" s="17"/>
      <c r="L94" s="86"/>
      <c r="N94" s="86"/>
    </row>
    <row r="95" spans="1:72" ht="19">
      <c r="A95" s="17"/>
      <c r="B95" s="17"/>
      <c r="E95" s="202" t="s">
        <v>36</v>
      </c>
      <c r="F95" s="202"/>
      <c r="G95" s="203"/>
      <c r="H95" s="203"/>
      <c r="I95" s="203"/>
      <c r="J95" s="203"/>
      <c r="K95" s="203"/>
      <c r="L95" s="203"/>
      <c r="M95" s="203"/>
      <c r="N95" s="203"/>
      <c r="O95" s="203"/>
      <c r="P95" s="203"/>
      <c r="Q95" s="203"/>
      <c r="R95" s="203"/>
      <c r="S95" s="203"/>
      <c r="T95" s="203"/>
      <c r="U95" s="203"/>
      <c r="V95" s="203"/>
      <c r="W95" s="203"/>
      <c r="X95" s="203"/>
      <c r="Y95" s="203"/>
      <c r="Z95" s="203"/>
    </row>
    <row r="96" spans="1:72">
      <c r="A96" s="17"/>
      <c r="B96" s="17"/>
      <c r="E96" s="162" t="str">
        <f>IF(Cover!E4="English","Stillbirths",IF(Cover!E4="Français", "Mortinaissances","Mortinatos"))</f>
        <v>Stillbirths</v>
      </c>
      <c r="F96" s="162"/>
      <c r="L96" s="86"/>
      <c r="N96" s="119" t="e">
        <f>(BaselineResults!U122+BaselineResults!U132)-('Full Results'!N68+'Full Results'!N76)</f>
        <v>#VALUE!</v>
      </c>
      <c r="O96" s="119">
        <f>(BaselineResults!V122+BaselineResults!V132)-('Full Results'!O68+'Full Results'!O76)</f>
        <v>103.08802211369948</v>
      </c>
      <c r="P96" s="119">
        <f>(BaselineResults!W122+BaselineResults!W132)-('Full Results'!P68+'Full Results'!P76)</f>
        <v>102.83028004952575</v>
      </c>
      <c r="Q96" s="119">
        <f>(BaselineResults!X122+BaselineResults!X132)-('Full Results'!Q68+'Full Results'!Q76)</f>
        <v>304.30760248742081</v>
      </c>
      <c r="R96" s="119">
        <f>(BaselineResults!Y122+BaselineResults!Y132)-('Full Results'!R68+'Full Results'!R76)</f>
        <v>517.1785523784456</v>
      </c>
      <c r="S96" s="119">
        <f>(BaselineResults!Z122+BaselineResults!Z132)-('Full Results'!S68+'Full Results'!S76)</f>
        <v>741.09676253846192</v>
      </c>
      <c r="T96" s="119">
        <f>(BaselineResults!AA122+BaselineResults!AA132)-('Full Results'!T68+'Full Results'!T76)</f>
        <v>975.66975420910603</v>
      </c>
      <c r="U96" s="119">
        <f>(BaselineResults!AB122+BaselineResults!AB132)-('Full Results'!U68+'Full Results'!U76)</f>
        <v>1220.4375637486191</v>
      </c>
      <c r="V96" s="119">
        <f>(BaselineResults!AC122+BaselineResults!AC132)-('Full Results'!V68+'Full Results'!V76)</f>
        <v>1474.8523867867661</v>
      </c>
      <c r="W96" s="119">
        <f>(BaselineResults!AD122+BaselineResults!AD132)-('Full Results'!W68+'Full Results'!W76)</f>
        <v>1738.3098795684355</v>
      </c>
      <c r="X96" s="119">
        <f>(BaselineResults!AE122+BaselineResults!AE132)-('Full Results'!X68+'Full Results'!X76)</f>
        <v>2010.1865028483371</v>
      </c>
      <c r="Y96" s="119">
        <f>(BaselineResults!AF122+BaselineResults!AF132)-('Full Results'!Y68+'Full Results'!Y76)</f>
        <v>2289.881779324237</v>
      </c>
      <c r="Z96" s="119">
        <f>(BaselineResults!AG122+BaselineResults!AG132)-('Full Results'!Z68+'Full Results'!Z76)</f>
        <v>2576.7188339470995</v>
      </c>
    </row>
    <row r="97" spans="1:26">
      <c r="A97" s="17"/>
      <c r="B97" s="17"/>
      <c r="E97" s="162" t="str">
        <f>IF(Cover!E4="English","Neonatal deaths",IF(Cover!E4="Français", "Décès néonatal","Muertes neonatales"))</f>
        <v>Neonatal deaths</v>
      </c>
      <c r="F97" s="162"/>
      <c r="L97" s="86"/>
      <c r="M97" s="268"/>
      <c r="N97" s="119" t="e">
        <f>(BaselineResults!U133+BaselineResults!U123)-('Full Results'!N77+'Full Results'!N69)</f>
        <v>#VALUE!</v>
      </c>
      <c r="O97" s="119">
        <f>(BaselineResults!V133+BaselineResults!V123)-('Full Results'!O77+'Full Results'!O69)</f>
        <v>0</v>
      </c>
      <c r="P97" s="119">
        <f>(BaselineResults!W133+BaselineResults!W123)-('Full Results'!P77+'Full Results'!P69)</f>
        <v>0</v>
      </c>
      <c r="Q97" s="119">
        <f>(BaselineResults!X133+BaselineResults!X123)-('Full Results'!Q77+'Full Results'!Q69)</f>
        <v>74.736294099386669</v>
      </c>
      <c r="R97" s="119">
        <f>(BaselineResults!Y133+BaselineResults!Y123)-('Full Results'!R77+'Full Results'!R69)</f>
        <v>153.70958339970457</v>
      </c>
      <c r="S97" s="119">
        <f>(BaselineResults!Z133+BaselineResults!Z123)-('Full Results'!S77+'Full Results'!S69)</f>
        <v>236.78473659681742</v>
      </c>
      <c r="T97" s="119">
        <f>(BaselineResults!AA133+BaselineResults!AA123)-('Full Results'!T77+'Full Results'!T69)</f>
        <v>323.81664952075801</v>
      </c>
      <c r="U97" s="119">
        <f>(BaselineResults!AB133+BaselineResults!AB123)-('Full Results'!U77+'Full Results'!U69)</f>
        <v>414.63644474839839</v>
      </c>
      <c r="V97" s="119">
        <f>(BaselineResults!AC133+BaselineResults!AC123)-('Full Results'!V77+'Full Results'!V69)</f>
        <v>509.04335132667097</v>
      </c>
      <c r="W97" s="119">
        <f>(BaselineResults!AD133+BaselineResults!AD123)-('Full Results'!W77+'Full Results'!W69)</f>
        <v>606.81503190413662</v>
      </c>
      <c r="X97" s="119">
        <f>(BaselineResults!AE133+BaselineResults!AE123)-('Full Results'!X77+'Full Results'!X69)</f>
        <v>707.72104490136053</v>
      </c>
      <c r="Y97" s="119">
        <f>(BaselineResults!AF133+BaselineResults!AF123)-('Full Results'!Y77+'Full Results'!Y69)</f>
        <v>811.5383807830749</v>
      </c>
      <c r="Z97" s="119">
        <f>(BaselineResults!AG133+BaselineResults!AG123)-('Full Results'!Z77+'Full Results'!Z69)</f>
        <v>918.01665842069951</v>
      </c>
    </row>
    <row r="98" spans="1:26">
      <c r="A98" s="17"/>
      <c r="B98" s="17"/>
      <c r="E98" s="60" t="str">
        <f>IF(Cover!E4="English","Premature / low birth weight",IF(Cover!E4="Français", "Prématuré / poids faible à la naissance","Prematuro / bajo peso al nacer"))</f>
        <v>Premature / low birth weight</v>
      </c>
      <c r="F98" s="60"/>
      <c r="L98" s="86"/>
      <c r="N98" s="119" t="e">
        <f>(BaselineResults!U124+BaselineResults!U134)-('Full Results'!N70+'Full Results'!N78)</f>
        <v>#VALUE!</v>
      </c>
      <c r="O98" s="119">
        <f>(BaselineResults!V124+BaselineResults!V134)-('Full Results'!O70+'Full Results'!O78)</f>
        <v>0</v>
      </c>
      <c r="P98" s="119">
        <f>(BaselineResults!W124+BaselineResults!W134)-('Full Results'!P70+'Full Results'!P78)</f>
        <v>0</v>
      </c>
      <c r="Q98" s="119">
        <f>(BaselineResults!X124+BaselineResults!X134)-('Full Results'!Q70+'Full Results'!Q78)</f>
        <v>43.556045832099812</v>
      </c>
      <c r="R98" s="119">
        <f>(BaselineResults!Y124+BaselineResults!Y134)-('Full Results'!R70+'Full Results'!R78)</f>
        <v>89.581397366148281</v>
      </c>
      <c r="S98" s="119">
        <f>(BaselineResults!Z124+BaselineResults!Z134)-('Full Results'!S70+'Full Results'!S78)</f>
        <v>137.99730055971963</v>
      </c>
      <c r="T98" s="119">
        <f>(BaselineResults!AA124+BaselineResults!AA134)-('Full Results'!T70+'Full Results'!T78)</f>
        <v>188.7191892197244</v>
      </c>
      <c r="U98" s="119">
        <f>(BaselineResults!AB124+BaselineResults!AB134)-('Full Results'!U70+'Full Results'!U78)</f>
        <v>241.64864218586354</v>
      </c>
      <c r="V98" s="119">
        <f>(BaselineResults!AC124+BaselineResults!AC134)-('Full Results'!V70+'Full Results'!V78)</f>
        <v>296.66865086226028</v>
      </c>
      <c r="W98" s="119">
        <f>(BaselineResults!AD124+BaselineResults!AD134)-('Full Results'!W70+'Full Results'!W78)</f>
        <v>353.64963783293308</v>
      </c>
      <c r="X98" s="119">
        <f>(BaselineResults!AE124+BaselineResults!AE134)-('Full Results'!X70+'Full Results'!X78)</f>
        <v>412.45730256670828</v>
      </c>
      <c r="Y98" s="119">
        <f>(BaselineResults!AF124+BaselineResults!AF134)-('Full Results'!Y70+'Full Results'!Y78)</f>
        <v>472.9616759012639</v>
      </c>
      <c r="Z98" s="119">
        <f>(BaselineResults!AG124+BaselineResults!AG134)-('Full Results'!Z70+'Full Results'!Z78)</f>
        <v>535.01683660725212</v>
      </c>
    </row>
    <row r="99" spans="1:26">
      <c r="A99" s="17"/>
      <c r="B99" s="17"/>
      <c r="E99" s="60" t="str">
        <f>IF(Cover!E4="English","Clinical CS",IF(Cover!E4="Français", "SC clinique","Clínica SC"))</f>
        <v>Clinical CS</v>
      </c>
      <c r="F99" s="60"/>
      <c r="L99" s="86"/>
      <c r="N99" s="119" t="e">
        <f>(BaselineResults!U125+BaselineResults!U135)-('Full Results'!N71+'Full Results'!N79)</f>
        <v>#VALUE!</v>
      </c>
      <c r="O99" s="119">
        <f>(BaselineResults!V125+BaselineResults!V135)-('Full Results'!O71+'Full Results'!O79)</f>
        <v>0</v>
      </c>
      <c r="P99" s="119">
        <f>(BaselineResults!W125+BaselineResults!W135)-('Full Results'!P71+'Full Results'!P79)</f>
        <v>0</v>
      </c>
      <c r="Q99" s="119">
        <f>(BaselineResults!X125+BaselineResults!X135)-('Full Results'!Q71+'Full Results'!Q79)</f>
        <v>141.21026422512637</v>
      </c>
      <c r="R99" s="119">
        <f>(BaselineResults!Y125+BaselineResults!Y135)-('Full Results'!R71+'Full Results'!R79)</f>
        <v>290.42610618265167</v>
      </c>
      <c r="S99" s="119">
        <f>(BaselineResults!Z125+BaselineResults!Z135)-('Full Results'!S71+'Full Results'!S79)</f>
        <v>447.39220243980526</v>
      </c>
      <c r="T99" s="119">
        <f>(BaselineResults!AA125+BaselineResults!AA135)-('Full Results'!T71+'Full Results'!T79)</f>
        <v>611.83438636271239</v>
      </c>
      <c r="U99" s="119">
        <f>(BaselineResults!AB125+BaselineResults!AB135)-('Full Results'!U71+'Full Results'!U79)</f>
        <v>783.43357301641959</v>
      </c>
      <c r="V99" s="119">
        <f>(BaselineResults!AC125+BaselineResults!AC135)-('Full Results'!V71+'Full Results'!V79)</f>
        <v>961.81041633255177</v>
      </c>
      <c r="W99" s="119">
        <f>(BaselineResults!AD125+BaselineResults!AD135)-('Full Results'!W71+'Full Results'!W79)</f>
        <v>1146.5448216767404</v>
      </c>
      <c r="X99" s="119">
        <f>(BaselineResults!AE125+BaselineResults!AE135)-('Full Results'!X71+'Full Results'!X79)</f>
        <v>1337.2013819056078</v>
      </c>
      <c r="Y99" s="119">
        <f>(BaselineResults!AF125+BaselineResults!AF135)-('Full Results'!Y71+'Full Results'!Y79)</f>
        <v>1533.3587323290874</v>
      </c>
      <c r="Z99" s="119">
        <f>(BaselineResults!AG125+BaselineResults!AG135)-('Full Results'!Z71+'Full Results'!Z79)</f>
        <v>1734.5437910831413</v>
      </c>
    </row>
    <row r="100" spans="1:26">
      <c r="A100" s="17"/>
      <c r="B100" s="17"/>
      <c r="E100" s="17" t="str">
        <f>IF(Cover!E4="English","Non-clinical CS",IF(Cover!E4="Français", "SC non clinique","SC no clinica"))</f>
        <v>Non-clinical CS</v>
      </c>
      <c r="L100" s="86"/>
      <c r="N100" s="92" t="e">
        <f>BaselineResults!U126-'Full Results'!N72</f>
        <v>#VALUE!</v>
      </c>
      <c r="O100" s="91">
        <f>BaselineResults!V126-'Full Results'!O72</f>
        <v>0</v>
      </c>
      <c r="P100" s="91">
        <f>BaselineResults!W126-'Full Results'!P72</f>
        <v>0</v>
      </c>
      <c r="Q100" s="91">
        <f>BaselineResults!X126-'Full Results'!Q72</f>
        <v>470.88496818146632</v>
      </c>
      <c r="R100" s="91">
        <f>BaselineResults!Y126-'Full Results'!R72</f>
        <v>968.46563186694584</v>
      </c>
      <c r="S100" s="91">
        <f>BaselineResults!Z126-'Full Results'!S72</f>
        <v>1491.8905800972107</v>
      </c>
      <c r="T100" s="91">
        <f>BaselineResults!AA126-'Full Results'!T72</f>
        <v>2040.2455666779315</v>
      </c>
      <c r="U100" s="91">
        <f>BaselineResults!AB126-'Full Results'!U72</f>
        <v>2612.4665591871903</v>
      </c>
      <c r="V100" s="91">
        <f>BaselineResults!AC126-'Full Results'!V72</f>
        <v>3207.2885761994767</v>
      </c>
      <c r="W100" s="91">
        <f>BaselineResults!AD126-'Full Results'!W72</f>
        <v>3823.3107546144793</v>
      </c>
      <c r="X100" s="91">
        <f>BaselineResults!AE126-'Full Results'!X72</f>
        <v>4459.081169673188</v>
      </c>
      <c r="Y100" s="91">
        <f>BaselineResults!AF126-'Full Results'!Y72</f>
        <v>5113.194723100597</v>
      </c>
      <c r="Z100" s="91">
        <f>BaselineResults!AG126-'Full Results'!Z72</f>
        <v>5784.0738586212055</v>
      </c>
    </row>
    <row r="101" spans="1:26">
      <c r="A101" s="17"/>
      <c r="B101" s="17"/>
      <c r="E101" s="37" t="s">
        <v>163</v>
      </c>
      <c r="F101" s="37"/>
      <c r="L101" s="86"/>
      <c r="N101" s="92" t="e">
        <f>(SUM(BaselineResults!U122:U126))-(SUM(N68:N72))</f>
        <v>#VALUE!</v>
      </c>
      <c r="O101" s="91">
        <f>(SUM(BaselineResults!V122:V126))-(SUM(O68:O72))</f>
        <v>103.08802211369766</v>
      </c>
      <c r="P101" s="91">
        <f>(SUM(BaselineResults!W122:W126))-(SUM(P68:P72))</f>
        <v>102.83028004952939</v>
      </c>
      <c r="Q101" s="91">
        <f>(SUM(BaselineResults!X122:X126))-(SUM(Q68:Q72))</f>
        <v>1034.6951748254978</v>
      </c>
      <c r="R101" s="91">
        <f>(SUM(BaselineResults!Y122:Y126))-(SUM(R68:R72))</f>
        <v>2019.3612711938949</v>
      </c>
      <c r="S101" s="91">
        <f>(SUM(BaselineResults!Z122:Z126))-(SUM(S68:S72))</f>
        <v>3055.1615822320146</v>
      </c>
      <c r="T101" s="91">
        <f>(SUM(BaselineResults!AA122:AA126))-(SUM(T68:T72))</f>
        <v>4140.2855459902348</v>
      </c>
      <c r="U101" s="91">
        <f>(SUM(BaselineResults!AB122:AB126))-(SUM(U68:U72))</f>
        <v>5272.6227828864921</v>
      </c>
      <c r="V101" s="91">
        <f>(SUM(BaselineResults!AC122:AC126))-(SUM(V68:V72))</f>
        <v>6449.6633815077266</v>
      </c>
      <c r="W101" s="91">
        <f>(SUM(BaselineResults!AD122:AD126))-(SUM(W68:W72))</f>
        <v>7668.6301255967255</v>
      </c>
      <c r="X101" s="91">
        <f>(SUM(BaselineResults!AE122:AE126))-(SUM(X68:X72))</f>
        <v>8926.6474018952013</v>
      </c>
      <c r="Y101" s="91">
        <f>(SUM(BaselineResults!AF122:AF126))-(SUM(Y68:Y72))</f>
        <v>10220.935291438262</v>
      </c>
      <c r="Z101" s="91">
        <f>(SUM(BaselineResults!AG122:AG126))-(SUM(Z68:Z72))</f>
        <v>11548.369978679397</v>
      </c>
    </row>
    <row r="102" spans="1:26">
      <c r="A102" s="17"/>
      <c r="B102" s="17"/>
      <c r="K102" s="120"/>
    </row>
    <row r="103" spans="1:26">
      <c r="A103" s="17"/>
      <c r="B103" s="17"/>
      <c r="K103" s="120"/>
    </row>
    <row r="104" spans="1:26">
      <c r="A104" s="17"/>
      <c r="B104" s="17"/>
      <c r="K104" s="120"/>
    </row>
    <row r="105" spans="1:26">
      <c r="A105" s="17"/>
      <c r="B105" s="17"/>
      <c r="K105" s="120"/>
    </row>
    <row r="106" spans="1:26">
      <c r="A106" s="17"/>
      <c r="B106" s="17"/>
    </row>
    <row r="107" spans="1:26">
      <c r="A107" s="17"/>
      <c r="B107" s="17"/>
      <c r="L107" s="86"/>
    </row>
    <row r="108" spans="1:26">
      <c r="A108" s="17"/>
      <c r="B108" s="17"/>
      <c r="L108" s="86"/>
    </row>
    <row r="109" spans="1:26">
      <c r="A109" s="17"/>
      <c r="B109" s="17"/>
      <c r="L109" s="86"/>
    </row>
    <row r="110" spans="1:26">
      <c r="A110" s="17"/>
      <c r="B110" s="17"/>
      <c r="L110" s="86"/>
    </row>
    <row r="111" spans="1:26">
      <c r="A111" s="17"/>
      <c r="B111" s="17"/>
      <c r="L111" s="86"/>
    </row>
    <row r="113" spans="1:12">
      <c r="A113" s="17"/>
      <c r="B113" s="17"/>
      <c r="L113" s="86"/>
    </row>
    <row r="115" spans="1:12">
      <c r="A115" s="17"/>
      <c r="B115" s="17"/>
      <c r="L115" s="86"/>
    </row>
    <row r="116" spans="1:12">
      <c r="A116" s="17"/>
      <c r="B116" s="17"/>
      <c r="L116" s="86"/>
    </row>
    <row r="117" spans="1:12">
      <c r="A117" s="17"/>
      <c r="B117" s="17"/>
      <c r="L117" s="86"/>
    </row>
    <row r="118" spans="1:12">
      <c r="A118" s="17"/>
      <c r="B118" s="17"/>
      <c r="L118" s="86"/>
    </row>
    <row r="119" spans="1:12">
      <c r="A119" s="17"/>
      <c r="B119" s="17"/>
      <c r="L119" s="86"/>
    </row>
    <row r="120" spans="1:12">
      <c r="A120" s="17"/>
      <c r="B120" s="17"/>
      <c r="L120" s="86"/>
    </row>
    <row r="121" spans="1:12">
      <c r="A121" s="17"/>
      <c r="B121" s="17"/>
      <c r="L121" s="86"/>
    </row>
    <row r="123" spans="1:12">
      <c r="A123" s="17"/>
      <c r="B123" s="17"/>
      <c r="L123" s="86"/>
    </row>
    <row r="125" spans="1:12">
      <c r="A125" s="17"/>
      <c r="B125" s="17"/>
      <c r="L125" s="86"/>
    </row>
    <row r="126" spans="1:12">
      <c r="A126" s="17"/>
      <c r="B126" s="17"/>
      <c r="L126" s="86"/>
    </row>
    <row r="127" spans="1:12">
      <c r="A127" s="17"/>
      <c r="B127" s="17"/>
      <c r="L127" s="86"/>
    </row>
    <row r="128" spans="1:12">
      <c r="A128" s="17"/>
      <c r="B128" s="17"/>
      <c r="L128" s="86"/>
    </row>
    <row r="129" spans="1:12">
      <c r="A129" s="17"/>
      <c r="B129" s="17"/>
      <c r="L129" s="86"/>
    </row>
    <row r="130" spans="1:12">
      <c r="A130" s="17"/>
      <c r="B130" s="17"/>
      <c r="L130" s="86"/>
    </row>
    <row r="131" spans="1:12">
      <c r="A131" s="17"/>
      <c r="B131" s="17"/>
      <c r="L131" s="86"/>
    </row>
    <row r="132" spans="1:12">
      <c r="A132" s="17"/>
      <c r="B132" s="17"/>
      <c r="L132" s="86"/>
    </row>
    <row r="133" spans="1:12">
      <c r="A133" s="17"/>
      <c r="B133" s="17"/>
      <c r="L133" s="86"/>
    </row>
    <row r="134" spans="1:12">
      <c r="A134" s="17"/>
      <c r="B134" s="17"/>
      <c r="L134" s="86"/>
    </row>
    <row r="135" spans="1:12">
      <c r="A135" s="17"/>
      <c r="B135" s="17"/>
      <c r="L135" s="86"/>
    </row>
    <row r="136" spans="1:12">
      <c r="A136" s="17"/>
      <c r="B136" s="17"/>
      <c r="L136" s="86"/>
    </row>
    <row r="137" spans="1:12">
      <c r="A137" s="17"/>
      <c r="B137" s="17"/>
      <c r="L137" s="86"/>
    </row>
  </sheetData>
  <customSheetViews>
    <customSheetView guid="{8967CA62-3554-8A40-ACFF-3515F2B518C8}" scale="61" showGridLines="0" topLeftCell="A53">
      <selection activeCell="O1" sqref="O1:O1048576"/>
      <colBreaks count="1" manualBreakCount="1">
        <brk id="21" max="1048575" man="1"/>
      </colBreaks>
      <pageMargins left="0.7" right="0.7" top="0.75" bottom="0.75" header="0.3" footer="0.3"/>
      <pageSetup paperSize="9" orientation="portrait" horizontalDpi="4294967292" verticalDpi="4294967292"/>
    </customSheetView>
    <customSheetView guid="{EB877D66-0749-4C48-89AA-FFA94A34014C}" scale="67" showGridLines="0" state="hidden" topLeftCell="A5">
      <selection activeCell="N48" sqref="N48"/>
      <colBreaks count="1" manualBreakCount="1">
        <brk id="21" max="1048575" man="1"/>
      </colBreaks>
      <pageMargins left="0.7" right="0.7" top="0.75" bottom="0.75" header="0.3" footer="0.3"/>
      <pageSetup paperSize="9" orientation="portrait" horizontalDpi="4294967292" verticalDpi="4294967292"/>
    </customSheetView>
  </customSheetViews>
  <phoneticPr fontId="2" type="noConversion"/>
  <pageMargins left="0.7" right="0.7" top="0.75" bottom="0.75" header="0.3" footer="0.3"/>
  <pageSetup paperSize="9" orientation="portrait" horizontalDpi="4294967292" verticalDpi="4294967292"/>
  <colBreaks count="1" manualBreakCount="1">
    <brk id="21"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dimension ref="A1:AK179"/>
  <sheetViews>
    <sheetView showGridLines="0" zoomScale="75" zoomScaleNormal="70" zoomScalePageLayoutView="70" workbookViewId="0">
      <selection activeCell="R82" sqref="R82"/>
    </sheetView>
  </sheetViews>
  <sheetFormatPr baseColWidth="10" defaultColWidth="10.83203125" defaultRowHeight="16"/>
  <cols>
    <col min="1" max="1" width="12.1640625" style="421" customWidth="1"/>
    <col min="2" max="2" width="5" style="421" customWidth="1"/>
    <col min="3" max="3" width="9" style="480" customWidth="1"/>
    <col min="4" max="4" width="7.33203125" style="17" customWidth="1"/>
    <col min="5" max="5" width="15.1640625" style="17" customWidth="1"/>
    <col min="6" max="6" width="33.5" style="26" customWidth="1"/>
    <col min="7" max="7" width="23.83203125" style="17" customWidth="1"/>
    <col min="8" max="8" width="9.6640625" style="17" customWidth="1"/>
    <col min="9" max="9" width="13.1640625" style="17" customWidth="1"/>
    <col min="10" max="10" width="25" style="17" customWidth="1"/>
    <col min="11" max="11" width="5.6640625" style="17" customWidth="1"/>
    <col min="12" max="12" width="2.83203125" style="17" customWidth="1"/>
    <col min="13" max="14" width="5.83203125" style="17" customWidth="1"/>
    <col min="15" max="15" width="15.33203125" style="17" customWidth="1"/>
    <col min="16" max="16" width="12.1640625" style="17" customWidth="1"/>
    <col min="17" max="17" width="29" style="17" customWidth="1"/>
    <col min="18" max="18" width="18.1640625" style="17" customWidth="1"/>
    <col min="19" max="19" width="4.33203125" style="17" customWidth="1"/>
    <col min="20" max="20" width="14.33203125" style="17" customWidth="1"/>
    <col min="21" max="21" width="23" style="17" customWidth="1"/>
    <col min="22" max="22" width="5.1640625" style="17" customWidth="1"/>
    <col min="23" max="23" width="4.1640625" style="17" customWidth="1"/>
    <col min="24" max="24" width="3.33203125" style="17" customWidth="1"/>
    <col min="25" max="25" width="13.6640625" style="17" customWidth="1"/>
    <col min="26" max="16384" width="10.83203125" style="17"/>
  </cols>
  <sheetData>
    <row r="1" spans="1:29">
      <c r="A1" s="421" t="s">
        <v>13</v>
      </c>
    </row>
    <row r="2" spans="1:29" ht="39">
      <c r="A2" s="422" t="s">
        <v>12</v>
      </c>
      <c r="B2" s="422" t="s">
        <v>11</v>
      </c>
      <c r="E2" s="269" t="str">
        <f ca="1">INDIRECT("'"&amp;Cover!$E$4&amp;"'!"&amp;CELL("address",B87))</f>
        <v>Main prediction tool</v>
      </c>
    </row>
    <row r="3" spans="1:29">
      <c r="A3" s="421" t="s">
        <v>343</v>
      </c>
      <c r="B3" s="426"/>
      <c r="H3" s="37"/>
    </row>
    <row r="4" spans="1:29">
      <c r="A4" s="421" t="s">
        <v>344</v>
      </c>
      <c r="B4" s="426">
        <v>2018</v>
      </c>
    </row>
    <row r="5" spans="1:29" ht="28" customHeight="1">
      <c r="A5" s="421" t="s">
        <v>345</v>
      </c>
      <c r="B5" s="426">
        <v>2019</v>
      </c>
      <c r="C5" s="481"/>
      <c r="D5" s="110"/>
      <c r="E5" s="109"/>
      <c r="F5" s="27"/>
      <c r="G5" s="28"/>
      <c r="H5" s="28"/>
      <c r="I5" s="28"/>
      <c r="J5" s="28"/>
      <c r="K5" s="28"/>
      <c r="L5" s="28"/>
      <c r="M5" s="28"/>
      <c r="N5" s="28"/>
      <c r="O5" s="28"/>
      <c r="P5" s="28"/>
      <c r="Q5" s="28"/>
      <c r="R5" s="28"/>
      <c r="S5" s="28"/>
      <c r="T5" s="28"/>
      <c r="U5" s="28"/>
      <c r="V5" s="28"/>
      <c r="W5" s="28"/>
      <c r="X5" s="28"/>
      <c r="Y5" s="28"/>
      <c r="Z5" s="28"/>
      <c r="AA5" s="28"/>
      <c r="AB5" s="28"/>
      <c r="AC5" s="28"/>
    </row>
    <row r="6" spans="1:29" ht="38" customHeight="1">
      <c r="A6" s="421" t="s">
        <v>346</v>
      </c>
      <c r="B6" s="426">
        <v>2020</v>
      </c>
      <c r="C6" s="481"/>
      <c r="D6" s="113"/>
      <c r="E6" s="28"/>
      <c r="F6" s="438" t="str">
        <f ca="1">INDIRECT("'"&amp;Cover!$E$4&amp;"'!"&amp;CELL("address",B88))</f>
        <v>Your country is set to:</v>
      </c>
      <c r="G6" s="485" t="str">
        <f>Data!I7</f>
        <v>India</v>
      </c>
      <c r="H6" s="484"/>
      <c r="I6" s="113"/>
      <c r="J6" s="113"/>
      <c r="K6" s="113"/>
      <c r="L6" s="113"/>
      <c r="M6" s="113"/>
      <c r="N6" s="113"/>
      <c r="O6" s="113"/>
      <c r="P6" s="113"/>
      <c r="Q6" s="113"/>
      <c r="R6" s="113"/>
      <c r="S6" s="113"/>
      <c r="T6" s="113"/>
      <c r="U6" s="113"/>
      <c r="V6" s="113"/>
      <c r="W6" s="113"/>
      <c r="X6" s="113"/>
      <c r="Y6" s="113"/>
      <c r="Z6" s="28"/>
      <c r="AA6" s="28"/>
      <c r="AB6" s="28"/>
      <c r="AC6" s="28"/>
    </row>
    <row r="7" spans="1:29" ht="35" customHeight="1">
      <c r="A7" s="421" t="s">
        <v>166</v>
      </c>
      <c r="B7" s="426">
        <v>2021</v>
      </c>
      <c r="C7" s="481"/>
      <c r="D7" s="113"/>
      <c r="E7" s="377" t="str">
        <f ca="1">INDIRECT("'"&amp;Cover!$E$4&amp;"'!"&amp;CELL("address",B89))</f>
        <v>Navigate to the 'Data' page to see and modify demographic estimates for your country of interest</v>
      </c>
      <c r="I7" s="113"/>
      <c r="J7" s="113"/>
      <c r="K7" s="113"/>
      <c r="L7" s="113"/>
      <c r="M7" s="113"/>
      <c r="N7" s="113"/>
      <c r="O7" s="113"/>
      <c r="P7" s="113"/>
      <c r="Q7" s="113"/>
      <c r="R7" s="113"/>
      <c r="S7" s="113"/>
      <c r="T7" s="113"/>
      <c r="U7" s="113"/>
      <c r="V7" s="113"/>
      <c r="W7" s="113"/>
      <c r="X7" s="113"/>
      <c r="Y7" s="113"/>
      <c r="Z7" s="28"/>
      <c r="AA7" s="28"/>
      <c r="AB7" s="28"/>
      <c r="AC7" s="28"/>
    </row>
    <row r="8" spans="1:29" ht="24" customHeight="1">
      <c r="A8" s="421" t="s">
        <v>347</v>
      </c>
      <c r="B8" s="426">
        <v>2022</v>
      </c>
      <c r="C8" s="481"/>
      <c r="D8" s="113"/>
      <c r="E8" s="113"/>
      <c r="F8" s="262"/>
      <c r="G8" s="113"/>
      <c r="H8" s="113"/>
      <c r="I8" s="113"/>
      <c r="J8" s="113"/>
      <c r="K8" s="113"/>
      <c r="L8" s="113"/>
      <c r="M8" s="113"/>
      <c r="N8" s="113"/>
      <c r="O8" s="113"/>
      <c r="P8" s="113"/>
      <c r="Q8" s="113"/>
      <c r="R8" s="113"/>
      <c r="S8" s="113"/>
      <c r="T8" s="113"/>
      <c r="U8" s="113"/>
      <c r="V8" s="113"/>
      <c r="W8" s="113"/>
      <c r="X8" s="113"/>
      <c r="Y8" s="113"/>
      <c r="Z8" s="28"/>
      <c r="AA8" s="28"/>
      <c r="AB8" s="28"/>
      <c r="AC8" s="28"/>
    </row>
    <row r="9" spans="1:29">
      <c r="A9" s="423" t="s">
        <v>126</v>
      </c>
      <c r="B9" s="426">
        <v>2023</v>
      </c>
      <c r="C9" s="481"/>
      <c r="D9" s="28"/>
      <c r="E9" s="28"/>
      <c r="F9" s="27"/>
      <c r="G9" s="28"/>
      <c r="H9" s="28"/>
      <c r="I9" s="28"/>
      <c r="J9" s="28"/>
      <c r="K9" s="28"/>
      <c r="L9" s="28"/>
      <c r="M9" s="28"/>
      <c r="N9" s="28"/>
      <c r="O9" s="28"/>
      <c r="P9" s="28"/>
      <c r="Q9" s="28"/>
      <c r="R9" s="28"/>
      <c r="S9" s="28"/>
      <c r="T9" s="28"/>
      <c r="U9" s="28"/>
      <c r="V9" s="28"/>
      <c r="W9" s="28"/>
      <c r="X9" s="28"/>
      <c r="Y9" s="28"/>
      <c r="Z9" s="28"/>
      <c r="AA9" s="28"/>
      <c r="AB9" s="28"/>
      <c r="AC9" s="28"/>
    </row>
    <row r="10" spans="1:29" ht="17" customHeight="1">
      <c r="A10" s="421" t="s">
        <v>348</v>
      </c>
      <c r="B10" s="426">
        <v>2024</v>
      </c>
      <c r="N10" s="28"/>
    </row>
    <row r="11" spans="1:29" ht="30" thickBot="1">
      <c r="A11" s="421" t="s">
        <v>167</v>
      </c>
      <c r="B11" s="426">
        <v>2025</v>
      </c>
      <c r="C11" s="481"/>
      <c r="D11" s="110" t="str">
        <f ca="1">INDIRECT("'"&amp;Cover!$E$4&amp;"'!"&amp;CELL("address",B91))</f>
        <v>Step 1. Modify testing and treatment parameters</v>
      </c>
      <c r="O11" s="110" t="str">
        <f ca="1">INDIRECT("'"&amp;Cover!$E$4&amp;"'!"&amp;CELL("address",B110))</f>
        <v>Step 2. View preliminary results</v>
      </c>
      <c r="Z11" s="113"/>
      <c r="AA11" s="113"/>
      <c r="AB11" s="113"/>
      <c r="AC11" s="113"/>
    </row>
    <row r="12" spans="1:29">
      <c r="A12" s="421" t="s">
        <v>168</v>
      </c>
      <c r="B12" s="426">
        <v>2026</v>
      </c>
      <c r="C12" s="481"/>
      <c r="D12" s="179"/>
      <c r="E12" s="180"/>
      <c r="F12" s="181"/>
      <c r="G12" s="180"/>
      <c r="H12" s="180"/>
      <c r="I12" s="180"/>
      <c r="J12" s="180"/>
      <c r="K12" s="180"/>
      <c r="L12" s="182"/>
      <c r="M12" s="28"/>
      <c r="N12" s="28"/>
      <c r="O12" s="179"/>
      <c r="P12" s="180"/>
      <c r="Q12" s="180"/>
      <c r="R12" s="180"/>
      <c r="S12" s="180"/>
      <c r="T12" s="180"/>
      <c r="U12" s="180"/>
      <c r="V12" s="180"/>
      <c r="W12" s="180"/>
      <c r="X12" s="180"/>
      <c r="Y12" s="182"/>
      <c r="Z12" s="113"/>
      <c r="AA12" s="113"/>
      <c r="AB12" s="113"/>
      <c r="AC12" s="113"/>
    </row>
    <row r="13" spans="1:29">
      <c r="A13" s="423" t="s">
        <v>165</v>
      </c>
      <c r="B13" s="426">
        <v>2027</v>
      </c>
      <c r="D13" s="183"/>
      <c r="E13" s="28"/>
      <c r="F13" s="28"/>
      <c r="G13" s="27"/>
      <c r="H13" s="28"/>
      <c r="I13" s="28"/>
      <c r="J13" s="28"/>
      <c r="K13" s="28"/>
      <c r="L13" s="184"/>
      <c r="M13" s="28"/>
      <c r="N13" s="28"/>
      <c r="O13" s="183"/>
      <c r="P13" s="28"/>
      <c r="Q13" s="28"/>
      <c r="R13" s="28"/>
      <c r="S13" s="28"/>
      <c r="T13" s="28"/>
      <c r="U13" s="28"/>
      <c r="V13" s="28"/>
      <c r="W13" s="28"/>
      <c r="X13" s="28"/>
      <c r="Y13" s="184"/>
      <c r="Z13" s="113"/>
      <c r="AA13" s="113"/>
      <c r="AB13" s="113"/>
      <c r="AC13" s="113"/>
    </row>
    <row r="14" spans="1:29">
      <c r="A14" s="421" t="s">
        <v>149</v>
      </c>
      <c r="B14" s="426">
        <v>2028</v>
      </c>
      <c r="D14" s="183"/>
      <c r="E14" s="267"/>
      <c r="F14" s="28"/>
      <c r="G14" s="27"/>
      <c r="H14" s="28"/>
      <c r="I14" s="28"/>
      <c r="J14" s="28"/>
      <c r="K14" s="28"/>
      <c r="L14" s="184"/>
      <c r="M14" s="28"/>
      <c r="N14" s="28"/>
      <c r="O14" s="183"/>
      <c r="P14" s="28"/>
      <c r="Q14" s="28"/>
      <c r="R14" s="28"/>
      <c r="S14" s="28"/>
      <c r="T14" s="28"/>
      <c r="U14" s="28"/>
      <c r="V14" s="28"/>
      <c r="W14" s="28"/>
      <c r="X14" s="28"/>
      <c r="Y14" s="184"/>
      <c r="Z14" s="113"/>
      <c r="AA14" s="113"/>
      <c r="AB14" s="113"/>
      <c r="AC14" s="113"/>
    </row>
    <row r="15" spans="1:29" ht="21" customHeight="1">
      <c r="A15" s="421" t="s">
        <v>169</v>
      </c>
      <c r="B15" s="426">
        <v>2029</v>
      </c>
      <c r="D15" s="183"/>
      <c r="E15" s="28"/>
      <c r="F15" s="278"/>
      <c r="G15" s="278"/>
      <c r="H15" s="278"/>
      <c r="I15" s="278"/>
      <c r="J15" s="28"/>
      <c r="K15" s="28"/>
      <c r="L15" s="184"/>
      <c r="M15" s="28"/>
      <c r="N15" s="28"/>
      <c r="O15" s="183"/>
      <c r="P15" s="285" t="str">
        <f ca="1">INDIRECT("'"&amp;Cover!$E$4&amp;"'!"&amp;CELL("address",B111))</f>
        <v>(Box B) Estimates generated by the prediction tool</v>
      </c>
      <c r="Q15" s="60"/>
      <c r="R15" s="112"/>
      <c r="S15" s="112"/>
      <c r="T15" s="143"/>
      <c r="U15" s="144"/>
      <c r="V15" s="28"/>
      <c r="W15" s="28"/>
      <c r="X15" s="28"/>
      <c r="Y15" s="184"/>
      <c r="Z15" s="113"/>
      <c r="AA15" s="113"/>
      <c r="AB15" s="113"/>
      <c r="AC15" s="113"/>
    </row>
    <row r="16" spans="1:29" ht="30" customHeight="1" thickBot="1">
      <c r="A16" s="423" t="s">
        <v>153</v>
      </c>
      <c r="B16" s="426">
        <v>2030</v>
      </c>
      <c r="D16" s="183"/>
      <c r="E16" s="279" t="str">
        <f ca="1">INDIRECT("'"&amp;Cover!$E$4&amp;"'!"&amp;CELL("address",B92))</f>
        <v>(Box A) Modifiable testing and and treatment parameters</v>
      </c>
      <c r="F16" s="28"/>
      <c r="G16" s="27"/>
      <c r="H16" s="28"/>
      <c r="I16" s="28"/>
      <c r="J16" s="28"/>
      <c r="K16" s="28"/>
      <c r="L16" s="184"/>
      <c r="M16" s="28"/>
      <c r="O16" s="183"/>
      <c r="P16" s="145"/>
      <c r="Q16" s="146"/>
      <c r="R16" s="147"/>
      <c r="S16" s="148"/>
      <c r="T16" s="148"/>
      <c r="U16" s="149"/>
      <c r="V16" s="28"/>
      <c r="W16" s="28"/>
      <c r="X16" s="28"/>
      <c r="Y16" s="184"/>
      <c r="Z16" s="113"/>
      <c r="AA16" s="113"/>
      <c r="AB16" s="113"/>
      <c r="AC16" s="113"/>
    </row>
    <row r="17" spans="1:29" ht="41" customHeight="1">
      <c r="A17" s="421" t="s">
        <v>170</v>
      </c>
      <c r="B17" s="422"/>
      <c r="D17" s="183"/>
      <c r="E17" s="179"/>
      <c r="F17" s="180"/>
      <c r="G17" s="181"/>
      <c r="H17" s="180"/>
      <c r="I17" s="180"/>
      <c r="J17" s="182"/>
      <c r="K17" s="28"/>
      <c r="L17" s="184"/>
      <c r="M17" s="28"/>
      <c r="O17" s="183"/>
      <c r="P17" s="150"/>
      <c r="Q17" s="801" t="str">
        <f ca="1">INDIRECT("'"&amp;Cover!$E$4&amp;"'!"&amp;CELL("address",B112))</f>
        <v>Results for your selected testing and treatment coverages in Step 3 can be observed below</v>
      </c>
      <c r="R17" s="801"/>
      <c r="S17" s="801"/>
      <c r="T17" s="801"/>
      <c r="U17" s="137"/>
      <c r="V17" s="28"/>
      <c r="W17" s="28"/>
      <c r="X17" s="28"/>
      <c r="Y17" s="184"/>
      <c r="Z17" s="113"/>
      <c r="AA17" s="113"/>
      <c r="AB17" s="113"/>
      <c r="AC17" s="113"/>
    </row>
    <row r="18" spans="1:29" ht="23" customHeight="1">
      <c r="A18" s="421" t="s">
        <v>349</v>
      </c>
      <c r="B18" s="422"/>
      <c r="D18" s="183"/>
      <c r="E18" s="183"/>
      <c r="F18" s="29" t="str">
        <f ca="1">INDIRECT("'"&amp;Cover!$E$4&amp;"'!"&amp;CELL("address",$B94))</f>
        <v>Parameter of interest</v>
      </c>
      <c r="G18" s="29" t="str">
        <f ca="1">INDIRECT("'"&amp;Cover!$E$4&amp;"'!"&amp;CELL("address",$B95))</f>
        <v>Rate</v>
      </c>
      <c r="H18" s="29"/>
      <c r="I18" s="29" t="str">
        <f ca="1">INDIRECT("'"&amp;Cover!$E$4&amp;"'!"&amp;CELL("address",$B96))</f>
        <v>Target year</v>
      </c>
      <c r="J18" s="184"/>
      <c r="K18" s="28"/>
      <c r="L18" s="184"/>
      <c r="M18" s="28"/>
      <c r="O18" s="183"/>
      <c r="P18" s="150"/>
      <c r="Q18" s="136"/>
      <c r="R18" s="136"/>
      <c r="S18" s="136"/>
      <c r="T18" s="136"/>
      <c r="U18" s="137"/>
      <c r="V18" s="28"/>
      <c r="W18" s="28"/>
      <c r="X18" s="28"/>
      <c r="Y18" s="184"/>
      <c r="Z18" s="113"/>
      <c r="AA18" s="113"/>
      <c r="AB18" s="113"/>
      <c r="AC18" s="113"/>
    </row>
    <row r="19" spans="1:29" ht="23" customHeight="1">
      <c r="A19" s="421" t="s">
        <v>171</v>
      </c>
      <c r="B19" s="422"/>
      <c r="D19" s="183"/>
      <c r="E19" s="183"/>
      <c r="F19" s="27"/>
      <c r="G19" s="28"/>
      <c r="H19" s="28"/>
      <c r="I19" s="28"/>
      <c r="J19" s="184"/>
      <c r="K19" s="28"/>
      <c r="L19" s="184"/>
      <c r="M19" s="28"/>
      <c r="O19" s="183"/>
      <c r="P19" s="150"/>
      <c r="Q19" s="136"/>
      <c r="R19" s="136"/>
      <c r="S19" s="136"/>
      <c r="T19" s="136"/>
      <c r="U19" s="137"/>
      <c r="V19" s="28"/>
      <c r="W19" s="28"/>
      <c r="X19" s="28"/>
      <c r="Y19" s="184"/>
      <c r="Z19" s="113"/>
      <c r="AA19" s="113"/>
      <c r="AB19" s="113"/>
      <c r="AC19" s="113"/>
    </row>
    <row r="20" spans="1:29" ht="23" customHeight="1" thickBot="1">
      <c r="A20" s="421" t="s">
        <v>350</v>
      </c>
      <c r="B20" s="422"/>
      <c r="D20" s="183"/>
      <c r="E20" s="183"/>
      <c r="F20" s="315" t="str">
        <f ca="1">INDIRECT("'"&amp;Cover!$E$4&amp;"'!"&amp;CELL("address",B97))</f>
        <v>1. ANC1 coverage</v>
      </c>
      <c r="G20" s="316"/>
      <c r="H20" s="316"/>
      <c r="I20" s="316"/>
      <c r="J20" s="184"/>
      <c r="K20" s="28"/>
      <c r="L20" s="184"/>
      <c r="M20" s="28"/>
      <c r="O20" s="183"/>
      <c r="P20" s="150"/>
      <c r="Q20" s="138" t="str">
        <f ca="1">INDIRECT("'"&amp;Cover!$E$4&amp;"'!"&amp;CELL("address",B113))</f>
        <v>Total number of infants with congenital syphilis (CS) *</v>
      </c>
      <c r="R20" s="141"/>
      <c r="S20" s="136"/>
      <c r="T20" s="136"/>
      <c r="U20" s="137"/>
      <c r="V20" s="28"/>
      <c r="W20" s="28"/>
      <c r="X20" s="28"/>
      <c r="Y20" s="184"/>
      <c r="Z20" s="113"/>
      <c r="AA20" s="113"/>
      <c r="AB20" s="113"/>
      <c r="AC20" s="113"/>
    </row>
    <row r="21" spans="1:29" ht="23" customHeight="1" thickBot="1">
      <c r="A21" s="421" t="s">
        <v>164</v>
      </c>
      <c r="B21" s="422"/>
      <c r="D21" s="183"/>
      <c r="E21" s="183"/>
      <c r="F21" s="346" t="str">
        <f ca="1">INDIRECT("'"&amp;Cover!$E$4&amp;"'!"&amp;CELL("address",B98))</f>
        <v>Current overall ANC1 coverage</v>
      </c>
      <c r="G21" s="28"/>
      <c r="H21" s="312">
        <f>'Data (Calculations)'!P30</f>
        <v>1</v>
      </c>
      <c r="I21" s="28"/>
      <c r="J21" s="184"/>
      <c r="K21" s="28"/>
      <c r="L21" s="184"/>
      <c r="M21" s="28"/>
      <c r="O21" s="183"/>
      <c r="P21" s="150"/>
      <c r="Q21" s="139" t="str">
        <f ca="1">INDIRECT("'"&amp;Cover!$E$4&amp;"'!"&amp;CELL("address",B114))</f>
        <v>Select year to see estimate</v>
      </c>
      <c r="R21" s="355">
        <v>2020</v>
      </c>
      <c r="S21" s="136"/>
      <c r="T21" s="175">
        <f>IFERROR(HLOOKUP($R$21,'Full Results'!F6:Z200,81),"NA")</f>
        <v>13029.889838851581</v>
      </c>
      <c r="U21" s="137"/>
      <c r="V21" s="28"/>
      <c r="W21" s="28"/>
      <c r="X21" s="28"/>
      <c r="Y21" s="184"/>
      <c r="Z21" s="113"/>
      <c r="AA21" s="113"/>
      <c r="AB21" s="113"/>
      <c r="AC21" s="113"/>
    </row>
    <row r="22" spans="1:29" ht="23" customHeight="1">
      <c r="A22" s="423" t="s">
        <v>152</v>
      </c>
      <c r="B22" s="422"/>
      <c r="D22" s="183"/>
      <c r="E22" s="183"/>
      <c r="F22" s="803" t="str">
        <f ca="1">INDIRECT("'"&amp;Cover!$E$4&amp;"'!"&amp;CELL("address",B99))</f>
        <v>Please enter the percent of pregnant women attending at least one ANC visit below and the year by which this should be achieved</v>
      </c>
      <c r="G22" s="803"/>
      <c r="H22" s="803"/>
      <c r="I22" s="803"/>
      <c r="J22" s="184"/>
      <c r="K22" s="28"/>
      <c r="L22" s="184"/>
      <c r="M22" s="28"/>
      <c r="O22" s="183"/>
      <c r="P22" s="150"/>
      <c r="Q22" s="136"/>
      <c r="R22" s="141"/>
      <c r="S22" s="136"/>
      <c r="T22" s="136"/>
      <c r="U22" s="137"/>
      <c r="V22" s="28"/>
      <c r="W22" s="28"/>
      <c r="X22" s="28"/>
      <c r="Y22" s="184"/>
      <c r="Z22" s="113"/>
      <c r="AA22" s="113"/>
      <c r="AB22" s="113"/>
      <c r="AC22" s="113"/>
    </row>
    <row r="23" spans="1:29" ht="23" customHeight="1" thickBot="1">
      <c r="A23" s="421" t="s">
        <v>351</v>
      </c>
      <c r="B23" s="422"/>
      <c r="D23" s="183"/>
      <c r="E23" s="183"/>
      <c r="F23" s="803"/>
      <c r="G23" s="803"/>
      <c r="H23" s="803"/>
      <c r="I23" s="803"/>
      <c r="J23" s="184"/>
      <c r="K23" s="28"/>
      <c r="L23" s="184"/>
      <c r="M23" s="28"/>
      <c r="O23" s="183"/>
      <c r="P23" s="150"/>
      <c r="Q23" s="138" t="str">
        <f ca="1">INDIRECT("'"&amp;Cover!$E$4&amp;"'!"&amp;CELL("address",B115))</f>
        <v>Congenital syphilis case rate per 100,000 live births **</v>
      </c>
      <c r="R23" s="140"/>
      <c r="S23" s="136"/>
      <c r="T23" s="142"/>
      <c r="U23" s="137"/>
      <c r="V23" s="28"/>
      <c r="W23" s="28"/>
      <c r="X23" s="28"/>
      <c r="Y23" s="184"/>
      <c r="Z23" s="113"/>
      <c r="AA23" s="113"/>
      <c r="AB23" s="113"/>
      <c r="AC23" s="113"/>
    </row>
    <row r="24" spans="1:29" ht="23" customHeight="1" thickBot="1">
      <c r="A24" s="421" t="s">
        <v>172</v>
      </c>
      <c r="B24" s="483"/>
      <c r="D24" s="183"/>
      <c r="E24" s="183"/>
      <c r="F24" s="27"/>
      <c r="G24" s="28"/>
      <c r="H24" s="28"/>
      <c r="I24" s="28"/>
      <c r="J24" s="184"/>
      <c r="K24" s="28"/>
      <c r="L24" s="184"/>
      <c r="M24" s="28"/>
      <c r="O24" s="183"/>
      <c r="P24" s="150"/>
      <c r="Q24" s="139" t="str">
        <f ca="1">INDIRECT("'"&amp;Cover!$E$4&amp;"'!"&amp;CELL("address",B114))</f>
        <v>Select year to see estimate</v>
      </c>
      <c r="R24" s="355">
        <v>2020</v>
      </c>
      <c r="S24" s="136"/>
      <c r="T24" s="175">
        <f>IFERROR(HLOOKUP($R$24,'Full Results'!F6:Z200,80),"NA")</f>
        <v>50.913792447492732</v>
      </c>
      <c r="U24" s="137"/>
      <c r="V24" s="28"/>
      <c r="W24" s="28"/>
      <c r="X24" s="28"/>
      <c r="Y24" s="184"/>
      <c r="Z24" s="113"/>
      <c r="AA24" s="113"/>
      <c r="AB24" s="113"/>
      <c r="AC24" s="113"/>
    </row>
    <row r="25" spans="1:29" ht="42" customHeight="1">
      <c r="A25" s="421" t="s">
        <v>352</v>
      </c>
      <c r="B25" s="422"/>
      <c r="D25" s="183"/>
      <c r="E25" s="183"/>
      <c r="F25" s="440" t="str">
        <f>IF(Cover!E4="English","Target overall ANC coverage",IF(Cover!E4="Français", "Cibler la couverture des soins prénatals","Apunte a la cobertura general de ANC"))</f>
        <v>Target overall ANC coverage</v>
      </c>
      <c r="G25" s="356">
        <v>0.99</v>
      </c>
      <c r="H25" s="28"/>
      <c r="I25" s="355">
        <v>2030</v>
      </c>
      <c r="J25" s="184"/>
      <c r="K25" s="28"/>
      <c r="L25" s="184"/>
      <c r="M25" s="28"/>
      <c r="O25" s="183"/>
      <c r="P25" s="152"/>
      <c r="Q25" s="263"/>
      <c r="R25" s="264"/>
      <c r="S25" s="263"/>
      <c r="T25" s="265"/>
      <c r="U25" s="266"/>
      <c r="V25" s="28"/>
      <c r="W25" s="28"/>
      <c r="X25" s="28"/>
      <c r="Y25" s="184"/>
      <c r="Z25" s="113"/>
      <c r="AA25" s="113"/>
      <c r="AB25" s="113"/>
      <c r="AC25" s="113"/>
    </row>
    <row r="26" spans="1:29" ht="40" customHeight="1">
      <c r="A26" s="423" t="s">
        <v>127</v>
      </c>
      <c r="B26" s="422"/>
      <c r="C26" s="481"/>
      <c r="D26" s="183"/>
      <c r="E26" s="183"/>
      <c r="F26" s="28"/>
      <c r="G26" s="27"/>
      <c r="H26" s="28"/>
      <c r="I26" s="28"/>
      <c r="J26" s="184"/>
      <c r="K26" s="28"/>
      <c r="L26" s="184"/>
      <c r="M26" s="28"/>
      <c r="O26" s="183"/>
      <c r="P26" s="802" t="str">
        <f ca="1">INDIRECT("'"&amp;Cover!$E$4&amp;"'!"&amp;CELL("address",B116))</f>
        <v>* Congenital syphilis  (CS) cases and rates include adverse birth outcomes due to CS as well as non-clinical CS (asymptomatic infant born to untreated mother) according to the WHO CS case definition.</v>
      </c>
      <c r="Q26" s="802"/>
      <c r="R26" s="802"/>
      <c r="S26" s="802"/>
      <c r="T26" s="802"/>
      <c r="U26" s="802"/>
      <c r="V26" s="28"/>
      <c r="W26" s="28"/>
      <c r="X26" s="28"/>
      <c r="Y26" s="184"/>
      <c r="Z26" s="113"/>
      <c r="AA26" s="113"/>
      <c r="AB26" s="113"/>
      <c r="AC26" s="113"/>
    </row>
    <row r="27" spans="1:29" ht="23" customHeight="1">
      <c r="A27" s="421" t="s">
        <v>353</v>
      </c>
      <c r="B27" s="422"/>
      <c r="C27" s="481"/>
      <c r="D27" s="183"/>
      <c r="E27" s="183"/>
      <c r="F27" s="124" t="str">
        <f ca="1">INDIRECT("'"&amp;Cover!$E$4&amp;"'!"&amp;CELL("address",B101))</f>
        <v>2. Overall testing rate</v>
      </c>
      <c r="G27" s="30"/>
      <c r="H27" s="31"/>
      <c r="I27" s="31"/>
      <c r="J27" s="184"/>
      <c r="K27" s="28"/>
      <c r="L27" s="184"/>
      <c r="M27" s="28"/>
      <c r="N27" s="28"/>
      <c r="O27" s="183"/>
      <c r="P27" s="805" t="str">
        <f ca="1">INDIRECT("'"&amp;Cover!$E$4&amp;"'!"&amp;CELL("address",B117))</f>
        <v>** 'Live births' includes women with and without syphilis</v>
      </c>
      <c r="Q27" s="805"/>
      <c r="R27" s="805"/>
      <c r="S27" s="805"/>
      <c r="T27" s="805"/>
      <c r="U27" s="805"/>
      <c r="V27" s="28"/>
      <c r="W27" s="28"/>
      <c r="X27" s="28"/>
      <c r="Y27" s="184"/>
      <c r="Z27" s="113"/>
      <c r="AA27" s="113"/>
      <c r="AB27" s="113"/>
      <c r="AC27" s="113"/>
    </row>
    <row r="28" spans="1:29" ht="23" customHeight="1">
      <c r="A28" s="423" t="s">
        <v>129</v>
      </c>
      <c r="B28" s="422"/>
      <c r="D28" s="183"/>
      <c r="E28" s="183"/>
      <c r="F28" s="346" t="str">
        <f ca="1">INDIRECT("'"&amp;Cover!$E$4&amp;"'!"&amp;CELL("address",B102))</f>
        <v>Current percentage of women tested</v>
      </c>
      <c r="G28" s="28"/>
      <c r="H28" s="312">
        <f>'Data (Calculations)'!P35</f>
        <v>0.33850000000000002</v>
      </c>
      <c r="I28" s="28"/>
      <c r="J28" s="184"/>
      <c r="K28" s="28"/>
      <c r="L28" s="184"/>
      <c r="M28" s="28"/>
      <c r="O28" s="183"/>
      <c r="Q28" s="28"/>
      <c r="R28" s="28"/>
      <c r="S28" s="28"/>
      <c r="T28" s="28"/>
      <c r="U28" s="28"/>
      <c r="V28" s="28"/>
      <c r="W28" s="28"/>
      <c r="X28" s="28"/>
      <c r="Y28" s="184"/>
      <c r="Z28" s="113"/>
      <c r="AA28" s="113"/>
      <c r="AB28" s="113"/>
      <c r="AC28" s="113"/>
    </row>
    <row r="29" spans="1:29" ht="23" customHeight="1">
      <c r="A29" s="423" t="s">
        <v>128</v>
      </c>
      <c r="B29" s="422"/>
      <c r="D29" s="183"/>
      <c r="E29" s="183"/>
      <c r="F29" s="803" t="str">
        <f ca="1">INDIRECT("'"&amp;Cover!$E$4&amp;"'!"&amp;CELL("address",B103))</f>
        <v>Please enter the percent of pregnancy women tested for syphilis in antenatal care below and the year by which this should be achieved</v>
      </c>
      <c r="G29" s="803"/>
      <c r="H29" s="803"/>
      <c r="I29" s="803"/>
      <c r="J29" s="184"/>
      <c r="K29" s="28"/>
      <c r="L29" s="184"/>
      <c r="M29" s="28"/>
      <c r="O29" s="183"/>
      <c r="P29" s="285" t="str">
        <f ca="1">INDIRECT("'"&amp;Cover!$E$4&amp;"'!"&amp;CELL("address",B118))</f>
        <v>(Figures 2a and 2b) Trends in congenital syphilis case rate and case numbers</v>
      </c>
      <c r="Q29" s="28"/>
      <c r="R29" s="28"/>
      <c r="S29" s="28"/>
      <c r="T29" s="28"/>
      <c r="U29" s="28"/>
      <c r="V29" s="28"/>
      <c r="W29" s="28"/>
      <c r="X29" s="28"/>
      <c r="Y29" s="184"/>
      <c r="Z29" s="113"/>
      <c r="AA29" s="113"/>
      <c r="AB29" s="113"/>
      <c r="AC29" s="113"/>
    </row>
    <row r="30" spans="1:29" ht="23" customHeight="1">
      <c r="A30" s="421" t="s">
        <v>356</v>
      </c>
      <c r="B30" s="422"/>
      <c r="C30" s="481"/>
      <c r="D30" s="183"/>
      <c r="E30" s="183"/>
      <c r="F30" s="803"/>
      <c r="G30" s="803"/>
      <c r="H30" s="803"/>
      <c r="I30" s="803"/>
      <c r="J30" s="184"/>
      <c r="K30" s="28"/>
      <c r="L30" s="184"/>
      <c r="M30" s="28"/>
      <c r="O30" s="183"/>
      <c r="P30" s="267" t="str">
        <f ca="1">INDIRECT("'"&amp;Cover!$E$4&amp;"'!"&amp;CELL("address",B119))</f>
        <v>• Figure 2a shows the change in congenital syphilis case rate per 100,000 live births for your country of interest</v>
      </c>
      <c r="Q30" s="28"/>
      <c r="R30" s="28"/>
      <c r="S30" s="28"/>
      <c r="T30" s="28"/>
      <c r="U30" s="28"/>
      <c r="V30" s="28"/>
      <c r="W30" s="28"/>
      <c r="X30" s="28"/>
      <c r="Y30" s="184"/>
      <c r="Z30" s="113"/>
      <c r="AA30" s="113"/>
      <c r="AB30" s="113"/>
      <c r="AC30" s="113"/>
    </row>
    <row r="31" spans="1:29" ht="23" customHeight="1">
      <c r="A31" s="421" t="s">
        <v>338</v>
      </c>
      <c r="B31" s="422"/>
      <c r="C31" s="481"/>
      <c r="D31" s="183"/>
      <c r="E31" s="183"/>
      <c r="F31" s="27"/>
      <c r="G31" s="28"/>
      <c r="H31" s="28"/>
      <c r="I31" s="28"/>
      <c r="J31" s="184"/>
      <c r="K31" s="28"/>
      <c r="L31" s="184"/>
      <c r="M31" s="28"/>
      <c r="N31" s="28"/>
      <c r="O31" s="183"/>
      <c r="P31" s="267" t="str">
        <f ca="1">INDIRECT("'"&amp;Cover!$E$4&amp;"'!"&amp;CELL("address",B120))</f>
        <v>• The blue dotted blue line represents the WHO elimination target of 50 cases per 100,000 live births</v>
      </c>
      <c r="Q31" s="28"/>
      <c r="R31" s="28"/>
      <c r="S31" s="28"/>
      <c r="T31" s="28"/>
      <c r="U31" s="28"/>
      <c r="V31" s="28"/>
      <c r="W31" s="28"/>
      <c r="X31" s="28"/>
      <c r="Y31" s="184"/>
      <c r="Z31" s="113"/>
      <c r="AA31" s="113"/>
      <c r="AB31" s="113"/>
      <c r="AC31" s="113"/>
    </row>
    <row r="32" spans="1:29" ht="23" customHeight="1">
      <c r="A32" s="423" t="s">
        <v>130</v>
      </c>
      <c r="B32" s="422"/>
      <c r="C32" s="481"/>
      <c r="D32" s="183"/>
      <c r="E32" s="183"/>
      <c r="F32" s="300" t="str">
        <f ca="1">INDIRECT("'"&amp;Cover!$E$4&amp;"'!"&amp;CELL("address",B104))</f>
        <v>Target overall testing rate</v>
      </c>
      <c r="G32" s="356">
        <v>0.99</v>
      </c>
      <c r="H32" s="28"/>
      <c r="I32" s="355">
        <v>2030</v>
      </c>
      <c r="J32" s="184"/>
      <c r="K32" s="28"/>
      <c r="L32" s="184"/>
      <c r="M32" s="28"/>
      <c r="N32" s="28"/>
      <c r="O32" s="183"/>
      <c r="P32" s="267" t="str">
        <f ca="1">INDIRECT("'"&amp;Cover!$E$4&amp;"'!"&amp;CELL("address",B121))</f>
        <v>• The red dotted line shows the projected case rate/numbers if ANC1, testing and treatment remain as present</v>
      </c>
      <c r="Q32" s="28"/>
      <c r="R32" s="28"/>
      <c r="S32" s="28"/>
      <c r="T32" s="28"/>
      <c r="U32" s="28"/>
      <c r="V32" s="28"/>
      <c r="W32" s="28"/>
      <c r="X32" s="28"/>
      <c r="Y32" s="184"/>
      <c r="Z32" s="113"/>
      <c r="AA32" s="113"/>
      <c r="AB32" s="113"/>
      <c r="AC32" s="113"/>
    </row>
    <row r="33" spans="1:29" ht="23" customHeight="1">
      <c r="A33" s="421" t="s">
        <v>173</v>
      </c>
      <c r="B33" s="422"/>
      <c r="C33" s="481"/>
      <c r="D33" s="183"/>
      <c r="E33" s="183"/>
      <c r="F33" s="28"/>
      <c r="G33" s="27"/>
      <c r="H33" s="28"/>
      <c r="I33" s="60"/>
      <c r="J33" s="184"/>
      <c r="K33" s="28"/>
      <c r="L33" s="184"/>
      <c r="M33" s="28"/>
      <c r="N33" s="28"/>
      <c r="O33" s="183"/>
      <c r="P33" s="267" t="str">
        <f ca="1">INDIRECT("'"&amp;Cover!$E$4&amp;"'!"&amp;CELL("address",B122))</f>
        <v>• Figure 2b shows the change in the total number of congenital syphilis cases for your country of interest</v>
      </c>
      <c r="Q33" s="28"/>
      <c r="R33" s="28"/>
      <c r="S33" s="28"/>
      <c r="T33" s="28"/>
      <c r="U33" s="28"/>
      <c r="V33" s="28"/>
      <c r="W33" s="28"/>
      <c r="X33" s="28"/>
      <c r="Y33" s="184"/>
      <c r="Z33" s="113"/>
      <c r="AA33" s="735"/>
      <c r="AB33" s="113"/>
      <c r="AC33" s="113"/>
    </row>
    <row r="34" spans="1:29" ht="23" customHeight="1">
      <c r="A34" s="423" t="s">
        <v>131</v>
      </c>
      <c r="B34" s="424">
        <v>0.01</v>
      </c>
      <c r="C34" s="481"/>
      <c r="D34" s="183"/>
      <c r="E34" s="183"/>
      <c r="F34" s="100" t="str">
        <f ca="1">INDIRECT("'"&amp;Cover!$E$4&amp;"'!"&amp;CELL("address",B105))</f>
        <v>3. Overall treatment rate</v>
      </c>
      <c r="G34" s="32"/>
      <c r="H34" s="33"/>
      <c r="I34" s="33"/>
      <c r="J34" s="184"/>
      <c r="K34" s="28"/>
      <c r="L34" s="184"/>
      <c r="M34" s="28"/>
      <c r="N34" s="28"/>
      <c r="O34" s="183"/>
      <c r="P34" s="28"/>
      <c r="Q34" s="28"/>
      <c r="R34" s="28"/>
      <c r="S34" s="28"/>
      <c r="T34" s="28"/>
      <c r="U34" s="28"/>
      <c r="V34" s="28"/>
      <c r="W34" s="28"/>
      <c r="X34" s="28"/>
      <c r="Y34" s="184"/>
      <c r="Z34" s="113"/>
      <c r="AA34" s="735"/>
      <c r="AB34" s="113"/>
      <c r="AC34" s="113"/>
    </row>
    <row r="35" spans="1:29" ht="23" customHeight="1">
      <c r="A35" s="421" t="s">
        <v>354</v>
      </c>
      <c r="B35" s="424">
        <v>0.02</v>
      </c>
      <c r="C35" s="481"/>
      <c r="D35" s="183"/>
      <c r="E35" s="183"/>
      <c r="F35" s="346" t="str">
        <f ca="1">INDIRECT("'"&amp;Cover!$E$4&amp;"'!"&amp;CELL("address",B106))</f>
        <v>Current percentage of women treated</v>
      </c>
      <c r="G35" s="28"/>
      <c r="H35" s="312">
        <f>'Data (Calculations)'!P40</f>
        <v>0.69932685115931192</v>
      </c>
      <c r="I35" s="60"/>
      <c r="J35" s="184"/>
      <c r="K35" s="28"/>
      <c r="L35" s="184"/>
      <c r="M35" s="28"/>
      <c r="N35" s="28"/>
      <c r="O35" s="183"/>
      <c r="P35" s="28"/>
      <c r="Q35" s="28"/>
      <c r="R35" s="28"/>
      <c r="S35" s="28"/>
      <c r="T35" s="28"/>
      <c r="U35" s="28"/>
      <c r="V35" s="28"/>
      <c r="W35" s="28"/>
      <c r="X35" s="28"/>
      <c r="Y35" s="184"/>
      <c r="Z35" s="113"/>
      <c r="AA35" s="735" t="str">
        <f ca="1">INDIRECT("'"&amp;Cover!$E$4&amp;"'!"&amp;CELL("address",E87))</f>
        <v>WHO target</v>
      </c>
      <c r="AB35" s="113"/>
      <c r="AC35" s="113"/>
    </row>
    <row r="36" spans="1:29" ht="23" customHeight="1">
      <c r="A36" s="421" t="s">
        <v>355</v>
      </c>
      <c r="B36" s="424">
        <v>0.03</v>
      </c>
      <c r="C36" s="481"/>
      <c r="D36" s="183"/>
      <c r="E36" s="183"/>
      <c r="F36" s="803" t="str">
        <f ca="1">INDIRECT("'"&amp;Cover!$E$4&amp;"'!"&amp;CELL("address",B107))</f>
        <v>Please enter the percent of pregnant women with a positive syphilis test that receive treatment with at least one dose of benzathine penicillin below and the year by which this should be achieved</v>
      </c>
      <c r="G36" s="803"/>
      <c r="H36" s="803"/>
      <c r="I36" s="803"/>
      <c r="J36" s="184"/>
      <c r="K36" s="28"/>
      <c r="L36" s="184"/>
      <c r="M36" s="28"/>
      <c r="N36" s="28"/>
      <c r="O36" s="183"/>
      <c r="P36" s="28"/>
      <c r="Q36" s="28"/>
      <c r="R36" s="28"/>
      <c r="S36" s="28"/>
      <c r="T36" s="28"/>
      <c r="U36" s="28"/>
      <c r="V36" s="28"/>
      <c r="W36" s="28"/>
      <c r="X36" s="28"/>
      <c r="Y36" s="184"/>
      <c r="Z36" s="113"/>
      <c r="AA36" s="735" t="str">
        <f ca="1">INDIRECT("'"&amp;Cover!$E$4&amp;"'!"&amp;CELL("address",E88))</f>
        <v>No intervention</v>
      </c>
      <c r="AB36" s="113"/>
      <c r="AC36" s="113"/>
    </row>
    <row r="37" spans="1:29" ht="23" customHeight="1">
      <c r="A37" s="423" t="s">
        <v>132</v>
      </c>
      <c r="B37" s="424">
        <v>0.04</v>
      </c>
      <c r="C37" s="481"/>
      <c r="D37" s="183"/>
      <c r="E37" s="183"/>
      <c r="F37" s="803"/>
      <c r="G37" s="803"/>
      <c r="H37" s="803"/>
      <c r="I37" s="803"/>
      <c r="J37" s="184"/>
      <c r="K37" s="28"/>
      <c r="L37" s="184"/>
      <c r="M37" s="28"/>
      <c r="N37" s="28"/>
      <c r="O37" s="183"/>
      <c r="P37" s="28"/>
      <c r="Q37" s="28"/>
      <c r="R37" s="28"/>
      <c r="S37" s="28"/>
      <c r="T37" s="28"/>
      <c r="U37" s="28"/>
      <c r="V37" s="28"/>
      <c r="W37" s="28"/>
      <c r="X37" s="28"/>
      <c r="Y37" s="184"/>
      <c r="Z37" s="113"/>
      <c r="AA37" s="735" t="str">
        <f ca="1">INDIRECT("'"&amp;Cover!$E$4&amp;"'!"&amp;CELL("address",E89))</f>
        <v>Intervention</v>
      </c>
      <c r="AB37" s="113"/>
      <c r="AC37" s="113"/>
    </row>
    <row r="38" spans="1:29" ht="23" customHeight="1">
      <c r="A38" s="421" t="s">
        <v>357</v>
      </c>
      <c r="B38" s="424">
        <v>0.05</v>
      </c>
      <c r="C38" s="481"/>
      <c r="D38" s="183"/>
      <c r="E38" s="183"/>
      <c r="F38" s="267" t="str">
        <f>IF(Cover!E4="English","",IF(Cover!E4="Français", "",""))</f>
        <v/>
      </c>
      <c r="G38" s="27"/>
      <c r="H38" s="28"/>
      <c r="I38" s="28"/>
      <c r="J38" s="184"/>
      <c r="K38" s="28"/>
      <c r="L38" s="184"/>
      <c r="M38" s="28"/>
      <c r="N38" s="28"/>
      <c r="O38" s="183"/>
      <c r="P38" s="28"/>
      <c r="Q38" s="28"/>
      <c r="R38" s="28"/>
      <c r="S38" s="28"/>
      <c r="T38" s="28"/>
      <c r="U38" s="28"/>
      <c r="V38" s="28"/>
      <c r="W38" s="28"/>
      <c r="X38" s="28"/>
      <c r="Y38" s="184"/>
      <c r="Z38" s="113"/>
      <c r="AA38" s="735"/>
      <c r="AB38" s="9"/>
      <c r="AC38" s="113"/>
    </row>
    <row r="39" spans="1:29" ht="23" customHeight="1">
      <c r="A39" s="421" t="s">
        <v>174</v>
      </c>
      <c r="B39" s="424">
        <v>0.06</v>
      </c>
      <c r="C39" s="481"/>
      <c r="D39" s="183"/>
      <c r="E39" s="183"/>
      <c r="F39" s="28"/>
      <c r="G39" s="27"/>
      <c r="H39" s="28"/>
      <c r="I39" s="28"/>
      <c r="J39" s="184"/>
      <c r="K39" s="28"/>
      <c r="L39" s="184"/>
      <c r="M39" s="28"/>
      <c r="N39" s="28"/>
      <c r="O39" s="183"/>
      <c r="P39" s="28"/>
      <c r="Q39" s="28"/>
      <c r="R39" s="28"/>
      <c r="S39" s="28"/>
      <c r="T39" s="28"/>
      <c r="U39" s="28"/>
      <c r="V39" s="28"/>
      <c r="W39" s="28"/>
      <c r="X39" s="28"/>
      <c r="Y39" s="184"/>
      <c r="Z39" s="113"/>
      <c r="AA39" s="735"/>
      <c r="AB39" s="9"/>
      <c r="AC39" s="113"/>
    </row>
    <row r="40" spans="1:29" ht="23" customHeight="1">
      <c r="A40" s="421" t="s">
        <v>358</v>
      </c>
      <c r="B40" s="424">
        <v>7.0000000000000007E-2</v>
      </c>
      <c r="C40" s="481"/>
      <c r="D40" s="183"/>
      <c r="E40" s="183"/>
      <c r="F40" s="390" t="str">
        <f ca="1">INDIRECT("'"&amp;Cover!$E$4&amp;"'!"&amp;CELL("address",B108))</f>
        <v>Target rate of tested women treated</v>
      </c>
      <c r="G40" s="356">
        <v>0.99</v>
      </c>
      <c r="H40" s="28"/>
      <c r="I40" s="355">
        <v>2030</v>
      </c>
      <c r="J40" s="184"/>
      <c r="K40" s="28"/>
      <c r="L40" s="184"/>
      <c r="M40" s="28"/>
      <c r="N40" s="28"/>
      <c r="O40" s="183"/>
      <c r="P40" s="28"/>
      <c r="Q40" s="28"/>
      <c r="R40" s="28"/>
      <c r="S40" s="66"/>
      <c r="T40" s="60"/>
      <c r="U40" s="60"/>
      <c r="V40" s="60"/>
      <c r="W40" s="60"/>
      <c r="X40" s="28"/>
      <c r="Y40" s="184"/>
      <c r="Z40" s="113"/>
      <c r="AA40" s="113"/>
      <c r="AB40" s="9"/>
      <c r="AC40" s="113"/>
    </row>
    <row r="41" spans="1:29" ht="23" customHeight="1">
      <c r="A41" s="421" t="s">
        <v>175</v>
      </c>
      <c r="B41" s="424">
        <v>0.08</v>
      </c>
      <c r="C41" s="481"/>
      <c r="D41" s="183"/>
      <c r="E41" s="183"/>
      <c r="F41" s="28"/>
      <c r="G41" s="27"/>
      <c r="H41" s="28"/>
      <c r="I41" s="60"/>
      <c r="J41" s="184"/>
      <c r="K41" s="60"/>
      <c r="L41" s="186"/>
      <c r="M41" s="28"/>
      <c r="N41" s="28"/>
      <c r="O41" s="183"/>
      <c r="P41" s="28"/>
      <c r="Q41" s="28"/>
      <c r="R41" s="28"/>
      <c r="S41" s="28"/>
      <c r="T41" s="28"/>
      <c r="U41" s="28"/>
      <c r="V41" s="28"/>
      <c r="W41" s="28"/>
      <c r="X41" s="28"/>
      <c r="Y41" s="184"/>
    </row>
    <row r="42" spans="1:29" ht="23" customHeight="1">
      <c r="A42" s="421" t="s">
        <v>176</v>
      </c>
      <c r="B42" s="424">
        <v>0.09</v>
      </c>
      <c r="C42" s="481"/>
      <c r="D42" s="183"/>
      <c r="E42" s="272"/>
      <c r="F42" s="379"/>
      <c r="G42" s="378"/>
      <c r="H42" s="113"/>
      <c r="I42" s="378"/>
      <c r="J42" s="273"/>
      <c r="K42" s="28"/>
      <c r="L42" s="184"/>
      <c r="M42" s="28"/>
      <c r="N42" s="28"/>
      <c r="O42" s="183"/>
      <c r="P42" s="28"/>
      <c r="Q42" s="28"/>
      <c r="R42" s="28"/>
      <c r="S42" s="28"/>
      <c r="T42" s="28"/>
      <c r="U42" s="28"/>
      <c r="V42" s="28"/>
      <c r="W42" s="28"/>
      <c r="X42" s="28"/>
      <c r="Y42" s="184"/>
    </row>
    <row r="43" spans="1:29" ht="23" customHeight="1" thickBot="1">
      <c r="A43" s="423" t="s">
        <v>133</v>
      </c>
      <c r="B43" s="424">
        <v>0.1</v>
      </c>
      <c r="C43" s="481"/>
      <c r="D43" s="183"/>
      <c r="E43" s="274"/>
      <c r="F43" s="276"/>
      <c r="G43" s="275"/>
      <c r="H43" s="275"/>
      <c r="I43" s="275"/>
      <c r="J43" s="277"/>
      <c r="K43" s="28"/>
      <c r="L43" s="184"/>
      <c r="M43" s="28"/>
      <c r="N43" s="28"/>
      <c r="O43" s="183"/>
      <c r="P43" s="28"/>
      <c r="Q43" s="28"/>
      <c r="R43" s="28"/>
      <c r="S43" s="28"/>
      <c r="T43" s="28"/>
      <c r="U43" s="28"/>
      <c r="V43" s="28"/>
      <c r="W43" s="28"/>
      <c r="X43" s="28"/>
      <c r="Y43" s="184"/>
    </row>
    <row r="44" spans="1:29" ht="11" customHeight="1">
      <c r="A44" s="423" t="s">
        <v>134</v>
      </c>
      <c r="B44" s="424">
        <v>0.11</v>
      </c>
      <c r="C44" s="481"/>
      <c r="D44" s="183"/>
      <c r="E44" s="113"/>
      <c r="F44" s="262"/>
      <c r="G44" s="113"/>
      <c r="H44" s="113"/>
      <c r="I44" s="113"/>
      <c r="J44" s="113"/>
      <c r="K44" s="28"/>
      <c r="L44" s="184"/>
      <c r="M44" s="28"/>
      <c r="N44" s="28"/>
      <c r="O44" s="183"/>
      <c r="P44" s="28"/>
      <c r="Q44" s="28"/>
      <c r="R44" s="28"/>
      <c r="S44" s="28"/>
      <c r="T44" s="28"/>
      <c r="U44" s="28"/>
      <c r="V44" s="28"/>
      <c r="W44" s="28"/>
      <c r="X44" s="28"/>
      <c r="Y44" s="184"/>
    </row>
    <row r="45" spans="1:29" ht="17" customHeight="1">
      <c r="A45" s="423" t="s">
        <v>135</v>
      </c>
      <c r="B45" s="424">
        <v>0.12</v>
      </c>
      <c r="C45" s="481"/>
      <c r="D45" s="183"/>
      <c r="E45" s="113"/>
      <c r="F45" s="267"/>
      <c r="G45" s="113"/>
      <c r="H45" s="113"/>
      <c r="I45" s="113"/>
      <c r="J45" s="113"/>
      <c r="K45" s="28"/>
      <c r="L45" s="184"/>
      <c r="M45" s="28"/>
      <c r="N45" s="28"/>
      <c r="O45" s="183"/>
      <c r="P45" s="28"/>
      <c r="Q45" s="28"/>
      <c r="R45" s="28"/>
      <c r="S45" s="28"/>
      <c r="T45" s="28"/>
      <c r="U45" s="28"/>
      <c r="V45" s="28"/>
      <c r="W45" s="28"/>
      <c r="X45" s="28"/>
      <c r="Y45" s="184"/>
    </row>
    <row r="46" spans="1:29" ht="28" customHeight="1" thickBot="1">
      <c r="A46" s="423" t="s">
        <v>136</v>
      </c>
      <c r="B46" s="424">
        <v>0.13</v>
      </c>
      <c r="C46" s="481"/>
      <c r="D46" s="187"/>
      <c r="E46" s="189"/>
      <c r="F46" s="188"/>
      <c r="G46" s="188"/>
      <c r="H46" s="188"/>
      <c r="I46" s="188"/>
      <c r="J46" s="188"/>
      <c r="K46" s="188"/>
      <c r="L46" s="190"/>
      <c r="M46" s="28"/>
      <c r="N46" s="28"/>
      <c r="O46" s="183"/>
      <c r="P46" s="28"/>
      <c r="Q46" s="28"/>
      <c r="R46" s="28"/>
      <c r="S46" s="28"/>
      <c r="T46" s="28"/>
      <c r="U46" s="28"/>
      <c r="V46" s="28"/>
      <c r="W46" s="28"/>
      <c r="X46" s="28"/>
      <c r="Y46" s="184"/>
    </row>
    <row r="47" spans="1:29" ht="30" customHeight="1">
      <c r="A47" s="421" t="s">
        <v>177</v>
      </c>
      <c r="B47" s="424">
        <v>0.14000000000000001</v>
      </c>
      <c r="C47" s="481"/>
      <c r="M47" s="28"/>
      <c r="N47" s="28"/>
      <c r="O47" s="183"/>
      <c r="P47" s="28"/>
      <c r="Q47" s="28"/>
      <c r="R47" s="28"/>
      <c r="S47" s="28"/>
      <c r="T47" s="28"/>
      <c r="U47" s="28"/>
      <c r="V47" s="28"/>
      <c r="W47" s="28"/>
      <c r="X47" s="28"/>
      <c r="Y47" s="184"/>
    </row>
    <row r="48" spans="1:29" ht="29" customHeight="1">
      <c r="A48" s="421" t="s">
        <v>137</v>
      </c>
      <c r="B48" s="424">
        <v>0.15</v>
      </c>
      <c r="C48" s="481"/>
      <c r="M48" s="28"/>
      <c r="N48" s="28"/>
      <c r="O48" s="183"/>
      <c r="P48" s="28"/>
      <c r="Q48" s="28"/>
      <c r="R48" s="28"/>
      <c r="S48" s="28"/>
      <c r="T48" s="28"/>
      <c r="U48" s="28"/>
      <c r="V48" s="28"/>
      <c r="W48" s="28"/>
      <c r="X48" s="28"/>
      <c r="Y48" s="184"/>
    </row>
    <row r="49" spans="1:25" ht="28" customHeight="1">
      <c r="A49" s="421" t="s">
        <v>375</v>
      </c>
      <c r="B49" s="424">
        <v>0.16</v>
      </c>
      <c r="C49" s="481"/>
      <c r="M49" s="28"/>
      <c r="N49" s="28"/>
      <c r="O49" s="183"/>
      <c r="P49" s="28"/>
      <c r="Q49" s="28"/>
      <c r="R49" s="28"/>
      <c r="S49" s="28"/>
      <c r="T49" s="28"/>
      <c r="U49" s="28"/>
      <c r="V49" s="28"/>
      <c r="W49" s="28"/>
      <c r="X49" s="28"/>
      <c r="Y49" s="184"/>
    </row>
    <row r="50" spans="1:25" ht="12" customHeight="1">
      <c r="A50" s="421" t="s">
        <v>150</v>
      </c>
      <c r="B50" s="424">
        <v>0.17</v>
      </c>
      <c r="C50" s="481"/>
      <c r="M50" s="28"/>
      <c r="N50" s="28"/>
      <c r="O50" s="183"/>
      <c r="P50" s="28"/>
      <c r="Q50" s="28"/>
      <c r="R50" s="28"/>
      <c r="S50" s="28"/>
      <c r="T50" s="28"/>
      <c r="U50" s="28"/>
      <c r="V50" s="28"/>
      <c r="W50" s="28"/>
      <c r="X50" s="28"/>
      <c r="Y50" s="184"/>
    </row>
    <row r="51" spans="1:25" ht="26" customHeight="1" thickBot="1">
      <c r="A51" s="421" t="s">
        <v>230</v>
      </c>
      <c r="B51" s="424">
        <v>0.18</v>
      </c>
      <c r="M51" s="28"/>
      <c r="O51" s="187"/>
      <c r="P51" s="321"/>
      <c r="Q51" s="188"/>
      <c r="R51" s="188"/>
      <c r="S51" s="188"/>
      <c r="T51" s="188"/>
      <c r="U51" s="188"/>
      <c r="V51" s="188"/>
      <c r="W51" s="188"/>
      <c r="X51" s="188"/>
      <c r="Y51" s="190"/>
    </row>
    <row r="52" spans="1:25" ht="28" customHeight="1">
      <c r="A52" s="421" t="s">
        <v>178</v>
      </c>
      <c r="B52" s="424">
        <v>0.19</v>
      </c>
      <c r="C52" s="482"/>
    </row>
    <row r="53" spans="1:25" ht="24" customHeight="1">
      <c r="A53" s="423" t="s">
        <v>138</v>
      </c>
      <c r="B53" s="424">
        <v>0.2</v>
      </c>
      <c r="C53" s="481"/>
      <c r="J53" s="28"/>
    </row>
    <row r="54" spans="1:25" ht="17" customHeight="1">
      <c r="A54" s="421" t="s">
        <v>179</v>
      </c>
      <c r="B54" s="424">
        <v>0.21</v>
      </c>
    </row>
    <row r="55" spans="1:25" ht="30" customHeight="1" thickBot="1">
      <c r="A55" s="421" t="s">
        <v>359</v>
      </c>
      <c r="B55" s="424">
        <v>0.22</v>
      </c>
      <c r="D55" s="287" t="str">
        <f ca="1">INDIRECT("'"&amp;Cover!$E$4&amp;"'!"&amp;CELL("address",B124))</f>
        <v>Step 5. View effects of testing and treatment scale up upon birth outcomes</v>
      </c>
      <c r="J55" s="28"/>
    </row>
    <row r="56" spans="1:25" ht="17" customHeight="1">
      <c r="A56" s="423" t="s">
        <v>139</v>
      </c>
      <c r="B56" s="424">
        <v>0.23</v>
      </c>
      <c r="D56" s="179"/>
      <c r="E56" s="180"/>
      <c r="F56" s="181"/>
      <c r="G56" s="180"/>
      <c r="H56" s="180"/>
      <c r="I56" s="180"/>
      <c r="J56" s="180"/>
      <c r="K56" s="180"/>
      <c r="L56" s="180"/>
      <c r="M56" s="180"/>
      <c r="N56" s="180"/>
      <c r="O56" s="180"/>
      <c r="P56" s="180"/>
      <c r="Q56" s="180"/>
      <c r="R56" s="180"/>
      <c r="S56" s="180"/>
      <c r="T56" s="180"/>
      <c r="U56" s="180"/>
      <c r="V56" s="180"/>
      <c r="W56" s="180"/>
      <c r="X56" s="180"/>
      <c r="Y56" s="182"/>
    </row>
    <row r="57" spans="1:25" ht="15" customHeight="1">
      <c r="A57" s="423" t="s">
        <v>140</v>
      </c>
      <c r="B57" s="424">
        <v>0.24</v>
      </c>
      <c r="D57" s="183"/>
      <c r="E57" s="28"/>
      <c r="F57" s="27"/>
      <c r="G57" s="28"/>
      <c r="H57" s="28"/>
      <c r="I57" s="28"/>
      <c r="J57" s="28"/>
      <c r="K57" s="28"/>
      <c r="L57" s="28"/>
      <c r="M57" s="28"/>
      <c r="N57" s="28"/>
      <c r="O57" s="28"/>
      <c r="P57" s="28"/>
      <c r="Q57" s="28"/>
      <c r="R57" s="28"/>
      <c r="S57" s="28"/>
      <c r="T57" s="28"/>
      <c r="U57" s="28"/>
      <c r="V57" s="28"/>
      <c r="W57" s="28"/>
      <c r="X57" s="28"/>
      <c r="Y57" s="184"/>
    </row>
    <row r="58" spans="1:25" ht="13" customHeight="1">
      <c r="A58" s="421" t="s">
        <v>180</v>
      </c>
      <c r="B58" s="424">
        <v>0.25</v>
      </c>
      <c r="D58" s="183"/>
      <c r="G58" s="28"/>
      <c r="H58" s="28"/>
      <c r="I58" s="28"/>
      <c r="J58" s="28"/>
      <c r="K58" s="28"/>
      <c r="L58" s="28"/>
      <c r="M58" s="28"/>
      <c r="N58" s="28"/>
      <c r="O58" s="28"/>
      <c r="P58" s="28"/>
      <c r="Q58" s="28"/>
      <c r="R58" s="28"/>
      <c r="S58" s="28"/>
      <c r="T58" s="28"/>
      <c r="U58" s="28"/>
      <c r="V58" s="28"/>
      <c r="W58" s="28"/>
      <c r="X58" s="28"/>
      <c r="Y58" s="184"/>
    </row>
    <row r="59" spans="1:25" ht="61" customHeight="1">
      <c r="A59" s="421" t="s">
        <v>181</v>
      </c>
      <c r="B59" s="424">
        <v>0.26</v>
      </c>
      <c r="D59" s="183"/>
      <c r="E59" s="804" t="str">
        <f ca="1">INDIRECT("'"&amp;Cover!$E$4&amp;"'!"&amp;CELL("address",B125))</f>
        <v>(Figure 3) Trends in adverse birth outcomes (ABOs) including congenital syphilis (CS)</v>
      </c>
      <c r="F59" s="804"/>
      <c r="G59" s="804"/>
      <c r="H59" s="804"/>
      <c r="I59" s="804"/>
      <c r="J59" s="804"/>
      <c r="K59" s="28"/>
      <c r="L59" s="28"/>
      <c r="M59" s="28"/>
      <c r="N59" s="28"/>
      <c r="O59" s="28"/>
      <c r="P59" s="803" t="str">
        <f ca="1">INDIRECT("'"&amp;Cover!$E$4&amp;"'!"&amp;CELL("address",B128))</f>
        <v xml:space="preserve">The following box displays the number of adverse events averted due to benzathine penicillin use compared with no treatment. </v>
      </c>
      <c r="Q59" s="803"/>
      <c r="R59" s="803"/>
      <c r="S59" s="803"/>
      <c r="T59" s="803"/>
      <c r="U59" s="803"/>
      <c r="V59" s="28"/>
      <c r="W59" s="28"/>
      <c r="X59" s="28"/>
      <c r="Y59" s="184"/>
    </row>
    <row r="60" spans="1:25" ht="42" customHeight="1">
      <c r="A60" s="421" t="s">
        <v>182</v>
      </c>
      <c r="B60" s="424">
        <v>0.27</v>
      </c>
      <c r="D60" s="183"/>
      <c r="E60" s="803" t="str">
        <f ca="1">INDIRECT("'"&amp;Cover!$E$4&amp;"'!"&amp;CELL("address",B126))</f>
        <v>The following graph shows the number of each birth outcome over time. The trend can change as a result of treatment scale up (modifiable in Step 3)</v>
      </c>
      <c r="F60" s="803"/>
      <c r="G60" s="803"/>
      <c r="H60" s="803"/>
      <c r="I60" s="803"/>
      <c r="J60" s="28"/>
      <c r="K60" s="28"/>
      <c r="L60" s="28"/>
      <c r="M60" s="28"/>
      <c r="N60" s="28"/>
      <c r="O60" s="28"/>
      <c r="P60" s="803" t="str">
        <f ca="1">INDIRECT("'"&amp;Cover!$E$4&amp;"'!"&amp;CELL("address",B129))</f>
        <v>Results can be viewed for a particular year of interest by selecting the year from the drop-down menus on the right</v>
      </c>
      <c r="Q60" s="803"/>
      <c r="R60" s="803"/>
      <c r="S60" s="803"/>
      <c r="T60" s="803"/>
      <c r="U60" s="803"/>
      <c r="V60" s="28"/>
      <c r="W60" s="28"/>
      <c r="X60" s="28"/>
      <c r="Y60" s="184"/>
    </row>
    <row r="61" spans="1:25" ht="21" customHeight="1">
      <c r="A61" s="421" t="s">
        <v>360</v>
      </c>
      <c r="B61" s="424">
        <v>0.28000000000000003</v>
      </c>
      <c r="D61" s="183"/>
      <c r="E61" s="267"/>
      <c r="F61" s="27"/>
      <c r="G61" s="28"/>
      <c r="H61" s="28"/>
      <c r="I61" s="28"/>
      <c r="J61" s="28"/>
      <c r="K61" s="28"/>
      <c r="L61" s="28"/>
      <c r="M61" s="28"/>
      <c r="N61" s="28"/>
      <c r="O61" s="28"/>
      <c r="P61" s="28"/>
      <c r="Q61" s="28"/>
      <c r="R61" s="28"/>
      <c r="S61" s="28"/>
      <c r="T61" s="28"/>
      <c r="U61" s="28"/>
      <c r="V61" s="28"/>
      <c r="W61" s="28"/>
      <c r="X61" s="28"/>
      <c r="Y61" s="184"/>
    </row>
    <row r="62" spans="1:25" ht="31" customHeight="1">
      <c r="A62" s="421" t="s">
        <v>361</v>
      </c>
      <c r="B62" s="424">
        <v>0.28999999999999998</v>
      </c>
      <c r="D62" s="183"/>
      <c r="E62" s="28"/>
      <c r="F62" s="27"/>
      <c r="G62" s="28"/>
      <c r="H62" s="28"/>
      <c r="I62" s="28"/>
      <c r="J62" s="28"/>
      <c r="K62" s="28"/>
      <c r="L62" s="28"/>
      <c r="M62" s="28"/>
      <c r="N62" s="28"/>
      <c r="O62" s="28"/>
      <c r="Q62" s="28"/>
      <c r="R62" s="28"/>
      <c r="S62" s="28"/>
      <c r="T62" s="28"/>
      <c r="U62" s="28"/>
      <c r="V62" s="28"/>
      <c r="W62" s="28"/>
      <c r="X62" s="28"/>
      <c r="Y62" s="184"/>
    </row>
    <row r="63" spans="1:25" ht="20" customHeight="1">
      <c r="A63" s="421" t="s">
        <v>362</v>
      </c>
      <c r="B63" s="424">
        <v>0.3</v>
      </c>
      <c r="D63" s="183"/>
      <c r="E63" s="28"/>
      <c r="F63" s="27"/>
      <c r="G63" s="28"/>
      <c r="H63" s="28"/>
      <c r="I63" s="28"/>
      <c r="J63" s="28"/>
      <c r="K63" s="28"/>
      <c r="L63" s="28"/>
      <c r="M63" s="28"/>
      <c r="N63" s="28"/>
      <c r="O63" s="28"/>
      <c r="V63" s="28"/>
      <c r="W63" s="28"/>
      <c r="X63" s="28"/>
      <c r="Y63" s="184"/>
    </row>
    <row r="64" spans="1:25" ht="21" customHeight="1">
      <c r="A64" s="421" t="s">
        <v>363</v>
      </c>
      <c r="B64" s="424">
        <v>0.31</v>
      </c>
      <c r="D64" s="183"/>
      <c r="E64" s="28"/>
      <c r="F64" s="27"/>
      <c r="G64" s="28"/>
      <c r="H64" s="28"/>
      <c r="I64" s="28"/>
      <c r="J64" s="28"/>
      <c r="K64" s="28"/>
      <c r="L64" s="28"/>
      <c r="M64" s="28"/>
      <c r="N64" s="28"/>
      <c r="O64" s="28"/>
      <c r="V64" s="28"/>
      <c r="W64" s="28"/>
      <c r="X64" s="28"/>
      <c r="Y64" s="184"/>
    </row>
    <row r="65" spans="1:25" ht="36" customHeight="1">
      <c r="A65" s="421" t="s">
        <v>183</v>
      </c>
      <c r="B65" s="424">
        <v>0.32</v>
      </c>
      <c r="D65" s="183"/>
      <c r="E65" s="28"/>
      <c r="F65" s="27"/>
      <c r="G65" s="28"/>
      <c r="H65" s="28"/>
      <c r="I65" s="28"/>
      <c r="J65" s="28"/>
      <c r="K65" s="28"/>
      <c r="L65" s="28"/>
      <c r="M65" s="28"/>
      <c r="N65" s="28"/>
      <c r="O65" s="28"/>
      <c r="P65" s="285" t="str">
        <f ca="1">INDIRECT("'"&amp;Cover!$E$4&amp;"'!"&amp;CELL("address",B130))</f>
        <v>(Box C) Cases averted due to benzathine penicillin use</v>
      </c>
      <c r="V65" s="28"/>
      <c r="W65" s="28"/>
      <c r="X65" s="28"/>
      <c r="Y65" s="184"/>
    </row>
    <row r="66" spans="1:25" ht="21" customHeight="1">
      <c r="A66" s="421" t="s">
        <v>364</v>
      </c>
      <c r="B66" s="424">
        <v>0.33</v>
      </c>
      <c r="D66" s="183"/>
      <c r="E66" s="28"/>
      <c r="F66" s="27"/>
      <c r="G66" s="28"/>
      <c r="H66" s="28"/>
      <c r="I66" s="28"/>
      <c r="J66" s="28"/>
      <c r="K66" s="28"/>
      <c r="L66" s="28"/>
      <c r="M66" s="28"/>
      <c r="N66" s="28"/>
      <c r="O66" s="28"/>
      <c r="V66" s="28"/>
      <c r="W66" s="28"/>
      <c r="X66" s="28"/>
      <c r="Y66" s="184"/>
    </row>
    <row r="67" spans="1:25" ht="21" customHeight="1">
      <c r="A67" s="423" t="s">
        <v>141</v>
      </c>
      <c r="B67" s="424">
        <v>0.34</v>
      </c>
      <c r="D67" s="183"/>
      <c r="E67" s="28"/>
      <c r="F67" s="27"/>
      <c r="G67" s="28"/>
      <c r="H67" s="28"/>
      <c r="I67" s="28"/>
      <c r="J67" s="28"/>
      <c r="K67" s="28"/>
      <c r="L67" s="28"/>
      <c r="M67" s="28"/>
      <c r="N67" s="28"/>
      <c r="O67" s="28"/>
      <c r="P67" s="145"/>
      <c r="Q67" s="148"/>
      <c r="R67" s="148"/>
      <c r="S67" s="148"/>
      <c r="T67" s="148"/>
      <c r="U67" s="149"/>
      <c r="V67" s="28"/>
      <c r="W67" s="28"/>
      <c r="X67" s="28"/>
      <c r="Y67" s="184"/>
    </row>
    <row r="68" spans="1:25" ht="21" customHeight="1">
      <c r="A68" s="421" t="s">
        <v>151</v>
      </c>
      <c r="B68" s="424">
        <v>0.35</v>
      </c>
      <c r="D68" s="183"/>
      <c r="E68" s="28"/>
      <c r="F68" s="27"/>
      <c r="G68" s="28"/>
      <c r="H68" s="28"/>
      <c r="I68" s="28"/>
      <c r="J68" s="28"/>
      <c r="K68" s="28"/>
      <c r="L68" s="28"/>
      <c r="M68" s="28"/>
      <c r="N68" s="28"/>
      <c r="O68" s="28"/>
      <c r="P68" s="150"/>
      <c r="Q68" s="136"/>
      <c r="R68" s="136"/>
      <c r="S68" s="136"/>
      <c r="T68" s="136"/>
      <c r="U68" s="137"/>
      <c r="V68" s="28"/>
      <c r="W68" s="28"/>
      <c r="X68" s="28"/>
      <c r="Y68" s="184"/>
    </row>
    <row r="69" spans="1:25" ht="21" customHeight="1" thickBot="1">
      <c r="A69" s="421" t="s">
        <v>374</v>
      </c>
      <c r="B69" s="424">
        <v>0.36</v>
      </c>
      <c r="D69" s="183"/>
      <c r="E69" s="28"/>
      <c r="F69" s="27"/>
      <c r="G69" s="28"/>
      <c r="H69" s="28"/>
      <c r="I69" s="28"/>
      <c r="J69" s="60"/>
      <c r="K69" s="28"/>
      <c r="L69" s="28"/>
      <c r="M69" s="28"/>
      <c r="N69" s="28"/>
      <c r="O69" s="28"/>
      <c r="P69" s="150"/>
      <c r="Q69" s="138" t="str">
        <f ca="1">INDIRECT("'"&amp;Cover!$E$4&amp;"'!"&amp;CELL("address",B131))</f>
        <v>Stillbirths averted</v>
      </c>
      <c r="R69" s="141"/>
      <c r="S69" s="136"/>
      <c r="T69" s="174"/>
      <c r="U69" s="137"/>
      <c r="V69" s="28"/>
      <c r="W69" s="28"/>
      <c r="X69" s="28"/>
      <c r="Y69" s="184"/>
    </row>
    <row r="70" spans="1:25" ht="21" customHeight="1" thickBot="1">
      <c r="A70" s="421" t="s">
        <v>0</v>
      </c>
      <c r="B70" s="424">
        <v>0.37</v>
      </c>
      <c r="D70" s="183"/>
      <c r="E70" s="28"/>
      <c r="F70" s="27"/>
      <c r="G70" s="28"/>
      <c r="H70" s="28"/>
      <c r="I70" s="28"/>
      <c r="J70" s="60"/>
      <c r="K70" s="28"/>
      <c r="L70" s="28"/>
      <c r="M70" s="28"/>
      <c r="N70" s="28"/>
      <c r="O70" s="28"/>
      <c r="P70" s="150"/>
      <c r="Q70" s="139" t="str">
        <f ca="1">INDIRECT("'"&amp;Cover!$E$4&amp;"'!"&amp;CELL("address",B114))</f>
        <v>Select year to see estimate</v>
      </c>
      <c r="R70" s="355">
        <v>2021</v>
      </c>
      <c r="S70" s="136"/>
      <c r="T70" s="173">
        <f>IFERROR(HLOOKUP($R$70,'Full Results'!$E$6:$Z$168,91),"NA")</f>
        <v>304.30760248742081</v>
      </c>
      <c r="U70" s="137"/>
      <c r="V70" s="28"/>
      <c r="W70" s="28"/>
      <c r="X70" s="28"/>
      <c r="Y70" s="184"/>
    </row>
    <row r="71" spans="1:25" ht="21" customHeight="1">
      <c r="A71" s="421" t="s">
        <v>365</v>
      </c>
      <c r="B71" s="424">
        <v>0.38</v>
      </c>
      <c r="D71" s="183"/>
      <c r="E71" s="28"/>
      <c r="F71" s="27"/>
      <c r="G71" s="28"/>
      <c r="H71" s="28"/>
      <c r="I71" s="28"/>
      <c r="J71" s="60"/>
      <c r="K71" s="28"/>
      <c r="L71" s="28"/>
      <c r="M71" s="28"/>
      <c r="N71" s="28"/>
      <c r="O71" s="28"/>
      <c r="P71" s="150"/>
      <c r="Q71" s="136"/>
      <c r="R71" s="136"/>
      <c r="S71" s="136"/>
      <c r="T71" s="136"/>
      <c r="U71" s="137"/>
      <c r="V71" s="28"/>
      <c r="W71" s="28"/>
      <c r="X71" s="28"/>
      <c r="Y71" s="184"/>
    </row>
    <row r="72" spans="1:25" ht="21" customHeight="1">
      <c r="A72" s="421" t="s">
        <v>184</v>
      </c>
      <c r="B72" s="424">
        <v>0.39</v>
      </c>
      <c r="D72" s="183"/>
      <c r="E72" s="28"/>
      <c r="F72" s="27"/>
      <c r="G72" s="28"/>
      <c r="H72" s="28"/>
      <c r="I72" s="28"/>
      <c r="J72" s="28"/>
      <c r="K72" s="28"/>
      <c r="L72" s="28"/>
      <c r="M72" s="28"/>
      <c r="N72" s="28"/>
      <c r="O72" s="28"/>
      <c r="P72" s="150"/>
      <c r="Q72" s="136"/>
      <c r="R72" s="136"/>
      <c r="S72" s="136"/>
      <c r="T72" s="136"/>
      <c r="U72" s="137"/>
      <c r="V72" s="28"/>
      <c r="W72" s="28"/>
      <c r="X72" s="28"/>
      <c r="Y72" s="184"/>
    </row>
    <row r="73" spans="1:25" ht="21" customHeight="1" thickBot="1">
      <c r="A73" s="423" t="s">
        <v>143</v>
      </c>
      <c r="B73" s="424">
        <v>0.4</v>
      </c>
      <c r="D73" s="183"/>
      <c r="E73" s="28"/>
      <c r="F73" s="27"/>
      <c r="G73" s="28"/>
      <c r="H73" s="28"/>
      <c r="I73" s="28"/>
      <c r="J73" s="28"/>
      <c r="K73" s="60"/>
      <c r="L73" s="60"/>
      <c r="M73" s="60"/>
      <c r="N73" s="28"/>
      <c r="O73" s="66"/>
      <c r="P73" s="150"/>
      <c r="Q73" s="297" t="str">
        <f ca="1">INDIRECT("'"&amp;Cover!$E$4&amp;"'!"&amp;CELL("address",B132))</f>
        <v>Neonatal deaths averted</v>
      </c>
      <c r="R73" s="297"/>
      <c r="S73" s="297"/>
      <c r="T73" s="297"/>
      <c r="U73" s="137"/>
      <c r="V73" s="28"/>
      <c r="W73" s="28"/>
      <c r="X73" s="28"/>
      <c r="Y73" s="184"/>
    </row>
    <row r="74" spans="1:25" ht="21" customHeight="1" thickBot="1">
      <c r="A74" s="421" t="s">
        <v>185</v>
      </c>
      <c r="B74" s="424">
        <v>0.41</v>
      </c>
      <c r="D74" s="183"/>
      <c r="E74" s="28"/>
      <c r="F74" s="27"/>
      <c r="G74" s="28"/>
      <c r="H74" s="28"/>
      <c r="I74" s="28"/>
      <c r="J74" s="28"/>
      <c r="K74" s="60"/>
      <c r="L74" s="60"/>
      <c r="M74" s="60"/>
      <c r="N74" s="28"/>
      <c r="O74" s="66"/>
      <c r="P74" s="150"/>
      <c r="Q74" s="298" t="str">
        <f ca="1">INDIRECT("'"&amp;Cover!$E$4&amp;"'!"&amp;CELL("address",B114))</f>
        <v>Select year to see estimate</v>
      </c>
      <c r="R74" s="355">
        <v>2021</v>
      </c>
      <c r="S74" s="299"/>
      <c r="T74" s="173">
        <f>IFERROR(HLOOKUP($R$74,'Full Results'!$E$6:$Z$168,92),"NA")</f>
        <v>74.736294099386669</v>
      </c>
      <c r="U74" s="151"/>
      <c r="V74" s="28"/>
      <c r="W74" s="28"/>
      <c r="X74" s="28"/>
      <c r="Y74" s="184"/>
    </row>
    <row r="75" spans="1:25" ht="21" customHeight="1">
      <c r="A75" s="423" t="s">
        <v>142</v>
      </c>
      <c r="B75" s="424">
        <v>0.42</v>
      </c>
      <c r="D75" s="183"/>
      <c r="E75" s="28"/>
      <c r="F75" s="27"/>
      <c r="G75" s="28"/>
      <c r="H75" s="28"/>
      <c r="I75" s="28"/>
      <c r="J75" s="28"/>
      <c r="K75" s="60"/>
      <c r="L75" s="60"/>
      <c r="M75" s="60"/>
      <c r="N75" s="28"/>
      <c r="O75" s="28"/>
      <c r="P75" s="150"/>
      <c r="Q75" s="136"/>
      <c r="R75" s="136"/>
      <c r="S75" s="136"/>
      <c r="T75" s="136"/>
      <c r="U75" s="151"/>
      <c r="V75" s="60"/>
      <c r="W75" s="60"/>
      <c r="X75" s="28"/>
      <c r="Y75" s="184"/>
    </row>
    <row r="76" spans="1:25" ht="21" customHeight="1">
      <c r="A76" s="421" t="s">
        <v>366</v>
      </c>
      <c r="B76" s="424">
        <v>0.43</v>
      </c>
      <c r="D76" s="183"/>
      <c r="E76" s="28"/>
      <c r="F76" s="27"/>
      <c r="G76" s="28"/>
      <c r="H76" s="28"/>
      <c r="I76" s="28"/>
      <c r="J76" s="28"/>
      <c r="K76" s="60"/>
      <c r="L76" s="60"/>
      <c r="M76" s="60"/>
      <c r="N76" s="66"/>
      <c r="O76" s="28"/>
      <c r="P76" s="150"/>
      <c r="Q76" s="136"/>
      <c r="R76" s="136"/>
      <c r="S76" s="136"/>
      <c r="T76" s="136"/>
      <c r="U76" s="151"/>
      <c r="V76" s="60"/>
      <c r="W76" s="60"/>
      <c r="X76" s="28"/>
      <c r="Y76" s="184"/>
    </row>
    <row r="77" spans="1:25" ht="21" customHeight="1" thickBot="1">
      <c r="A77" s="421" t="s">
        <v>144</v>
      </c>
      <c r="B77" s="424">
        <v>0.44</v>
      </c>
      <c r="D77" s="185"/>
      <c r="E77" s="60"/>
      <c r="F77" s="27"/>
      <c r="G77" s="28"/>
      <c r="H77" s="60"/>
      <c r="I77" s="60"/>
      <c r="J77" s="60"/>
      <c r="K77" s="60"/>
      <c r="L77" s="60"/>
      <c r="M77" s="60"/>
      <c r="N77" s="66"/>
      <c r="O77" s="28"/>
      <c r="P77" s="150"/>
      <c r="Q77" s="297" t="str">
        <f ca="1">INDIRECT("'"&amp;Cover!$E$4&amp;"'!"&amp;CELL("address",B133))</f>
        <v>Premature / low birth weight cases averted</v>
      </c>
      <c r="R77" s="297"/>
      <c r="S77" s="297"/>
      <c r="T77" s="297"/>
      <c r="U77" s="151"/>
      <c r="V77" s="60"/>
      <c r="W77" s="60"/>
      <c r="X77" s="28"/>
      <c r="Y77" s="184"/>
    </row>
    <row r="78" spans="1:25" ht="21" customHeight="1" thickBot="1">
      <c r="A78" s="421" t="s">
        <v>186</v>
      </c>
      <c r="B78" s="424">
        <v>0.45</v>
      </c>
      <c r="D78" s="185"/>
      <c r="E78" s="60"/>
      <c r="F78" s="27"/>
      <c r="G78" s="28"/>
      <c r="H78" s="60"/>
      <c r="I78" s="60"/>
      <c r="J78" s="60"/>
      <c r="K78" s="60"/>
      <c r="L78" s="60"/>
      <c r="M78" s="60"/>
      <c r="N78" s="28"/>
      <c r="O78" s="28"/>
      <c r="P78" s="150"/>
      <c r="Q78" s="298" t="str">
        <f ca="1">INDIRECT("'"&amp;Cover!$E$4&amp;"'!"&amp;CELL("address",B114))</f>
        <v>Select year to see estimate</v>
      </c>
      <c r="R78" s="355">
        <v>2021</v>
      </c>
      <c r="S78" s="299"/>
      <c r="T78" s="173">
        <f>IFERROR(HLOOKUP($R$78,'Full Results'!$E$6:$Z$168,93),"NA")</f>
        <v>43.556045832099812</v>
      </c>
      <c r="U78" s="151"/>
      <c r="V78" s="60"/>
      <c r="W78" s="60"/>
      <c r="X78" s="28"/>
      <c r="Y78" s="184"/>
    </row>
    <row r="79" spans="1:25" ht="21" customHeight="1">
      <c r="A79" s="421" t="s">
        <v>187</v>
      </c>
      <c r="B79" s="424">
        <v>0.46</v>
      </c>
      <c r="D79" s="185"/>
      <c r="E79" s="128"/>
      <c r="F79" s="125"/>
      <c r="G79" s="60"/>
      <c r="H79" s="60"/>
      <c r="I79" s="60"/>
      <c r="J79" s="60"/>
      <c r="K79" s="60"/>
      <c r="L79" s="60"/>
      <c r="M79" s="60"/>
      <c r="N79" s="28"/>
      <c r="O79" s="28"/>
      <c r="P79" s="150"/>
      <c r="Q79" s="136"/>
      <c r="R79" s="136"/>
      <c r="S79" s="136"/>
      <c r="T79" s="136"/>
      <c r="U79" s="151"/>
      <c r="V79" s="60"/>
      <c r="W79" s="60"/>
      <c r="X79" s="28"/>
      <c r="Y79" s="184"/>
    </row>
    <row r="80" spans="1:25" ht="21" customHeight="1">
      <c r="A80" s="421" t="s">
        <v>188</v>
      </c>
      <c r="B80" s="424">
        <v>0.47</v>
      </c>
      <c r="D80" s="288"/>
      <c r="E80" s="97"/>
      <c r="F80" s="98"/>
      <c r="G80" s="99"/>
      <c r="H80" s="99"/>
      <c r="I80" s="60"/>
      <c r="J80" s="60"/>
      <c r="K80" s="60"/>
      <c r="L80" s="60"/>
      <c r="M80" s="60"/>
      <c r="N80" s="28"/>
      <c r="O80" s="28"/>
      <c r="P80" s="150"/>
      <c r="Q80" s="136"/>
      <c r="R80" s="136"/>
      <c r="S80" s="136"/>
      <c r="T80" s="136"/>
      <c r="U80" s="151"/>
      <c r="V80" s="60"/>
      <c r="W80" s="60"/>
      <c r="X80" s="28"/>
      <c r="Y80" s="184"/>
    </row>
    <row r="81" spans="1:27" ht="28" customHeight="1" thickBot="1">
      <c r="A81" s="421" t="s">
        <v>124</v>
      </c>
      <c r="B81" s="424">
        <v>0.48</v>
      </c>
      <c r="D81" s="185"/>
      <c r="E81" s="804" t="str">
        <f ca="1">INDIRECT("'"&amp;Cover!$E$4&amp;"'!"&amp;CELL("address",B127))</f>
        <v>(Figure 4) Congenital syphilis (CS) cases averted due to increases in treatment</v>
      </c>
      <c r="F81" s="804"/>
      <c r="G81" s="804"/>
      <c r="H81" s="804"/>
      <c r="I81" s="804"/>
      <c r="J81" s="804"/>
      <c r="K81" s="60"/>
      <c r="L81" s="60"/>
      <c r="M81" s="60"/>
      <c r="N81" s="28"/>
      <c r="O81" s="28"/>
      <c r="P81" s="150"/>
      <c r="Q81" s="297" t="str">
        <f ca="1">INDIRECT("'"&amp;Cover!$E$4&amp;"'!"&amp;CELL("address",B134))</f>
        <v>Clinical congenital syphilis (CS) cases averted</v>
      </c>
      <c r="R81" s="297"/>
      <c r="S81" s="297"/>
      <c r="T81" s="297"/>
      <c r="U81" s="151"/>
      <c r="V81" s="28"/>
      <c r="W81" s="60"/>
      <c r="X81" s="28"/>
      <c r="Y81" s="184"/>
    </row>
    <row r="82" spans="1:27" ht="28" customHeight="1" thickBot="1">
      <c r="A82" s="421" t="s">
        <v>125</v>
      </c>
      <c r="B82" s="425">
        <v>0.49</v>
      </c>
      <c r="D82" s="185"/>
      <c r="E82" s="804"/>
      <c r="F82" s="804"/>
      <c r="G82" s="804"/>
      <c r="H82" s="804"/>
      <c r="I82" s="804"/>
      <c r="J82" s="804"/>
      <c r="K82" s="60"/>
      <c r="L82" s="60"/>
      <c r="M82" s="60"/>
      <c r="N82" s="28"/>
      <c r="O82" s="60"/>
      <c r="P82" s="150"/>
      <c r="Q82" s="298" t="str">
        <f ca="1">INDIRECT("'"&amp;Cover!$E$4&amp;"'!"&amp;CELL("address",B114))</f>
        <v>Select year to see estimate</v>
      </c>
      <c r="R82" s="355">
        <v>2021</v>
      </c>
      <c r="S82" s="299"/>
      <c r="T82" s="173">
        <f>IFERROR(HLOOKUP($R$82,'Full Results'!$E$6:$Z$168,94),"NA")</f>
        <v>141.21026422512637</v>
      </c>
      <c r="U82" s="151"/>
      <c r="V82" s="28"/>
      <c r="W82" s="60"/>
      <c r="X82" s="28"/>
      <c r="Y82" s="184"/>
    </row>
    <row r="83" spans="1:27" ht="27" customHeight="1">
      <c r="B83" s="424">
        <v>0.5</v>
      </c>
      <c r="D83" s="185"/>
      <c r="F83" s="126"/>
      <c r="G83" s="60"/>
      <c r="H83" s="84"/>
      <c r="I83" s="60"/>
      <c r="J83" s="60"/>
      <c r="K83" s="60"/>
      <c r="L83" s="60"/>
      <c r="M83" s="60"/>
      <c r="N83" s="28"/>
      <c r="O83" s="60"/>
      <c r="P83" s="150"/>
      <c r="Q83" s="136"/>
      <c r="R83" s="136"/>
      <c r="S83" s="136"/>
      <c r="T83" s="136"/>
      <c r="U83" s="151"/>
      <c r="V83" s="28"/>
      <c r="W83" s="60"/>
      <c r="X83" s="28"/>
      <c r="Y83" s="184"/>
    </row>
    <row r="84" spans="1:27" ht="21" customHeight="1">
      <c r="B84" s="424">
        <v>0.51</v>
      </c>
      <c r="C84" s="481"/>
      <c r="D84" s="185"/>
      <c r="E84" s="60"/>
      <c r="F84" s="129"/>
      <c r="G84" s="60"/>
      <c r="H84" s="84"/>
      <c r="I84" s="60"/>
      <c r="J84" s="60"/>
      <c r="K84" s="60"/>
      <c r="L84" s="60"/>
      <c r="M84" s="60"/>
      <c r="N84" s="28"/>
      <c r="O84" s="28"/>
      <c r="P84" s="150"/>
      <c r="Q84" s="136"/>
      <c r="R84" s="136"/>
      <c r="S84" s="136"/>
      <c r="T84" s="136"/>
      <c r="U84" s="151"/>
      <c r="V84" s="28"/>
      <c r="W84" s="60"/>
      <c r="X84" s="28"/>
      <c r="Y84" s="184"/>
    </row>
    <row r="85" spans="1:27" ht="21" customHeight="1" thickBot="1">
      <c r="B85" s="424">
        <v>0.52</v>
      </c>
      <c r="C85" s="481"/>
      <c r="D85" s="185"/>
      <c r="E85" s="120"/>
      <c r="F85" s="126"/>
      <c r="G85" s="60"/>
      <c r="H85" s="85"/>
      <c r="I85" s="60"/>
      <c r="J85" s="60"/>
      <c r="K85" s="28"/>
      <c r="L85" s="60"/>
      <c r="M85" s="60"/>
      <c r="N85" s="60"/>
      <c r="O85" s="28"/>
      <c r="P85" s="150"/>
      <c r="Q85" s="297" t="str">
        <f ca="1">INDIRECT("'"&amp;Cover!$E$4&amp;"'!"&amp;CELL("address",B135))</f>
        <v>Non-clinical congenital syphilis (CS) cases averted *</v>
      </c>
      <c r="R85" s="136"/>
      <c r="S85" s="136"/>
      <c r="T85" s="136"/>
      <c r="U85" s="151"/>
      <c r="V85" s="28"/>
      <c r="W85" s="60"/>
      <c r="X85" s="28"/>
      <c r="Y85" s="184"/>
    </row>
    <row r="86" spans="1:27" ht="21" customHeight="1" thickBot="1">
      <c r="B86" s="424">
        <v>0.53</v>
      </c>
      <c r="C86" s="481"/>
      <c r="D86" s="185"/>
      <c r="E86" s="28"/>
      <c r="F86" s="27"/>
      <c r="G86" s="28"/>
      <c r="H86" s="28"/>
      <c r="I86" s="28"/>
      <c r="J86" s="28"/>
      <c r="K86" s="28"/>
      <c r="L86" s="28"/>
      <c r="M86" s="28"/>
      <c r="N86" s="60"/>
      <c r="O86" s="28"/>
      <c r="P86" s="150"/>
      <c r="Q86" s="298" t="str">
        <f ca="1">INDIRECT("'"&amp;Cover!$E$4&amp;"'!"&amp;CELL("address",B114))</f>
        <v>Select year to see estimate</v>
      </c>
      <c r="R86" s="355">
        <v>2021</v>
      </c>
      <c r="S86" s="299"/>
      <c r="T86" s="173">
        <f>IFERROR(HLOOKUP($R$86,'Full Results'!$E$6:$Z$168,95),"NA")</f>
        <v>470.88496818146632</v>
      </c>
      <c r="U86" s="151"/>
      <c r="V86" s="28"/>
      <c r="W86" s="60"/>
      <c r="X86" s="28"/>
      <c r="Y86" s="184"/>
    </row>
    <row r="87" spans="1:27" ht="21" customHeight="1">
      <c r="B87" s="424">
        <v>0.54</v>
      </c>
      <c r="C87" s="481"/>
      <c r="D87" s="185"/>
      <c r="E87" s="28"/>
      <c r="F87" s="27"/>
      <c r="G87" s="28"/>
      <c r="H87" s="28"/>
      <c r="I87" s="28"/>
      <c r="J87" s="28"/>
      <c r="K87" s="28"/>
      <c r="L87" s="28"/>
      <c r="M87" s="28"/>
      <c r="N87" s="28"/>
      <c r="O87" s="60"/>
      <c r="P87" s="150"/>
      <c r="Q87" s="136"/>
      <c r="R87" s="136"/>
      <c r="S87" s="136"/>
      <c r="T87" s="136"/>
      <c r="U87" s="151"/>
      <c r="V87" s="28"/>
      <c r="W87" s="60"/>
      <c r="X87" s="28"/>
      <c r="Y87" s="184"/>
    </row>
    <row r="88" spans="1:27" ht="21" customHeight="1">
      <c r="B88" s="424">
        <v>0.55000000000000004</v>
      </c>
      <c r="C88" s="481"/>
      <c r="D88" s="185"/>
      <c r="E88" s="28"/>
      <c r="F88" s="27"/>
      <c r="G88" s="28"/>
      <c r="H88" s="28"/>
      <c r="I88" s="28"/>
      <c r="J88" s="28"/>
      <c r="K88" s="28"/>
      <c r="L88" s="28"/>
      <c r="M88" s="28"/>
      <c r="N88" s="28"/>
      <c r="O88" s="60"/>
      <c r="P88" s="150"/>
      <c r="Q88" s="136"/>
      <c r="R88" s="136"/>
      <c r="S88" s="136"/>
      <c r="T88" s="136"/>
      <c r="U88" s="151"/>
      <c r="V88" s="28"/>
      <c r="W88" s="28"/>
      <c r="X88" s="28"/>
      <c r="Y88" s="184"/>
    </row>
    <row r="89" spans="1:27" ht="21" customHeight="1" thickBot="1">
      <c r="B89" s="424">
        <v>0.56000000000000005</v>
      </c>
      <c r="C89" s="481"/>
      <c r="D89" s="183"/>
      <c r="E89" s="28"/>
      <c r="F89" s="27"/>
      <c r="G89" s="28"/>
      <c r="H89" s="28"/>
      <c r="I89" s="28"/>
      <c r="J89" s="28"/>
      <c r="K89" s="28"/>
      <c r="L89" s="28"/>
      <c r="M89" s="28"/>
      <c r="N89" s="28"/>
      <c r="O89" s="60"/>
      <c r="P89" s="150"/>
      <c r="Q89" s="297" t="str">
        <f ca="1">INDIRECT("'"&amp;Cover!$E$4&amp;"'!"&amp;CELL("address",B136))</f>
        <v>Total congenital syphilis (CS) cases averted **</v>
      </c>
      <c r="R89" s="136"/>
      <c r="S89" s="136"/>
      <c r="T89" s="136"/>
      <c r="U89" s="151"/>
      <c r="V89" s="28"/>
      <c r="W89" s="28"/>
      <c r="X89" s="28"/>
      <c r="Y89" s="184"/>
    </row>
    <row r="90" spans="1:27" ht="21" customHeight="1" thickBot="1">
      <c r="B90" s="424">
        <v>0.56999999999999995</v>
      </c>
      <c r="C90" s="481"/>
      <c r="D90" s="183"/>
      <c r="E90" s="28"/>
      <c r="F90" s="27"/>
      <c r="G90" s="28"/>
      <c r="H90" s="28"/>
      <c r="I90" s="28"/>
      <c r="J90" s="28"/>
      <c r="K90" s="28"/>
      <c r="L90" s="28"/>
      <c r="M90" s="28"/>
      <c r="N90" s="28"/>
      <c r="O90" s="60"/>
      <c r="P90" s="150"/>
      <c r="Q90" s="298" t="str">
        <f ca="1">INDIRECT("'"&amp;Cover!$E$4&amp;"'!"&amp;CELL("address",B114))</f>
        <v>Select year to see estimate</v>
      </c>
      <c r="R90" s="355">
        <v>2021</v>
      </c>
      <c r="S90" s="299"/>
      <c r="T90" s="173">
        <f>IFERROR(HLOOKUP($R$90,'Full Results'!$E$6:$Z$168,96),"NA")</f>
        <v>1034.6951748254978</v>
      </c>
      <c r="U90" s="151"/>
      <c r="V90" s="28"/>
      <c r="W90" s="28"/>
      <c r="X90" s="28"/>
      <c r="Y90" s="184"/>
      <c r="AA90" s="1"/>
    </row>
    <row r="91" spans="1:27" ht="21" customHeight="1">
      <c r="B91" s="424">
        <v>0.57999999999999996</v>
      </c>
      <c r="C91" s="481"/>
      <c r="D91" s="183"/>
      <c r="E91" s="28"/>
      <c r="F91" s="27"/>
      <c r="G91" s="28"/>
      <c r="H91" s="28"/>
      <c r="I91" s="28"/>
      <c r="J91" s="28"/>
      <c r="K91" s="28"/>
      <c r="L91" s="28"/>
      <c r="M91" s="28"/>
      <c r="N91" s="28"/>
      <c r="O91" s="60"/>
      <c r="P91" s="150"/>
      <c r="Q91" s="136"/>
      <c r="R91" s="136"/>
      <c r="S91" s="136"/>
      <c r="T91" s="136"/>
      <c r="U91" s="151"/>
      <c r="V91" s="28"/>
      <c r="W91" s="28"/>
      <c r="X91" s="28"/>
      <c r="Y91" s="184"/>
      <c r="AA91" s="1"/>
    </row>
    <row r="92" spans="1:27" ht="21" customHeight="1">
      <c r="B92" s="424">
        <v>0.59</v>
      </c>
      <c r="C92" s="481"/>
      <c r="D92" s="183"/>
      <c r="E92" s="120"/>
      <c r="F92" s="126"/>
      <c r="G92" s="60"/>
      <c r="H92" s="84"/>
      <c r="I92" s="60"/>
      <c r="J92" s="60"/>
      <c r="K92" s="28"/>
      <c r="L92" s="60"/>
      <c r="M92" s="60"/>
      <c r="N92" s="28"/>
      <c r="O92" s="286"/>
      <c r="P92" s="150"/>
      <c r="Q92" s="136"/>
      <c r="R92" s="136"/>
      <c r="S92" s="136"/>
      <c r="T92" s="136"/>
      <c r="U92" s="151"/>
      <c r="V92" s="28"/>
      <c r="W92" s="28"/>
      <c r="X92" s="28"/>
      <c r="Y92" s="184"/>
      <c r="AA92" s="1"/>
    </row>
    <row r="93" spans="1:27" ht="17" customHeight="1">
      <c r="B93" s="424">
        <v>0.6</v>
      </c>
      <c r="C93" s="481"/>
      <c r="D93" s="183"/>
      <c r="E93" s="128"/>
      <c r="F93" s="129"/>
      <c r="G93" s="60"/>
      <c r="H93" s="60"/>
      <c r="I93" s="60"/>
      <c r="J93" s="60"/>
      <c r="K93" s="28"/>
      <c r="L93" s="60"/>
      <c r="M93" s="60"/>
      <c r="N93" s="28"/>
      <c r="O93" s="60"/>
      <c r="P93" s="152"/>
      <c r="Q93" s="153"/>
      <c r="R93" s="153"/>
      <c r="S93" s="153"/>
      <c r="T93" s="154"/>
      <c r="U93" s="155"/>
      <c r="V93" s="28"/>
      <c r="W93" s="28"/>
      <c r="X93" s="28"/>
      <c r="Y93" s="184"/>
      <c r="AA93" s="1"/>
    </row>
    <row r="94" spans="1:27" ht="30" customHeight="1">
      <c r="B94" s="424">
        <v>0.61</v>
      </c>
      <c r="C94" s="481"/>
      <c r="D94" s="183"/>
      <c r="E94" s="60"/>
      <c r="F94" s="129"/>
      <c r="G94" s="60"/>
      <c r="H94" s="85"/>
      <c r="I94" s="60"/>
      <c r="J94" s="60"/>
      <c r="K94" s="28"/>
      <c r="L94" s="60"/>
      <c r="M94" s="60"/>
      <c r="N94" s="28"/>
      <c r="O94" s="286"/>
      <c r="V94" s="60"/>
      <c r="W94" s="60"/>
      <c r="X94" s="28"/>
      <c r="Y94" s="184"/>
      <c r="AA94" s="1"/>
    </row>
    <row r="95" spans="1:27" ht="47" customHeight="1">
      <c r="B95" s="424">
        <v>0.62</v>
      </c>
      <c r="C95" s="481"/>
      <c r="D95" s="185"/>
      <c r="N95" s="28"/>
      <c r="O95" s="286"/>
      <c r="P95" s="793" t="str">
        <f ca="1">INDIRECT("'"&amp;Cover!$E$4&amp;"'!"&amp;CELL("address",B137))</f>
        <v>* By WHO case definition, all infants born to untreated women with syphilis are considered CS cases,  those without clinical signs (asymptomatic) at the time of delivery are called “non-clinical CS” .  WHO CS case definition can be found in the WHO Global Guidance on Criteria and Processes for Validation of Elimination of Mother to Child transmission of HIV and Syphilis. This number excludes infants that incur neonatal death, stillbirth or are born with clinical CS.</v>
      </c>
      <c r="Q95" s="793"/>
      <c r="R95" s="793"/>
      <c r="S95" s="793"/>
      <c r="T95" s="793"/>
      <c r="U95" s="793"/>
      <c r="V95" s="60"/>
      <c r="W95" s="60"/>
      <c r="X95" s="28"/>
      <c r="Y95" s="184"/>
      <c r="AA95" s="1"/>
    </row>
    <row r="96" spans="1:27" ht="44" customHeight="1">
      <c r="B96" s="424">
        <v>0.63</v>
      </c>
      <c r="C96" s="481"/>
      <c r="D96" s="185"/>
      <c r="N96" s="28"/>
      <c r="O96" s="60"/>
      <c r="P96" s="806" t="str">
        <f ca="1">INDIRECT("'"&amp;Cover!$E$4&amp;"'!"&amp;CELL("address",B138))</f>
        <v>** Non-clinical Cs cases (asymptomatic) born to untreated women (CS cases by WHO case definition) are also included</v>
      </c>
      <c r="Q96" s="806"/>
      <c r="R96" s="806"/>
      <c r="S96" s="806"/>
      <c r="T96" s="806"/>
      <c r="U96" s="806"/>
      <c r="V96" s="60"/>
      <c r="W96" s="60"/>
      <c r="X96" s="28"/>
      <c r="Y96" s="184"/>
    </row>
    <row r="97" spans="2:25" ht="17" customHeight="1">
      <c r="B97" s="424">
        <v>0.64</v>
      </c>
      <c r="C97" s="481"/>
      <c r="D97" s="185"/>
      <c r="N97" s="28"/>
      <c r="Q97" s="357"/>
      <c r="R97" s="357"/>
      <c r="S97" s="357"/>
      <c r="T97" s="357"/>
      <c r="U97" s="357"/>
      <c r="Y97" s="184"/>
    </row>
    <row r="98" spans="2:25" ht="17" customHeight="1" thickBot="1">
      <c r="B98" s="424">
        <v>0.65</v>
      </c>
      <c r="C98" s="481"/>
      <c r="D98" s="289"/>
      <c r="E98" s="290"/>
      <c r="F98" s="291"/>
      <c r="G98" s="271"/>
      <c r="H98" s="292"/>
      <c r="I98" s="271"/>
      <c r="J98" s="271"/>
      <c r="K98" s="188"/>
      <c r="L98" s="271"/>
      <c r="M98" s="271"/>
      <c r="N98" s="188"/>
      <c r="O98" s="188"/>
      <c r="P98" s="271"/>
      <c r="Q98" s="271"/>
      <c r="R98" s="188"/>
      <c r="S98" s="188"/>
      <c r="T98" s="188"/>
      <c r="U98" s="188"/>
      <c r="V98" s="271"/>
      <c r="W98" s="271"/>
      <c r="X98" s="188"/>
      <c r="Y98" s="190"/>
    </row>
    <row r="99" spans="2:25" ht="28" customHeight="1">
      <c r="B99" s="424">
        <v>0.66</v>
      </c>
      <c r="C99" s="481"/>
    </row>
    <row r="100" spans="2:25" ht="17" customHeight="1">
      <c r="B100" s="424">
        <v>0.67</v>
      </c>
      <c r="C100" s="481"/>
    </row>
    <row r="101" spans="2:25" ht="22" customHeight="1">
      <c r="B101" s="424">
        <v>0.68</v>
      </c>
      <c r="C101" s="481"/>
    </row>
    <row r="102" spans="2:25" ht="17" customHeight="1">
      <c r="B102" s="424">
        <v>0.69</v>
      </c>
      <c r="C102" s="481"/>
      <c r="D102" s="60"/>
      <c r="E102" s="60"/>
      <c r="F102" s="129"/>
      <c r="G102" s="60"/>
      <c r="H102" s="60"/>
      <c r="I102" s="60"/>
      <c r="J102" s="60"/>
      <c r="L102" s="60"/>
      <c r="M102" s="60"/>
      <c r="N102" s="60"/>
      <c r="O102" s="60"/>
      <c r="P102" s="60"/>
      <c r="Q102" s="60"/>
    </row>
    <row r="103" spans="2:25" ht="29" customHeight="1" thickBot="1">
      <c r="B103" s="424">
        <v>0.7</v>
      </c>
      <c r="C103" s="481"/>
      <c r="D103" s="287" t="str">
        <f ca="1">INDIRECT("'"&amp;Cover!$E$4&amp;"'!"&amp;CELL("address",B140))</f>
        <v>Step 6. View benzathine penicillin requirements</v>
      </c>
      <c r="E103" s="60"/>
      <c r="F103" s="125"/>
      <c r="G103" s="63"/>
      <c r="H103" s="59"/>
      <c r="I103" s="60"/>
      <c r="J103" s="60"/>
      <c r="L103" s="60"/>
      <c r="M103" s="60"/>
      <c r="N103" s="60"/>
      <c r="O103" s="60"/>
      <c r="P103" s="60"/>
      <c r="Q103" s="60"/>
    </row>
    <row r="104" spans="2:25" ht="39" customHeight="1">
      <c r="B104" s="424">
        <v>0.71</v>
      </c>
      <c r="C104" s="481"/>
      <c r="D104" s="293"/>
      <c r="E104" s="294"/>
      <c r="F104" s="295"/>
      <c r="G104" s="270"/>
      <c r="H104" s="296"/>
      <c r="I104" s="270"/>
      <c r="J104" s="270"/>
      <c r="K104" s="180"/>
      <c r="L104" s="270"/>
      <c r="M104" s="270"/>
      <c r="N104" s="270"/>
      <c r="O104" s="270"/>
      <c r="P104" s="270"/>
      <c r="Q104" s="270"/>
      <c r="R104" s="180"/>
      <c r="S104" s="180"/>
      <c r="T104" s="180"/>
      <c r="U104" s="180"/>
      <c r="V104" s="180"/>
      <c r="W104" s="180"/>
      <c r="X104" s="180"/>
      <c r="Y104" s="182"/>
    </row>
    <row r="105" spans="2:25" ht="17" customHeight="1">
      <c r="B105" s="424">
        <v>0.72</v>
      </c>
      <c r="C105" s="481"/>
      <c r="D105" s="185"/>
      <c r="E105" s="60"/>
      <c r="F105" s="125"/>
      <c r="G105" s="60"/>
      <c r="H105" s="60"/>
      <c r="I105" s="60"/>
      <c r="J105" s="60"/>
      <c r="K105" s="28"/>
      <c r="L105" s="60"/>
      <c r="M105" s="60"/>
      <c r="N105" s="60"/>
      <c r="O105" s="60"/>
      <c r="P105" s="97"/>
      <c r="Q105" s="97"/>
      <c r="R105" s="28"/>
      <c r="S105" s="28"/>
      <c r="T105" s="28"/>
      <c r="U105" s="28"/>
      <c r="V105" s="28"/>
      <c r="W105" s="28"/>
      <c r="X105" s="28"/>
      <c r="Y105" s="184"/>
    </row>
    <row r="106" spans="2:25" ht="19" customHeight="1">
      <c r="B106" s="424">
        <v>0.73</v>
      </c>
      <c r="C106" s="481"/>
      <c r="D106" s="185"/>
      <c r="E106" s="60"/>
      <c r="F106" s="133"/>
      <c r="G106" s="60"/>
      <c r="H106" s="60"/>
      <c r="I106" s="60"/>
      <c r="J106" s="60"/>
      <c r="K106" s="28"/>
      <c r="L106" s="121"/>
      <c r="M106" s="122"/>
      <c r="N106" s="60"/>
      <c r="O106" s="60"/>
      <c r="P106" s="60"/>
      <c r="Q106" s="123"/>
      <c r="R106" s="28"/>
      <c r="S106" s="28"/>
      <c r="T106" s="28"/>
      <c r="U106" s="28"/>
      <c r="V106" s="28"/>
      <c r="W106" s="28"/>
      <c r="X106" s="28"/>
      <c r="Y106" s="184"/>
    </row>
    <row r="107" spans="2:25" ht="66" customHeight="1">
      <c r="B107" s="424">
        <v>0.74</v>
      </c>
      <c r="C107" s="481"/>
      <c r="D107" s="185"/>
      <c r="E107" s="804" t="str">
        <f ca="1">INDIRECT("'"&amp;Cover!$E$4&amp;"'!"&amp;CELL("address",B141))</f>
        <v>(Figure 5) Number of benzathine penicillin doses needed to treat all maternal syphilis cases</v>
      </c>
      <c r="F107" s="804"/>
      <c r="G107" s="804"/>
      <c r="H107" s="804"/>
      <c r="I107" s="804"/>
      <c r="J107" s="804"/>
      <c r="K107" s="358"/>
      <c r="L107" s="60"/>
      <c r="M107" s="60"/>
      <c r="N107" s="60"/>
      <c r="O107" s="118"/>
      <c r="P107" s="478" t="str">
        <f ca="1">INDIRECT("'"&amp;Cover!$E$4&amp;"'!"&amp;CELL("address",B142))</f>
        <v>(Box D) Penicillin doses needed</v>
      </c>
      <c r="S107" s="28"/>
      <c r="T107" s="28"/>
      <c r="U107" s="28"/>
      <c r="V107" s="28"/>
      <c r="W107" s="28"/>
      <c r="X107" s="28"/>
      <c r="Y107" s="184"/>
    </row>
    <row r="108" spans="2:25" ht="17" customHeight="1">
      <c r="B108" s="424">
        <v>0.75</v>
      </c>
      <c r="C108" s="481"/>
      <c r="D108" s="185"/>
      <c r="E108" s="60"/>
      <c r="F108" s="134"/>
      <c r="G108" s="60"/>
      <c r="H108" s="60"/>
      <c r="I108" s="60"/>
      <c r="J108" s="60"/>
      <c r="K108" s="28"/>
      <c r="L108" s="28"/>
      <c r="M108" s="28"/>
      <c r="N108" s="28"/>
      <c r="O108" s="28"/>
      <c r="Q108" s="60"/>
      <c r="R108" s="112"/>
      <c r="S108" s="112"/>
      <c r="T108" s="143"/>
      <c r="U108" s="144"/>
      <c r="V108" s="28"/>
      <c r="W108" s="28"/>
      <c r="X108" s="28"/>
      <c r="Y108" s="184"/>
    </row>
    <row r="109" spans="2:25" ht="26" customHeight="1">
      <c r="B109" s="424">
        <v>0.76</v>
      </c>
      <c r="C109" s="481"/>
      <c r="D109" s="185"/>
      <c r="E109" s="60"/>
      <c r="F109" s="125"/>
      <c r="G109" s="60"/>
      <c r="H109" s="60"/>
      <c r="I109" s="60"/>
      <c r="J109" s="60"/>
      <c r="K109" s="28"/>
      <c r="L109" s="28"/>
      <c r="M109" s="28"/>
      <c r="N109" s="28"/>
      <c r="O109" s="28"/>
      <c r="P109" s="145"/>
      <c r="Q109" s="146"/>
      <c r="R109" s="147"/>
      <c r="S109" s="148"/>
      <c r="T109" s="148"/>
      <c r="U109" s="149"/>
      <c r="V109" s="28"/>
      <c r="W109" s="28"/>
      <c r="X109" s="28"/>
      <c r="Y109" s="184"/>
    </row>
    <row r="110" spans="2:25" ht="21" customHeight="1" thickBot="1">
      <c r="B110" s="424">
        <v>0.77</v>
      </c>
      <c r="C110" s="481"/>
      <c r="D110" s="185"/>
      <c r="E110" s="60"/>
      <c r="F110" s="125"/>
      <c r="G110" s="60"/>
      <c r="H110" s="60"/>
      <c r="I110" s="60"/>
      <c r="J110" s="60"/>
      <c r="K110" s="28"/>
      <c r="L110" s="28"/>
      <c r="M110" s="28"/>
      <c r="N110" s="28"/>
      <c r="O110" s="28"/>
      <c r="P110" s="150"/>
      <c r="Q110" s="138" t="str">
        <f ca="1">INDIRECT("'"&amp;Cover!$E$4&amp;"'!"&amp;CELL("address",B143))</f>
        <v>Benzathine penicillin doses needed: 1 dose / case</v>
      </c>
      <c r="R110" s="141"/>
      <c r="S110" s="136"/>
      <c r="T110" s="174"/>
      <c r="U110" s="137"/>
      <c r="V110" s="28"/>
      <c r="W110" s="28"/>
      <c r="X110" s="28"/>
      <c r="Y110" s="184"/>
    </row>
    <row r="111" spans="2:25" ht="30" customHeight="1" thickBot="1">
      <c r="B111" s="424">
        <v>0.78</v>
      </c>
      <c r="C111" s="481"/>
      <c r="D111" s="288"/>
      <c r="E111" s="60"/>
      <c r="F111" s="125"/>
      <c r="G111" s="60"/>
      <c r="H111" s="60"/>
      <c r="I111" s="60"/>
      <c r="J111" s="60"/>
      <c r="K111" s="28"/>
      <c r="L111" s="28"/>
      <c r="M111" s="28"/>
      <c r="N111" s="28"/>
      <c r="O111" s="28"/>
      <c r="P111" s="150"/>
      <c r="Q111" s="139" t="str">
        <f ca="1">INDIRECT("'"&amp;Cover!$E$4&amp;"'!"&amp;CELL("address",B114))</f>
        <v>Select year to see estimate</v>
      </c>
      <c r="R111" s="355">
        <v>2020</v>
      </c>
      <c r="S111" s="136"/>
      <c r="T111" s="173">
        <f>IFERROR(HLOOKUP($R$111,'Full Results'!$E$6:$Z$168,27),"NA")</f>
        <v>5836.5429520116459</v>
      </c>
      <c r="U111" s="137"/>
      <c r="V111" s="28"/>
      <c r="W111" s="28"/>
      <c r="X111" s="28"/>
      <c r="Y111" s="184"/>
    </row>
    <row r="112" spans="2:25" ht="24" customHeight="1">
      <c r="B112" s="424">
        <v>0.79</v>
      </c>
      <c r="C112" s="481"/>
      <c r="D112" s="185"/>
      <c r="E112" s="60"/>
      <c r="F112" s="125"/>
      <c r="G112" s="60"/>
      <c r="H112" s="60"/>
      <c r="I112" s="60"/>
      <c r="J112" s="60"/>
      <c r="K112" s="28"/>
      <c r="L112" s="28"/>
      <c r="M112" s="28"/>
      <c r="N112" s="28"/>
      <c r="O112" s="28"/>
      <c r="P112" s="150"/>
      <c r="Q112" s="136"/>
      <c r="R112" s="136"/>
      <c r="S112" s="136"/>
      <c r="T112" s="136"/>
      <c r="U112" s="137"/>
      <c r="V112" s="28"/>
      <c r="W112" s="28"/>
      <c r="X112" s="28"/>
      <c r="Y112" s="184"/>
    </row>
    <row r="113" spans="1:37" ht="23" customHeight="1">
      <c r="B113" s="424">
        <v>0.8</v>
      </c>
      <c r="C113" s="481"/>
      <c r="D113" s="185"/>
      <c r="E113" s="131"/>
      <c r="F113" s="132"/>
      <c r="G113" s="63"/>
      <c r="H113" s="63"/>
      <c r="I113" s="60"/>
      <c r="J113" s="60"/>
      <c r="K113" s="60"/>
      <c r="L113" s="28"/>
      <c r="M113" s="28"/>
      <c r="N113" s="28"/>
      <c r="O113" s="28"/>
      <c r="P113" s="150"/>
      <c r="Q113" s="136"/>
      <c r="R113" s="136"/>
      <c r="S113" s="136"/>
      <c r="T113" s="136"/>
      <c r="U113" s="137"/>
      <c r="V113" s="28"/>
      <c r="W113" s="28"/>
      <c r="X113" s="28"/>
      <c r="Y113" s="184"/>
    </row>
    <row r="114" spans="1:37" ht="17" customHeight="1" thickBot="1">
      <c r="B114" s="424">
        <v>0.81</v>
      </c>
      <c r="C114" s="481"/>
      <c r="D114" s="185"/>
      <c r="E114" s="60"/>
      <c r="F114" s="125"/>
      <c r="G114" s="60"/>
      <c r="H114" s="60"/>
      <c r="I114" s="60"/>
      <c r="J114" s="60"/>
      <c r="K114" s="60"/>
      <c r="L114" s="28"/>
      <c r="M114" s="28"/>
      <c r="N114" s="28"/>
      <c r="O114" s="28"/>
      <c r="P114" s="150"/>
      <c r="Q114" s="138" t="str">
        <f ca="1">INDIRECT("'"&amp;Cover!$E$4&amp;"'!"&amp;CELL("address",B144))</f>
        <v>Benzathine penicillin doses needed: 2 doses / case</v>
      </c>
      <c r="R114" s="141"/>
      <c r="S114" s="136"/>
      <c r="T114" s="174"/>
      <c r="U114" s="137"/>
      <c r="V114" s="28"/>
      <c r="W114" s="28"/>
      <c r="X114" s="28"/>
      <c r="Y114" s="184"/>
      <c r="AD114" s="60"/>
      <c r="AE114" s="64"/>
      <c r="AF114" s="60"/>
      <c r="AG114" s="60"/>
      <c r="AH114" s="60"/>
      <c r="AI114" s="60"/>
      <c r="AJ114" s="60"/>
      <c r="AK114" s="60"/>
    </row>
    <row r="115" spans="1:37" ht="22" customHeight="1" thickBot="1">
      <c r="B115" s="424">
        <v>0.82</v>
      </c>
      <c r="C115" s="481"/>
      <c r="D115" s="185"/>
      <c r="E115" s="60"/>
      <c r="F115" s="125"/>
      <c r="G115" s="60"/>
      <c r="H115" s="135"/>
      <c r="I115" s="60"/>
      <c r="J115" s="60"/>
      <c r="K115" s="60"/>
      <c r="L115" s="28"/>
      <c r="M115" s="28"/>
      <c r="N115" s="28"/>
      <c r="O115" s="28"/>
      <c r="P115" s="150"/>
      <c r="Q115" s="139" t="str">
        <f ca="1">INDIRECT("'"&amp;Cover!$E$4&amp;"'!"&amp;CELL("address",B114))</f>
        <v>Select year to see estimate</v>
      </c>
      <c r="R115" s="355">
        <v>2020</v>
      </c>
      <c r="S115" s="136"/>
      <c r="T115" s="173">
        <f>IFERROR(HLOOKUP($R$115,'Full Results'!$E$6:$Z$168,28),"NA")</f>
        <v>11673.085904023292</v>
      </c>
      <c r="U115" s="137"/>
      <c r="V115" s="28"/>
      <c r="W115" s="28"/>
      <c r="X115" s="28"/>
      <c r="Y115" s="184"/>
      <c r="AD115" s="60"/>
      <c r="AE115" s="64"/>
    </row>
    <row r="116" spans="1:37" ht="21" customHeight="1">
      <c r="A116" s="421" t="s">
        <v>270</v>
      </c>
      <c r="B116" s="424">
        <v>0.83</v>
      </c>
      <c r="C116" s="481"/>
      <c r="D116" s="185"/>
      <c r="E116" s="60"/>
      <c r="F116" s="125"/>
      <c r="G116" s="60"/>
      <c r="H116" s="60"/>
      <c r="I116" s="60"/>
      <c r="J116" s="60"/>
      <c r="K116" s="60"/>
      <c r="L116" s="28"/>
      <c r="M116" s="28"/>
      <c r="N116" s="28"/>
      <c r="O116" s="28"/>
      <c r="P116" s="150"/>
      <c r="Q116" s="136"/>
      <c r="R116" s="136"/>
      <c r="S116" s="136"/>
      <c r="T116" s="136"/>
      <c r="U116" s="137"/>
      <c r="V116" s="28"/>
      <c r="W116" s="28"/>
      <c r="X116" s="28"/>
      <c r="Y116" s="184"/>
      <c r="AD116" s="60"/>
      <c r="AE116" s="64"/>
    </row>
    <row r="117" spans="1:37" ht="20" customHeight="1">
      <c r="A117" s="421" t="s">
        <v>271</v>
      </c>
      <c r="B117" s="424">
        <v>0.84</v>
      </c>
      <c r="C117" s="481"/>
      <c r="D117" s="185"/>
      <c r="E117" s="60"/>
      <c r="F117" s="125"/>
      <c r="G117" s="60"/>
      <c r="H117" s="60"/>
      <c r="I117" s="60"/>
      <c r="J117" s="60"/>
      <c r="K117" s="60"/>
      <c r="L117" s="28"/>
      <c r="M117" s="28"/>
      <c r="N117" s="28"/>
      <c r="O117" s="28"/>
      <c r="P117" s="150"/>
      <c r="Q117" s="136"/>
      <c r="R117" s="136"/>
      <c r="S117" s="136"/>
      <c r="T117" s="136"/>
      <c r="U117" s="137"/>
      <c r="V117" s="28"/>
      <c r="W117" s="28"/>
      <c r="X117" s="28"/>
      <c r="Y117" s="184"/>
      <c r="AD117" s="60"/>
      <c r="AE117" s="64"/>
    </row>
    <row r="118" spans="1:37" ht="28" customHeight="1" thickBot="1">
      <c r="A118" s="421" t="s">
        <v>272</v>
      </c>
      <c r="B118" s="424">
        <v>0.85</v>
      </c>
      <c r="C118" s="481"/>
      <c r="D118" s="185"/>
      <c r="E118" s="60"/>
      <c r="F118" s="125"/>
      <c r="G118" s="60"/>
      <c r="H118" s="60"/>
      <c r="I118" s="60"/>
      <c r="J118" s="60"/>
      <c r="K118" s="60"/>
      <c r="L118" s="28"/>
      <c r="M118" s="28"/>
      <c r="N118" s="28"/>
      <c r="O118" s="28"/>
      <c r="P118" s="150"/>
      <c r="Q118" s="138" t="str">
        <f ca="1">INDIRECT("'"&amp;Cover!$E$4&amp;"'!"&amp;CELL("address",B145))</f>
        <v>Benzathine penicillin doses needed: 3 dose / case</v>
      </c>
      <c r="R118" s="141"/>
      <c r="S118" s="136"/>
      <c r="T118" s="174"/>
      <c r="U118" s="137"/>
      <c r="V118" s="28"/>
      <c r="W118" s="28"/>
      <c r="X118" s="28"/>
      <c r="Y118" s="184"/>
      <c r="AD118" s="60"/>
      <c r="AE118" s="64"/>
    </row>
    <row r="119" spans="1:37" ht="22" customHeight="1" thickBot="1">
      <c r="B119" s="424">
        <v>0.86</v>
      </c>
      <c r="C119" s="481"/>
      <c r="D119" s="185"/>
      <c r="E119" s="60"/>
      <c r="F119" s="125"/>
      <c r="G119" s="60"/>
      <c r="H119" s="60"/>
      <c r="I119" s="60"/>
      <c r="J119" s="60"/>
      <c r="K119" s="60"/>
      <c r="L119" s="28"/>
      <c r="M119" s="28"/>
      <c r="N119" s="28"/>
      <c r="O119" s="28"/>
      <c r="P119" s="150"/>
      <c r="Q119" s="139" t="str">
        <f ca="1">INDIRECT("'"&amp;Cover!$E$4&amp;"'!"&amp;CELL("address",B114))</f>
        <v>Select year to see estimate</v>
      </c>
      <c r="R119" s="355">
        <v>2020</v>
      </c>
      <c r="S119" s="136"/>
      <c r="T119" s="173">
        <f>IFERROR(HLOOKUP($R$119,'Full Results'!$E$6:$Z$168,29),"NA")</f>
        <v>17509.628856034939</v>
      </c>
      <c r="U119" s="137"/>
      <c r="V119" s="28"/>
      <c r="W119" s="28"/>
      <c r="X119" s="28"/>
      <c r="Y119" s="184"/>
      <c r="AD119" s="60"/>
      <c r="AE119" s="64"/>
    </row>
    <row r="120" spans="1:37" ht="20" customHeight="1">
      <c r="B120" s="424">
        <v>0.87</v>
      </c>
      <c r="C120" s="481"/>
      <c r="D120" s="185"/>
      <c r="E120" s="60"/>
      <c r="F120" s="125"/>
      <c r="G120" s="60"/>
      <c r="H120" s="60"/>
      <c r="I120" s="60"/>
      <c r="J120" s="60"/>
      <c r="K120" s="60"/>
      <c r="L120" s="28"/>
      <c r="M120" s="28"/>
      <c r="N120" s="28"/>
      <c r="O120" s="28"/>
      <c r="P120" s="150"/>
      <c r="Q120" s="136"/>
      <c r="R120" s="136"/>
      <c r="S120" s="136"/>
      <c r="T120" s="136"/>
      <c r="U120" s="137"/>
      <c r="V120" s="28"/>
      <c r="W120" s="28"/>
      <c r="X120" s="28"/>
      <c r="Y120" s="184"/>
      <c r="AD120" s="60"/>
      <c r="AE120" s="64"/>
    </row>
    <row r="121" spans="1:37" ht="65" customHeight="1">
      <c r="B121" s="424">
        <v>0.88</v>
      </c>
      <c r="C121" s="481"/>
      <c r="D121" s="183"/>
      <c r="E121" s="28"/>
      <c r="F121" s="27"/>
      <c r="G121" s="28"/>
      <c r="H121" s="28"/>
      <c r="I121" s="28"/>
      <c r="J121" s="28"/>
      <c r="K121" s="60"/>
      <c r="L121" s="28"/>
      <c r="M121" s="28"/>
      <c r="N121" s="28"/>
      <c r="O121" s="28"/>
      <c r="P121" s="152"/>
      <c r="Q121" s="263"/>
      <c r="R121" s="263"/>
      <c r="S121" s="263"/>
      <c r="T121" s="263"/>
      <c r="U121" s="266"/>
      <c r="V121" s="28"/>
      <c r="W121" s="28"/>
      <c r="X121" s="28"/>
      <c r="Y121" s="184"/>
      <c r="AD121" s="60"/>
      <c r="AE121" s="64"/>
    </row>
    <row r="122" spans="1:37" ht="18" customHeight="1">
      <c r="A122" s="421">
        <v>1</v>
      </c>
      <c r="B122" s="424">
        <v>0.89</v>
      </c>
      <c r="C122" s="481"/>
      <c r="D122" s="183"/>
      <c r="E122" s="28"/>
      <c r="F122" s="27"/>
      <c r="G122" s="28"/>
      <c r="H122" s="28"/>
      <c r="I122" s="28"/>
      <c r="J122" s="28"/>
      <c r="K122" s="60"/>
      <c r="L122" s="28"/>
      <c r="M122" s="28"/>
      <c r="N122" s="28"/>
      <c r="O122" s="28"/>
      <c r="V122" s="28"/>
      <c r="W122" s="28"/>
      <c r="X122" s="28"/>
      <c r="Y122" s="184"/>
      <c r="AD122" s="64"/>
      <c r="AE122" s="64"/>
    </row>
    <row r="123" spans="1:37" ht="21" customHeight="1">
      <c r="A123" s="421">
        <v>2</v>
      </c>
      <c r="B123" s="424">
        <v>0.9</v>
      </c>
      <c r="C123" s="481"/>
      <c r="D123" s="183"/>
      <c r="E123" s="28"/>
      <c r="F123" s="27"/>
      <c r="G123" s="28"/>
      <c r="H123" s="28"/>
      <c r="I123" s="28"/>
      <c r="J123" s="28"/>
      <c r="K123" s="60"/>
      <c r="L123" s="28"/>
      <c r="M123" s="28"/>
      <c r="N123" s="28"/>
      <c r="O123" s="28"/>
      <c r="V123" s="28"/>
      <c r="W123" s="28"/>
      <c r="X123" s="28"/>
      <c r="Y123" s="184"/>
      <c r="AD123" s="64"/>
      <c r="AE123" s="64"/>
    </row>
    <row r="124" spans="1:37" ht="67" customHeight="1">
      <c r="A124" s="421">
        <v>3</v>
      </c>
      <c r="B124" s="424">
        <v>0.91</v>
      </c>
      <c r="C124" s="481"/>
      <c r="D124" s="183"/>
      <c r="E124" s="28"/>
      <c r="F124" s="27"/>
      <c r="G124" s="28"/>
      <c r="H124" s="28"/>
      <c r="I124" s="28"/>
      <c r="J124" s="28"/>
      <c r="K124" s="60"/>
      <c r="L124" s="28"/>
      <c r="M124" s="28"/>
      <c r="N124" s="28"/>
      <c r="O124" s="28"/>
      <c r="P124" s="28"/>
      <c r="Q124" s="28"/>
      <c r="R124" s="28"/>
      <c r="S124" s="28"/>
      <c r="T124" s="28"/>
      <c r="U124" s="28"/>
      <c r="V124" s="28"/>
      <c r="W124" s="28"/>
      <c r="X124" s="28"/>
      <c r="Y124" s="184"/>
    </row>
    <row r="125" spans="1:37" ht="25" customHeight="1" thickBot="1">
      <c r="A125" s="421">
        <v>4</v>
      </c>
      <c r="B125" s="424">
        <v>0.92</v>
      </c>
      <c r="C125" s="481"/>
      <c r="D125" s="187"/>
      <c r="E125" s="188"/>
      <c r="F125" s="189"/>
      <c r="G125" s="188"/>
      <c r="H125" s="188"/>
      <c r="I125" s="188"/>
      <c r="J125" s="188"/>
      <c r="K125" s="271"/>
      <c r="L125" s="188"/>
      <c r="M125" s="188"/>
      <c r="N125" s="188"/>
      <c r="O125" s="188"/>
      <c r="P125" s="188"/>
      <c r="Q125" s="188"/>
      <c r="R125" s="188"/>
      <c r="S125" s="188"/>
      <c r="T125" s="188"/>
      <c r="U125" s="188"/>
      <c r="V125" s="188"/>
      <c r="W125" s="188"/>
      <c r="X125" s="188"/>
      <c r="Y125" s="190"/>
    </row>
    <row r="126" spans="1:37" ht="49" customHeight="1">
      <c r="A126" s="421">
        <v>5</v>
      </c>
      <c r="B126" s="424">
        <v>0.93</v>
      </c>
      <c r="C126" s="481"/>
    </row>
    <row r="127" spans="1:37">
      <c r="A127" s="421">
        <v>6</v>
      </c>
      <c r="B127" s="424">
        <v>0.94</v>
      </c>
      <c r="C127" s="481"/>
    </row>
    <row r="128" spans="1:37">
      <c r="A128" s="421">
        <v>7</v>
      </c>
      <c r="B128" s="424">
        <v>0.95</v>
      </c>
      <c r="C128" s="481"/>
    </row>
    <row r="129" spans="1:17">
      <c r="A129" s="421">
        <v>8</v>
      </c>
      <c r="B129" s="424">
        <v>0.96</v>
      </c>
      <c r="C129" s="481"/>
    </row>
    <row r="130" spans="1:17" ht="23">
      <c r="A130" s="421">
        <v>9</v>
      </c>
      <c r="B130" s="424">
        <v>0.97</v>
      </c>
      <c r="C130" s="481"/>
      <c r="F130" s="476"/>
    </row>
    <row r="131" spans="1:17" ht="21">
      <c r="B131" s="424">
        <v>0.98</v>
      </c>
      <c r="C131" s="481"/>
      <c r="F131" s="477"/>
    </row>
    <row r="132" spans="1:17">
      <c r="B132" s="424">
        <v>0.99</v>
      </c>
      <c r="C132" s="481"/>
    </row>
    <row r="133" spans="1:17">
      <c r="A133" s="421">
        <v>1</v>
      </c>
      <c r="B133" s="424">
        <v>1</v>
      </c>
      <c r="C133" s="481"/>
      <c r="Q133" s="91"/>
    </row>
    <row r="134" spans="1:17">
      <c r="A134" s="421">
        <v>2</v>
      </c>
      <c r="C134" s="481"/>
    </row>
    <row r="135" spans="1:17">
      <c r="A135" s="421">
        <v>3</v>
      </c>
      <c r="C135" s="481"/>
    </row>
    <row r="136" spans="1:17" ht="57" customHeight="1">
      <c r="A136" s="421">
        <v>4</v>
      </c>
      <c r="C136" s="481"/>
    </row>
    <row r="137" spans="1:17">
      <c r="A137" s="421">
        <v>5</v>
      </c>
      <c r="C137" s="481"/>
    </row>
    <row r="138" spans="1:17">
      <c r="A138" s="421">
        <v>6</v>
      </c>
      <c r="C138" s="481"/>
    </row>
    <row r="139" spans="1:17">
      <c r="A139" s="421">
        <v>7</v>
      </c>
      <c r="C139" s="481"/>
    </row>
    <row r="140" spans="1:17">
      <c r="A140" s="421">
        <v>8</v>
      </c>
      <c r="C140" s="481"/>
    </row>
    <row r="141" spans="1:17">
      <c r="A141" s="421">
        <v>9</v>
      </c>
      <c r="C141" s="481"/>
    </row>
    <row r="142" spans="1:17">
      <c r="A142" s="421">
        <v>10</v>
      </c>
    </row>
    <row r="143" spans="1:17">
      <c r="A143" s="421">
        <v>11</v>
      </c>
    </row>
    <row r="144" spans="1:17">
      <c r="A144" s="421">
        <v>12</v>
      </c>
    </row>
    <row r="145" spans="1:1">
      <c r="A145" s="421">
        <v>13</v>
      </c>
    </row>
    <row r="146" spans="1:1">
      <c r="A146" s="421">
        <v>14</v>
      </c>
    </row>
    <row r="147" spans="1:1">
      <c r="A147" s="421">
        <v>15</v>
      </c>
    </row>
    <row r="148" spans="1:1">
      <c r="A148" s="421">
        <v>16</v>
      </c>
    </row>
    <row r="149" spans="1:1">
      <c r="A149" s="421">
        <v>17</v>
      </c>
    </row>
    <row r="150" spans="1:1">
      <c r="A150" s="421">
        <v>18</v>
      </c>
    </row>
    <row r="151" spans="1:1">
      <c r="A151" s="421">
        <v>19</v>
      </c>
    </row>
    <row r="152" spans="1:1">
      <c r="A152" s="421">
        <v>20</v>
      </c>
    </row>
    <row r="153" spans="1:1">
      <c r="A153" s="421">
        <v>21</v>
      </c>
    </row>
    <row r="154" spans="1:1">
      <c r="A154" s="421">
        <v>22</v>
      </c>
    </row>
    <row r="155" spans="1:1">
      <c r="A155" s="421">
        <v>23</v>
      </c>
    </row>
    <row r="156" spans="1:1">
      <c r="A156" s="421">
        <v>24</v>
      </c>
    </row>
    <row r="157" spans="1:1">
      <c r="A157" s="421">
        <v>25</v>
      </c>
    </row>
    <row r="158" spans="1:1">
      <c r="A158" s="421">
        <v>26</v>
      </c>
    </row>
    <row r="159" spans="1:1">
      <c r="A159" s="421">
        <v>27</v>
      </c>
    </row>
    <row r="160" spans="1:1">
      <c r="A160" s="421">
        <v>28</v>
      </c>
    </row>
    <row r="161" spans="1:1">
      <c r="A161" s="421">
        <v>29</v>
      </c>
    </row>
    <row r="162" spans="1:1">
      <c r="A162" s="421">
        <v>30</v>
      </c>
    </row>
    <row r="163" spans="1:1">
      <c r="A163" s="421">
        <v>31</v>
      </c>
    </row>
    <row r="164" spans="1:1">
      <c r="A164" s="421">
        <v>32</v>
      </c>
    </row>
    <row r="165" spans="1:1">
      <c r="A165" s="421">
        <v>33</v>
      </c>
    </row>
    <row r="166" spans="1:1">
      <c r="A166" s="421">
        <v>34</v>
      </c>
    </row>
    <row r="167" spans="1:1">
      <c r="A167" s="421">
        <v>35</v>
      </c>
    </row>
    <row r="168" spans="1:1">
      <c r="A168" s="421">
        <v>36</v>
      </c>
    </row>
    <row r="169" spans="1:1">
      <c r="A169" s="421">
        <v>37</v>
      </c>
    </row>
    <row r="170" spans="1:1">
      <c r="A170" s="421">
        <v>38</v>
      </c>
    </row>
    <row r="171" spans="1:1">
      <c r="A171" s="421">
        <v>39</v>
      </c>
    </row>
    <row r="177" spans="1:1">
      <c r="A177" s="421" t="s">
        <v>295</v>
      </c>
    </row>
    <row r="178" spans="1:1">
      <c r="A178" s="421" t="s">
        <v>296</v>
      </c>
    </row>
    <row r="179" spans="1:1">
      <c r="A179" s="421" t="s">
        <v>297</v>
      </c>
    </row>
  </sheetData>
  <sheetProtection sheet="1" selectLockedCells="1"/>
  <customSheetViews>
    <customSheetView guid="{8967CA62-3554-8A40-ACFF-3515F2B518C8}" scale="75" showGridLines="0" topLeftCell="E17">
      <selection activeCell="K81" sqref="K81"/>
      <colBreaks count="3" manualBreakCount="3">
        <brk id="14" max="1048575" man="1" pt="1"/>
        <brk id="15" max="1048575" man="1" pt="1"/>
        <brk id="22" max="1048575" man="1" pt="1"/>
      </colBreaks>
      <pageMargins left="0.7" right="0.7" top="0.75" bottom="0.75" header="0.3" footer="0.3"/>
      <pageSetup paperSize="9" orientation="portrait" horizontalDpi="4294967292" verticalDpi="4294967292"/>
    </customSheetView>
    <customSheetView guid="{EB877D66-0749-4C48-89AA-FFA94A34014C}" scale="75" showGridLines="0" topLeftCell="A106">
      <selection activeCell="K81" sqref="K81"/>
      <colBreaks count="3" manualBreakCount="3">
        <brk id="14" max="1048575" man="1" pt="1"/>
        <brk id="15" max="1048575" man="1" pt="1"/>
        <brk id="22" max="1048575" man="1" pt="1"/>
      </colBreaks>
      <pageMargins left="0.7" right="0.7" top="0.75" bottom="0.75" header="0.3" footer="0.3"/>
      <pageSetup paperSize="9" orientation="portrait" horizontalDpi="4294967292" verticalDpi="4294967292"/>
    </customSheetView>
  </customSheetViews>
  <mergeCells count="14">
    <mergeCell ref="Q17:T17"/>
    <mergeCell ref="P26:U26"/>
    <mergeCell ref="E60:I60"/>
    <mergeCell ref="E59:J59"/>
    <mergeCell ref="E107:J107"/>
    <mergeCell ref="P59:U59"/>
    <mergeCell ref="P60:U60"/>
    <mergeCell ref="F22:I23"/>
    <mergeCell ref="F29:I30"/>
    <mergeCell ref="F36:I37"/>
    <mergeCell ref="P27:U27"/>
    <mergeCell ref="E81:J82"/>
    <mergeCell ref="P95:U95"/>
    <mergeCell ref="P96:U96"/>
  </mergeCells>
  <dataValidations count="7">
    <dataValidation allowBlank="1" showInputMessage="1" showErrorMessage="1" errorTitle="Not a valid percentage" error="Not a valid percentage" sqref="H115 G42" xr:uid="{00000000-0002-0000-0500-000000000000}"/>
    <dataValidation type="list" allowBlank="1" showInputMessage="1" showErrorMessage="1" sqref="H85 H104 H98" xr:uid="{00000000-0002-0000-0500-000001000000}">
      <formula1>$B$3:$B$12</formula1>
    </dataValidation>
    <dataValidation type="list" allowBlank="1" showInputMessage="1" showErrorMessage="1" sqref="M106" xr:uid="{00000000-0002-0000-0500-000002000000}">
      <formula1>$B$3:$B$13</formula1>
    </dataValidation>
    <dataValidation type="list" allowBlank="1" showInputMessage="1" showErrorMessage="1" errorTitle="Not a valid percentage" error="Not a valid percentage" sqref="G40 G25 G32" xr:uid="{00000000-0002-0000-0500-000003000000}">
      <formula1>$B$34:$B$133</formula1>
    </dataValidation>
    <dataValidation type="list" allowBlank="1" showInputMessage="1" showErrorMessage="1" sqref="I25 I32 I40" xr:uid="{00000000-0002-0000-0500-000004000000}">
      <formula1>$B$5:$B$16</formula1>
    </dataValidation>
    <dataValidation type="list" allowBlank="1" showInputMessage="1" showErrorMessage="1" sqref="R24 R21 R111 R115 R119" xr:uid="{00000000-0002-0000-0500-000005000000}">
      <formula1>$B$6:$B$16</formula1>
    </dataValidation>
    <dataValidation type="list" allowBlank="1" showInputMessage="1" showErrorMessage="1" sqref="R70 R74 R78 R82 R90 R86" xr:uid="{00000000-0002-0000-0500-000006000000}">
      <formula1>$B$7:$B$16</formula1>
    </dataValidation>
  </dataValidations>
  <pageMargins left="0.7" right="0.7" top="0.75" bottom="0.75" header="0.3" footer="0.3"/>
  <pageSetup paperSize="9" orientation="portrait" horizontalDpi="4294967292" verticalDpi="4294967292"/>
  <colBreaks count="3" manualBreakCount="3">
    <brk id="14" max="1048575" man="1" pt="1"/>
    <brk id="15" max="1048575" man="1" pt="1"/>
    <brk id="22" max="1048575" man="1" pt="1"/>
  </colBreaks>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dimension ref="A2:Z156"/>
  <sheetViews>
    <sheetView showGridLines="0" topLeftCell="C1" zoomScale="75" zoomScaleNormal="70" zoomScalePageLayoutView="70" workbookViewId="0">
      <selection activeCell="I21" sqref="I21"/>
    </sheetView>
  </sheetViews>
  <sheetFormatPr baseColWidth="10" defaultColWidth="10.83203125" defaultRowHeight="16"/>
  <cols>
    <col min="1" max="1" width="6.33203125" style="17" customWidth="1"/>
    <col min="2" max="2" width="5.33203125" style="17" customWidth="1"/>
    <col min="3" max="3" width="3.33203125" style="17" customWidth="1"/>
    <col min="4" max="4" width="2" style="17" customWidth="1"/>
    <col min="5" max="5" width="58.33203125" style="17" customWidth="1"/>
    <col min="6" max="6" width="13.33203125" style="17" customWidth="1"/>
    <col min="7" max="7" width="10.83203125" style="17" customWidth="1"/>
    <col min="8" max="8" width="13.1640625" style="17" customWidth="1"/>
    <col min="9" max="16" width="12.1640625" style="17" bestFit="1" customWidth="1"/>
    <col min="17" max="18" width="10.83203125" style="17"/>
    <col min="19" max="19" width="10.83203125" style="113"/>
    <col min="20" max="16384" width="10.83203125" style="17"/>
  </cols>
  <sheetData>
    <row r="2" spans="5:26" ht="39">
      <c r="E2" s="16" t="str">
        <f ca="1">INDIRECT("'"&amp;Cover!$E$4&amp;"'!"&amp;CELL("address",B150))</f>
        <v>Model results over a 10-year trajectory</v>
      </c>
    </row>
    <row r="4" spans="5:26" ht="21">
      <c r="E4" s="35" t="str">
        <f ca="1">INDIRECT("'"&amp;Cover!$E$4&amp;"'!"&amp;CELL("address",B151))</f>
        <v>Results are displayed for:</v>
      </c>
      <c r="F4" s="36" t="str">
        <f>'Prediction tool'!G6</f>
        <v>India</v>
      </c>
    </row>
    <row r="5" spans="5:26">
      <c r="L5" s="113"/>
      <c r="S5" s="17"/>
    </row>
    <row r="6" spans="5:26" s="25" customFormat="1" ht="21">
      <c r="E6" s="24" t="str">
        <f ca="1">INDIRECT("'"&amp;Cover!$E$4&amp;"'!"&amp;CELL("address",B152))</f>
        <v>Year</v>
      </c>
      <c r="F6" s="24">
        <v>2010</v>
      </c>
      <c r="G6" s="24">
        <v>2011</v>
      </c>
      <c r="H6" s="24">
        <v>2012</v>
      </c>
      <c r="I6" s="24">
        <v>2013</v>
      </c>
      <c r="J6" s="24">
        <v>2014</v>
      </c>
      <c r="K6" s="24">
        <v>2015</v>
      </c>
      <c r="L6" s="24">
        <v>2016</v>
      </c>
      <c r="M6" s="24">
        <v>2017</v>
      </c>
      <c r="N6" s="24">
        <v>2018</v>
      </c>
      <c r="O6" s="24">
        <v>2019</v>
      </c>
      <c r="P6" s="24">
        <v>2020</v>
      </c>
      <c r="Q6" s="24">
        <v>2021</v>
      </c>
      <c r="R6" s="24">
        <v>2022</v>
      </c>
      <c r="S6" s="24">
        <v>2023</v>
      </c>
      <c r="T6" s="24">
        <v>2024</v>
      </c>
      <c r="U6" s="24">
        <v>2025</v>
      </c>
      <c r="V6" s="24">
        <v>2026</v>
      </c>
      <c r="W6" s="24">
        <v>2027</v>
      </c>
      <c r="X6" s="24">
        <v>2028</v>
      </c>
      <c r="Y6" s="24">
        <v>2029</v>
      </c>
      <c r="Z6" s="24">
        <v>2030</v>
      </c>
    </row>
    <row r="7" spans="5:26" s="19" customFormat="1" ht="19">
      <c r="E7" s="22"/>
      <c r="F7" s="22"/>
      <c r="G7" s="22"/>
      <c r="H7" s="22"/>
      <c r="I7" s="22"/>
      <c r="J7" s="22"/>
      <c r="K7" s="22"/>
      <c r="L7" s="22"/>
      <c r="M7" s="22"/>
      <c r="N7" s="22"/>
      <c r="O7" s="22"/>
      <c r="P7" s="22"/>
      <c r="Q7" s="22"/>
      <c r="R7" s="22"/>
      <c r="S7" s="22"/>
      <c r="T7" s="22"/>
      <c r="U7" s="22"/>
      <c r="V7" s="22"/>
      <c r="W7" s="22"/>
      <c r="X7" s="22"/>
      <c r="Y7" s="22"/>
      <c r="Z7" s="22"/>
    </row>
    <row r="8" spans="5:26" s="82" customFormat="1" ht="21">
      <c r="E8" s="23" t="str">
        <f ca="1">INDIRECT("'"&amp;Cover!$E$4&amp;"'!"&amp;CELL("address",B153))</f>
        <v>Syphilis prevalence in pregnant women</v>
      </c>
      <c r="F8" s="80">
        <f>'Data (Calculations)'!F22</f>
        <v>3.5000000000000001E-3</v>
      </c>
      <c r="G8" s="80">
        <f>'Data (Calculations)'!G22</f>
        <v>2.8999999999999998E-3</v>
      </c>
      <c r="H8" s="80">
        <f>'Data (Calculations)'!H22</f>
        <v>6.4000000000000003E-3</v>
      </c>
      <c r="I8" s="80">
        <f>'Data (Calculations)'!I22</f>
        <v>8.9999999999999998E-4</v>
      </c>
      <c r="J8" s="80">
        <f>'Data (Calculations)'!J22</f>
        <v>2.3E-3</v>
      </c>
      <c r="K8" s="80">
        <f>'Data (Calculations)'!K22</f>
        <v>2.0999999999999999E-3</v>
      </c>
      <c r="L8" s="80">
        <f>'Data (Calculations)'!L22</f>
        <v>8.9999999999999998E-4</v>
      </c>
      <c r="M8" s="80">
        <f>'Data (Calculations)'!M22</f>
        <v>1E-3</v>
      </c>
      <c r="N8" s="80" t="str">
        <f>'Data (Calculations)'!N22</f>
        <v>NA</v>
      </c>
      <c r="O8" s="80">
        <f>'Data (Calculations)'!O22</f>
        <v>9.6341080571743845E-4</v>
      </c>
      <c r="P8" s="80">
        <f>'Data (Calculations)'!P22</f>
        <v>9.6341080571743845E-4</v>
      </c>
      <c r="Q8" s="80">
        <f>'Data (Calculations)'!Q22</f>
        <v>9.6341080571743845E-4</v>
      </c>
      <c r="R8" s="80">
        <f>'Data (Calculations)'!R22</f>
        <v>9.6341080571743845E-4</v>
      </c>
      <c r="S8" s="80">
        <f>'Data (Calculations)'!S22</f>
        <v>9.6341080571743845E-4</v>
      </c>
      <c r="T8" s="80">
        <f>'Data (Calculations)'!T22</f>
        <v>9.6341080571743845E-4</v>
      </c>
      <c r="U8" s="80">
        <f>'Data (Calculations)'!U22</f>
        <v>9.6341080571743845E-4</v>
      </c>
      <c r="V8" s="80">
        <f>'Data (Calculations)'!V22</f>
        <v>9.6341080571743845E-4</v>
      </c>
      <c r="W8" s="80">
        <f>'Data (Calculations)'!W22</f>
        <v>9.6341080571743845E-4</v>
      </c>
      <c r="X8" s="80">
        <f>'Data (Calculations)'!X22</f>
        <v>9.6341080571743845E-4</v>
      </c>
      <c r="Y8" s="80">
        <f>'Data (Calculations)'!Y22</f>
        <v>9.6341080571743845E-4</v>
      </c>
      <c r="Z8" s="80">
        <f>'Data (Calculations)'!Z22</f>
        <v>9.6341080571743845E-4</v>
      </c>
    </row>
    <row r="9" spans="5:26" s="23" customFormat="1" ht="19">
      <c r="F9" s="102"/>
      <c r="G9" s="102"/>
      <c r="H9" s="102"/>
      <c r="I9" s="102"/>
      <c r="J9" s="102"/>
      <c r="K9" s="102"/>
      <c r="L9" s="102"/>
      <c r="M9" s="102"/>
      <c r="N9" s="102"/>
      <c r="O9" s="102"/>
      <c r="P9" s="102"/>
      <c r="Q9" s="102"/>
      <c r="R9" s="102"/>
      <c r="S9" s="102"/>
      <c r="T9" s="102"/>
      <c r="U9" s="102"/>
      <c r="V9" s="102"/>
      <c r="W9" s="102"/>
      <c r="X9" s="102"/>
      <c r="Y9" s="102"/>
      <c r="Z9" s="102"/>
    </row>
    <row r="10" spans="5:26" s="23" customFormat="1" ht="19"/>
    <row r="11" spans="5:26" s="23" customFormat="1" ht="27" thickBot="1">
      <c r="E11" s="20" t="str">
        <f ca="1">INDIRECT("'"&amp;Cover!$E$4&amp;"'!"&amp;CELL("address",B155))</f>
        <v>Demographic estimates</v>
      </c>
      <c r="F11" s="18"/>
      <c r="G11" s="18"/>
      <c r="H11" s="18"/>
      <c r="I11" s="18"/>
      <c r="J11" s="18"/>
      <c r="K11" s="18"/>
      <c r="L11" s="18"/>
      <c r="M11" s="18"/>
      <c r="N11" s="18"/>
      <c r="O11" s="18"/>
      <c r="P11" s="18"/>
      <c r="Q11" s="18"/>
      <c r="R11" s="18"/>
      <c r="S11" s="18"/>
      <c r="T11" s="18"/>
      <c r="U11" s="18"/>
      <c r="V11" s="18"/>
      <c r="W11" s="18"/>
      <c r="X11" s="18"/>
      <c r="Y11" s="18"/>
      <c r="Z11" s="18"/>
    </row>
    <row r="12" spans="5:26" s="62" customFormat="1" ht="32" customHeight="1">
      <c r="E12" s="17"/>
      <c r="F12" s="17"/>
      <c r="G12" s="17"/>
      <c r="H12" s="17"/>
      <c r="I12" s="17"/>
      <c r="J12" s="17"/>
      <c r="K12" s="17"/>
      <c r="L12" s="17"/>
      <c r="M12" s="17"/>
      <c r="N12" s="17"/>
      <c r="O12" s="17"/>
      <c r="P12" s="17"/>
      <c r="Q12" s="17"/>
      <c r="R12" s="17"/>
      <c r="S12" s="17"/>
      <c r="T12" s="17"/>
      <c r="U12" s="17"/>
      <c r="V12" s="17"/>
      <c r="W12" s="17"/>
      <c r="X12" s="17"/>
      <c r="Y12" s="17"/>
      <c r="Z12" s="17"/>
    </row>
    <row r="13" spans="5:26">
      <c r="E13" s="17" t="str">
        <f ca="1">INDIRECT("'"&amp;Cover!$E$4&amp;"'!"&amp;CELL("address",B156))</f>
        <v>Total number of live births</v>
      </c>
      <c r="F13" s="171">
        <f>'Data (Calculations)'!F19</f>
        <v>26566075</v>
      </c>
      <c r="G13" s="171">
        <f>'Data (Calculations)'!G19</f>
        <v>26329745</v>
      </c>
      <c r="H13" s="171">
        <f>'Data (Calculations)'!H19</f>
        <v>26127686</v>
      </c>
      <c r="I13" s="171">
        <f>'Data (Calculations)'!I19</f>
        <v>25970276</v>
      </c>
      <c r="J13" s="171">
        <f>'Data (Calculations)'!J19</f>
        <v>25860462</v>
      </c>
      <c r="K13" s="171">
        <f>'Data (Calculations)'!K19</f>
        <v>25793674</v>
      </c>
      <c r="L13" s="171">
        <f>'Data (Calculations)'!L19</f>
        <v>25757827</v>
      </c>
      <c r="M13" s="171">
        <f>'Data (Calculations)'!M19</f>
        <v>25732835</v>
      </c>
      <c r="N13" s="171">
        <f>'Data (Calculations)'!N19</f>
        <v>25701683</v>
      </c>
      <c r="O13" s="171">
        <f>'Data (Calculations)'!O19</f>
        <v>25656209</v>
      </c>
      <c r="P13" s="171">
        <f>'Data (Calculations)'!P19</f>
        <v>25592063</v>
      </c>
      <c r="Q13" s="171">
        <f>'Data (Calculations)'!Q19</f>
        <v>25509804</v>
      </c>
      <c r="R13" s="171">
        <f>'Data (Calculations)'!R19</f>
        <v>25415752</v>
      </c>
      <c r="S13" s="171">
        <f>'Data (Calculations)'!S19</f>
        <v>25314517</v>
      </c>
      <c r="T13" s="171">
        <f>'Data (Calculations)'!T19</f>
        <v>25205935</v>
      </c>
      <c r="U13" s="171">
        <f>'Data (Calculations)'!U19</f>
        <v>25089023</v>
      </c>
      <c r="V13" s="171">
        <f>'Data (Calculations)'!V19</f>
        <v>24962370</v>
      </c>
      <c r="W13" s="171">
        <f>'Data (Calculations)'!W19</f>
        <v>24824987</v>
      </c>
      <c r="X13" s="171">
        <f>'Data (Calculations)'!X19</f>
        <v>24676554</v>
      </c>
      <c r="Y13" s="171">
        <f>'Data (Calculations)'!Y19</f>
        <v>24517496</v>
      </c>
      <c r="Z13" s="171">
        <f>'Data (Calculations)'!Z19</f>
        <v>24347619</v>
      </c>
    </row>
    <row r="14" spans="5:26">
      <c r="F14" s="91"/>
      <c r="G14" s="91"/>
      <c r="H14" s="91"/>
      <c r="I14" s="91"/>
      <c r="J14" s="91"/>
      <c r="K14" s="91"/>
      <c r="L14" s="91"/>
      <c r="M14" s="91"/>
      <c r="N14" s="91"/>
      <c r="O14" s="91"/>
      <c r="P14" s="91"/>
      <c r="Q14" s="91"/>
      <c r="R14" s="91"/>
      <c r="S14" s="91"/>
      <c r="T14" s="91"/>
      <c r="U14" s="91"/>
      <c r="V14" s="91"/>
      <c r="W14" s="91"/>
      <c r="X14" s="91"/>
      <c r="Y14" s="91"/>
      <c r="Z14" s="91"/>
    </row>
    <row r="15" spans="5:26">
      <c r="F15" s="172"/>
      <c r="G15" s="172"/>
      <c r="H15" s="172"/>
      <c r="I15" s="172"/>
      <c r="J15" s="172"/>
      <c r="K15" s="172"/>
      <c r="L15" s="172"/>
      <c r="M15" s="172"/>
      <c r="N15" s="172"/>
      <c r="O15" s="172"/>
      <c r="P15" s="172"/>
      <c r="Q15" s="172"/>
      <c r="R15" s="172"/>
      <c r="S15" s="172"/>
      <c r="T15" s="172"/>
      <c r="U15" s="172"/>
      <c r="V15" s="172"/>
      <c r="W15" s="172"/>
      <c r="X15" s="172"/>
      <c r="Y15" s="172"/>
      <c r="Z15" s="172"/>
    </row>
    <row r="16" spans="5:26">
      <c r="F16" s="107"/>
      <c r="G16" s="107"/>
      <c r="H16" s="107"/>
      <c r="I16" s="107"/>
      <c r="J16" s="107"/>
      <c r="K16" s="107"/>
      <c r="L16" s="107"/>
      <c r="M16" s="107"/>
      <c r="N16" s="107"/>
      <c r="O16" s="107"/>
      <c r="P16" s="107"/>
      <c r="Q16" s="107"/>
      <c r="R16" s="107"/>
      <c r="S16" s="107"/>
      <c r="T16" s="107"/>
      <c r="U16" s="107"/>
      <c r="V16" s="107"/>
      <c r="W16" s="107"/>
      <c r="X16" s="107"/>
      <c r="Y16" s="107"/>
      <c r="Z16" s="107"/>
    </row>
    <row r="17" spans="5:26" ht="27" thickBot="1">
      <c r="E17" s="20" t="str">
        <f ca="1">INDIRECT("'"&amp;Cover!$E$4&amp;"'!"&amp;CELL("address",B160))</f>
        <v>Model generated estimates of mother demographics</v>
      </c>
      <c r="S17" s="17"/>
    </row>
    <row r="18" spans="5:26">
      <c r="S18" s="17"/>
    </row>
    <row r="19" spans="5:26" ht="19">
      <c r="E19" s="318" t="str">
        <f ca="1">INDIRECT("'"&amp;Cover!$E$4&amp;"'!"&amp;CELL("address",B161))</f>
        <v>1. ANC1 coverage</v>
      </c>
      <c r="F19" s="319"/>
      <c r="G19" s="319"/>
      <c r="H19" s="319"/>
      <c r="I19" s="319"/>
      <c r="J19" s="319"/>
      <c r="K19" s="319"/>
      <c r="L19" s="319"/>
      <c r="M19" s="319"/>
      <c r="N19" s="319"/>
      <c r="O19" s="319"/>
      <c r="P19" s="319"/>
      <c r="Q19" s="319"/>
      <c r="R19" s="319"/>
      <c r="S19" s="319"/>
      <c r="T19" s="319"/>
      <c r="U19" s="319"/>
      <c r="V19" s="319"/>
      <c r="W19" s="319"/>
      <c r="X19" s="319"/>
      <c r="Y19" s="319"/>
      <c r="Z19" s="319"/>
    </row>
    <row r="20" spans="5:26">
      <c r="S20" s="17"/>
    </row>
    <row r="21" spans="5:26">
      <c r="E21" s="17" t="str">
        <f ca="1">INDIRECT("'"&amp;Cover!$E$4&amp;"'!"&amp;CELL("address",B162))</f>
        <v>Number of pregnant women attending at least one ANC visit</v>
      </c>
      <c r="F21" s="713" t="e">
        <f>'Data (Calculations)'!F19*'Data (Calculations)'!F30</f>
        <v>#VALUE!</v>
      </c>
      <c r="G21" s="713">
        <f>'Data (Calculations)'!G19*'Data (Calculations)'!G30</f>
        <v>1856158</v>
      </c>
      <c r="H21" s="713">
        <f>'Data (Calculations)'!H19*'Data (Calculations)'!H30</f>
        <v>2806049</v>
      </c>
      <c r="I21" s="713">
        <f>'Data (Calculations)'!I19*'Data (Calculations)'!I30</f>
        <v>3983661.9999999995</v>
      </c>
      <c r="J21" s="713">
        <f>'Data (Calculations)'!J19*'Data (Calculations)'!J30</f>
        <v>3765416</v>
      </c>
      <c r="K21" s="713">
        <f>'Data (Calculations)'!K19*'Data (Calculations)'!K30</f>
        <v>3820480</v>
      </c>
      <c r="L21" s="713">
        <f>'Data (Calculations)'!L19*'Data (Calculations)'!L30</f>
        <v>4339575</v>
      </c>
      <c r="M21" s="713">
        <f>'Data (Calculations)'!M19*'Data (Calculations)'!M30</f>
        <v>25732835</v>
      </c>
      <c r="N21" s="713" t="e">
        <f>'Data (Calculations)'!N19*'Data (Calculations)'!N30</f>
        <v>#VALUE!</v>
      </c>
      <c r="O21" s="713">
        <f>'Data (Calculations)'!O19*'Data (Calculations)'!O30</f>
        <v>25656209</v>
      </c>
      <c r="P21" s="713">
        <f>'Data (Calculations)'!P19*'Data (Calculations)'!P30</f>
        <v>25592063</v>
      </c>
      <c r="Q21" s="713">
        <f>'Data (Calculations)'!Q19*'Data (Calculations)'!Q30</f>
        <v>25484294.195999999</v>
      </c>
      <c r="R21" s="713">
        <f>'Data (Calculations)'!R19*'Data (Calculations)'!R30</f>
        <v>25364920.495999999</v>
      </c>
      <c r="S21" s="713">
        <f>'Data (Calculations)'!S19*'Data (Calculations)'!S30</f>
        <v>25238573.449000001</v>
      </c>
      <c r="T21" s="713">
        <f>'Data (Calculations)'!T19*'Data (Calculations)'!T30</f>
        <v>25105111.260000002</v>
      </c>
      <c r="U21" s="713">
        <f>'Data (Calculations)'!U19*'Data (Calculations)'!U30</f>
        <v>24963577.885000002</v>
      </c>
      <c r="V21" s="713">
        <f>'Data (Calculations)'!V19*'Data (Calculations)'!V30</f>
        <v>24812595.780000001</v>
      </c>
      <c r="W21" s="713">
        <f>'Data (Calculations)'!W19*'Data (Calculations)'!W30</f>
        <v>24651212.090999998</v>
      </c>
      <c r="X21" s="713">
        <f>'Data (Calculations)'!X19*'Data (Calculations)'!X30</f>
        <v>24479141.568</v>
      </c>
      <c r="Y21" s="713">
        <f>'Data (Calculations)'!Y19*'Data (Calculations)'!Y30</f>
        <v>24296838.535999998</v>
      </c>
      <c r="Z21" s="713">
        <f>'Data (Calculations)'!Z19*'Data (Calculations)'!Z30</f>
        <v>24104142.809999999</v>
      </c>
    </row>
    <row r="22" spans="5:26">
      <c r="S22" s="17"/>
    </row>
    <row r="23" spans="5:26" ht="19">
      <c r="E23" s="206" t="str">
        <f ca="1">INDIRECT("'"&amp;Cover!$E$4&amp;"'!"&amp;CELL("address",B163))</f>
        <v>2. Testing and treatment</v>
      </c>
      <c r="F23" s="207"/>
      <c r="G23" s="207"/>
      <c r="H23" s="207"/>
      <c r="I23" s="207"/>
      <c r="J23" s="207"/>
      <c r="K23" s="207"/>
      <c r="L23" s="207"/>
      <c r="M23" s="207"/>
      <c r="N23" s="207"/>
      <c r="O23" s="207"/>
      <c r="P23" s="207"/>
      <c r="Q23" s="207"/>
      <c r="R23" s="207"/>
      <c r="S23" s="207"/>
      <c r="T23" s="207"/>
      <c r="U23" s="207"/>
      <c r="V23" s="207"/>
      <c r="W23" s="207"/>
      <c r="X23" s="207"/>
      <c r="Y23" s="207"/>
      <c r="Z23" s="207"/>
    </row>
    <row r="24" spans="5:26">
      <c r="S24" s="17"/>
    </row>
    <row r="25" spans="5:26">
      <c r="E25" s="17" t="str">
        <f ca="1">INDIRECT("'"&amp;Cover!$E$4&amp;"'!"&amp;CELL("address",B164))</f>
        <v>Number of women tested</v>
      </c>
      <c r="F25" s="91" t="str">
        <f>IFERROR(SUM('Full Results'!F13:F16),"NA")</f>
        <v>NA</v>
      </c>
      <c r="G25" s="91">
        <f>IFERROR(SUM('Full Results'!G13:G16),"NA")</f>
        <v>3520.3892627999994</v>
      </c>
      <c r="H25" s="91">
        <f>IFERROR(SUM('Full Results'!H13:H16),"NA")</f>
        <v>12427.429811200001</v>
      </c>
      <c r="I25" s="91">
        <f>IFERROR(SUM('Full Results'!I13:I16),"NA")</f>
        <v>2280.2481287999999</v>
      </c>
      <c r="J25" s="91">
        <f>IFERROR(SUM('Full Results'!J13:J16),"NA")</f>
        <v>5637.9573768</v>
      </c>
      <c r="K25" s="91">
        <f>IFERROR(SUM('Full Results'!K13:K16),"NA")</f>
        <v>5239.0242239999998</v>
      </c>
      <c r="L25" s="91">
        <f>IFERROR(SUM('Full Results'!L13:L16),"NA")</f>
        <v>3206.5119675000001</v>
      </c>
      <c r="M25" s="91">
        <f>IFERROR(SUM('Full Results'!M13:M16),"NA")</f>
        <v>5102.6119043142844</v>
      </c>
      <c r="N25" s="91" t="str">
        <f>IFERROR(SUM('Full Results'!N13:N16),"NA")</f>
        <v>NA</v>
      </c>
      <c r="O25" s="91">
        <f>IFERROR(SUM('Full Results'!O13:O16),"NA")</f>
        <v>8366.8632512007825</v>
      </c>
      <c r="P25" s="91">
        <f>IFERROR(SUM('Full Results'!P13:P16),"NA")</f>
        <v>8345.9443067802895</v>
      </c>
      <c r="Q25" s="91">
        <f>IFERROR(SUM('Full Results'!Q13:Q16),"NA")</f>
        <v>9910.3519938798963</v>
      </c>
      <c r="R25" s="91">
        <f>IFERROR(SUM('Full Results'!R13:R16),"NA")</f>
        <v>11455.989885054345</v>
      </c>
      <c r="S25" s="91">
        <f>IFERROR(SUM('Full Results'!S13:S16),"NA")</f>
        <v>12983.05532408727</v>
      </c>
      <c r="T25" s="91">
        <f>IFERROR(SUM('Full Results'!T13:T16),"NA")</f>
        <v>14490.153398053564</v>
      </c>
      <c r="U25" s="91">
        <f>IFERROR(SUM('Full Results'!U13:U16),"NA")</f>
        <v>15975.332519199457</v>
      </c>
      <c r="V25" s="91">
        <f>IFERROR(SUM('Full Results'!V13:V16),"NA")</f>
        <v>17436.104877680762</v>
      </c>
      <c r="W25" s="91">
        <f>IFERROR(SUM('Full Results'!W13:W16),"NA")</f>
        <v>18869.96190164279</v>
      </c>
      <c r="X25" s="91">
        <f>IFERROR(SUM('Full Results'!X13:X16),"NA")</f>
        <v>20274.708730266004</v>
      </c>
      <c r="Y25" s="91">
        <f>IFERROR(SUM('Full Results'!Y13:Y16),"NA")</f>
        <v>21648.737855559149</v>
      </c>
      <c r="Z25" s="91">
        <f>IFERROR(SUM('Full Results'!Z13:Z16),"NA")</f>
        <v>22989.9697292532</v>
      </c>
    </row>
    <row r="26" spans="5:26">
      <c r="E26" s="17" t="str">
        <f ca="1">INDIRECT("'"&amp;Cover!$E$4&amp;"'!"&amp;CELL("address",B165))</f>
        <v>Number of women treated</v>
      </c>
      <c r="F26" s="91" t="str">
        <f>IFERROR(SUM('Full Results'!F13:F14),"NA")</f>
        <v>NA</v>
      </c>
      <c r="G26" s="91">
        <f>IFERROR(SUM('Full Results'!G13:G14),"NA")</f>
        <v>3133.1464438919993</v>
      </c>
      <c r="H26" s="91">
        <f>IFERROR(SUM('Full Results'!H13:H14),"NA")</f>
        <v>11507.800005171202</v>
      </c>
      <c r="I26" s="91">
        <f>IFERROR(SUM('Full Results'!I13:I14),"NA")</f>
        <v>2111.5097672687998</v>
      </c>
      <c r="J26" s="91">
        <f>IFERROR(SUM('Full Results'!J13:J14),"NA")</f>
        <v>1178.3330917511998</v>
      </c>
      <c r="K26" s="91">
        <f>IFERROR(SUM('Full Results'!K13:K14),"NA")</f>
        <v>1241.648741088</v>
      </c>
      <c r="L26" s="91">
        <f>IFERROR(SUM('Full Results'!L13:L14),"NA")</f>
        <v>2395.2644397224999</v>
      </c>
      <c r="M26" s="91">
        <f>IFERROR(SUM('Full Results'!M13:M14),"NA")</f>
        <v>2428.8432664535994</v>
      </c>
      <c r="N26" s="91" t="str">
        <f>IFERROR(SUM('Full Results'!N13:N14),"NA")</f>
        <v>NA</v>
      </c>
      <c r="O26" s="91">
        <f>IFERROR(SUM('Full Results'!O13:O14),"NA")</f>
        <v>5851.1721315428067</v>
      </c>
      <c r="P26" s="91">
        <f>IFERROR(SUM('Full Results'!P13:P14),"NA")</f>
        <v>5836.5429520116459</v>
      </c>
      <c r="Q26" s="91">
        <f>IFERROR(SUM('Full Results'!Q13:Q14),"NA")</f>
        <v>7218.6425757785019</v>
      </c>
      <c r="R26" s="91">
        <f>IFERROR(SUM('Full Results'!R13:R14),"NA")</f>
        <v>8677.4710638231463</v>
      </c>
      <c r="S26" s="91">
        <f>IFERROR(SUM('Full Results'!S13:S14),"NA")</f>
        <v>10211.546870008682</v>
      </c>
      <c r="T26" s="91">
        <f>IFERROR(SUM('Full Results'!T13:T14),"NA")</f>
        <v>11818.11275483493</v>
      </c>
      <c r="U26" s="91">
        <f>IFERROR(SUM('Full Results'!U13:U14),"NA")</f>
        <v>13493.779090441087</v>
      </c>
      <c r="V26" s="91">
        <f>IFERROR(SUM('Full Results'!V13:V14),"NA")</f>
        <v>15234.460825579172</v>
      </c>
      <c r="W26" s="91">
        <f>IFERROR(SUM('Full Results'!W13:W14),"NA")</f>
        <v>17035.764909290057</v>
      </c>
      <c r="X26" s="91">
        <f>IFERROR(SUM('Full Results'!X13:X14),"NA")</f>
        <v>18893.298957272495</v>
      </c>
      <c r="Y26" s="91">
        <f>IFERROR(SUM('Full Results'!Y13:Y14),"NA")</f>
        <v>20802.979796913354</v>
      </c>
      <c r="Z26" s="91">
        <f>IFERROR(SUM('Full Results'!Z13:Z14),"NA")</f>
        <v>22760.070031960662</v>
      </c>
    </row>
    <row r="27" spans="5:26" ht="19">
      <c r="E27" s="127"/>
      <c r="F27" s="204"/>
      <c r="G27" s="204"/>
      <c r="H27" s="204"/>
      <c r="I27" s="204"/>
      <c r="J27" s="204"/>
      <c r="K27" s="204"/>
      <c r="L27" s="204"/>
      <c r="M27" s="204"/>
      <c r="N27" s="204"/>
      <c r="O27" s="204"/>
      <c r="P27" s="204"/>
      <c r="Q27" s="204"/>
      <c r="R27" s="204"/>
      <c r="S27" s="204"/>
      <c r="T27" s="204"/>
      <c r="U27" s="204"/>
      <c r="V27" s="204"/>
      <c r="W27" s="204"/>
      <c r="X27" s="204"/>
      <c r="Y27" s="204"/>
      <c r="Z27" s="204"/>
    </row>
    <row r="28" spans="5:26" ht="19">
      <c r="E28" s="208" t="str">
        <f ca="1">INDIRECT("'"&amp;Cover!$E$4&amp;"'!"&amp;CELL("address",B166))</f>
        <v>3. Mother's syphilis status</v>
      </c>
      <c r="F28" s="209"/>
      <c r="G28" s="209"/>
      <c r="H28" s="209"/>
      <c r="I28" s="209"/>
      <c r="J28" s="209"/>
      <c r="K28" s="209"/>
      <c r="L28" s="209"/>
      <c r="M28" s="209"/>
      <c r="N28" s="209"/>
      <c r="O28" s="209"/>
      <c r="P28" s="209"/>
      <c r="Q28" s="209"/>
      <c r="R28" s="209"/>
      <c r="S28" s="209"/>
      <c r="T28" s="209"/>
      <c r="U28" s="209"/>
      <c r="V28" s="209"/>
      <c r="W28" s="209"/>
      <c r="X28" s="209"/>
      <c r="Y28" s="209"/>
      <c r="Z28" s="209"/>
    </row>
    <row r="29" spans="5:26">
      <c r="E29" s="120"/>
      <c r="F29" s="60"/>
      <c r="G29" s="60"/>
      <c r="H29" s="60"/>
      <c r="I29" s="60"/>
      <c r="J29" s="60"/>
      <c r="K29" s="60"/>
      <c r="L29" s="60"/>
      <c r="M29" s="60"/>
      <c r="N29" s="60"/>
      <c r="O29" s="60"/>
      <c r="P29" s="60"/>
      <c r="Q29" s="60"/>
      <c r="R29" s="60"/>
      <c r="S29" s="60"/>
      <c r="T29" s="60"/>
      <c r="U29" s="60"/>
      <c r="V29" s="60"/>
      <c r="W29" s="60"/>
      <c r="X29" s="60"/>
      <c r="Y29" s="60"/>
      <c r="Z29" s="60"/>
    </row>
    <row r="30" spans="5:26">
      <c r="E30" s="60" t="str">
        <f ca="1">INDIRECT("'"&amp;Cover!$E$4&amp;"'!"&amp;CELL("address",B167))</f>
        <v>Seropositive, treated, live syphilis</v>
      </c>
      <c r="F30" s="119" t="str">
        <f>IFERROR('Full Results'!F13,"NA")</f>
        <v>NA</v>
      </c>
      <c r="G30" s="119">
        <f>IFERROR('Full Results'!G13,"NA")</f>
        <v>2149.3384605099118</v>
      </c>
      <c r="H30" s="119">
        <f>IFERROR('Full Results'!H13,"NA")</f>
        <v>7894.3508035474451</v>
      </c>
      <c r="I30" s="119">
        <f>IFERROR('Full Results'!I13,"NA")</f>
        <v>1448.4957003463967</v>
      </c>
      <c r="J30" s="119">
        <f>IFERROR('Full Results'!J13,"NA")</f>
        <v>808.33650094132315</v>
      </c>
      <c r="K30" s="119">
        <f>IFERROR('Full Results'!K13,"NA")</f>
        <v>851.771036386368</v>
      </c>
      <c r="L30" s="119">
        <f>IFERROR('Full Results'!L13,"NA")</f>
        <v>1643.1514056496351</v>
      </c>
      <c r="M30" s="119">
        <f>IFERROR('Full Results'!M13,"NA")</f>
        <v>1666.1864807871693</v>
      </c>
      <c r="N30" s="119" t="str">
        <f>IFERROR('Full Results'!N13,"NA")</f>
        <v>NA</v>
      </c>
      <c r="O30" s="119">
        <f>IFERROR('Full Results'!O13,"NA")</f>
        <v>4013.9040822383658</v>
      </c>
      <c r="P30" s="119">
        <f>IFERROR('Full Results'!P13,"NA")</f>
        <v>4003.8684650799892</v>
      </c>
      <c r="Q30" s="119">
        <f>IFERROR('Full Results'!Q13,"NA")</f>
        <v>4951.9888069840526</v>
      </c>
      <c r="R30" s="119">
        <f>IFERROR('Full Results'!R13,"NA")</f>
        <v>5952.7451497826787</v>
      </c>
      <c r="S30" s="119">
        <f>IFERROR('Full Results'!S13,"NA")</f>
        <v>7005.1211528259564</v>
      </c>
      <c r="T30" s="119">
        <f>IFERROR('Full Results'!T13,"NA")</f>
        <v>8107.2253498167629</v>
      </c>
      <c r="U30" s="119">
        <f>IFERROR('Full Results'!U13,"NA")</f>
        <v>9256.7324560425859</v>
      </c>
      <c r="V30" s="119">
        <f>IFERROR('Full Results'!V13,"NA")</f>
        <v>10450.840126347313</v>
      </c>
      <c r="W30" s="119">
        <f>IFERROR('Full Results'!W13,"NA")</f>
        <v>11686.53472777298</v>
      </c>
      <c r="X30" s="119">
        <f>IFERROR('Full Results'!X13,"NA")</f>
        <v>12960.803084688932</v>
      </c>
      <c r="Y30" s="119">
        <f>IFERROR('Full Results'!Y13,"NA")</f>
        <v>14270.844140682562</v>
      </c>
      <c r="Z30" s="119">
        <f>IFERROR('Full Results'!Z13,"NA")</f>
        <v>15613.408041925015</v>
      </c>
    </row>
    <row r="31" spans="5:26">
      <c r="E31" s="60" t="str">
        <f ca="1">INDIRECT("'"&amp;Cover!$E$4&amp;"'!"&amp;CELL("address",B168))</f>
        <v>Seropositive, not treated, live syphilis</v>
      </c>
      <c r="F31" s="119" t="str">
        <f>IFERROR('Full Results'!F15+'Full Results'!F17,"NA")</f>
        <v>NA</v>
      </c>
      <c r="G31" s="119">
        <f>IFERROR('Full Results'!G15+'Full Results'!G17,"NA")</f>
        <v>50231.056242490093</v>
      </c>
      <c r="H31" s="119">
        <f>IFERROR('Full Results'!H15+'Full Results'!H17,"NA")</f>
        <v>106816.64181085258</v>
      </c>
      <c r="I31" s="119">
        <f>IFERROR('Full Results'!I15+'Full Results'!I17,"NA")</f>
        <v>14585.552702053605</v>
      </c>
      <c r="J31" s="119">
        <f>IFERROR('Full Results'!J15+'Full Results'!J17,"NA")</f>
        <v>39994.300442658685</v>
      </c>
      <c r="K31" s="119">
        <f>IFERROR('Full Results'!K15+'Full Results'!K17,"NA")</f>
        <v>36306.595728013628</v>
      </c>
      <c r="L31" s="119">
        <f>IFERROR('Full Results'!L15+'Full Results'!L17,"NA")</f>
        <v>14259.730984150367</v>
      </c>
      <c r="M31" s="119">
        <f>IFERROR('Full Results'!M15+'Full Results'!M17,"NA")</f>
        <v>15986.538329212832</v>
      </c>
      <c r="N31" s="119" t="str">
        <f>IFERROR('Full Results'!N15+'Full Results'!N17,"NA")</f>
        <v>NA</v>
      </c>
      <c r="O31" s="119">
        <f>IFERROR('Full Results'!O15+'Full Results'!O17,"NA")</f>
        <v>12942.279641022304</v>
      </c>
      <c r="P31" s="119">
        <f>IFERROR('Full Results'!P15+'Full Results'!P17,"NA")</f>
        <v>12909.921178793802</v>
      </c>
      <c r="Q31" s="119">
        <f>IFERROR('Full Results'!Q15+'Full Results'!Q17,"NA")</f>
        <v>11907.435879195025</v>
      </c>
      <c r="R31" s="119">
        <f>IFERROR('Full Results'!R15+'Full Results'!R17,"NA")</f>
        <v>10844.520587210254</v>
      </c>
      <c r="S31" s="119">
        <f>IFERROR('Full Results'!S15+'Full Results'!S17,"NA")</f>
        <v>9725.2383916260496</v>
      </c>
      <c r="T31" s="119">
        <f>IFERROR('Full Results'!T15+'Full Results'!T17,"NA")</f>
        <v>8551.372371170246</v>
      </c>
      <c r="U31" s="119">
        <f>IFERROR('Full Results'!U15+'Full Results'!U17,"NA")</f>
        <v>7324.5981460394496</v>
      </c>
      <c r="V31" s="119">
        <f>IFERROR('Full Results'!V15+'Full Results'!V17,"NA")</f>
        <v>6046.7855317540243</v>
      </c>
      <c r="W31" s="119">
        <f>IFERROR('Full Results'!W15+'Full Results'!W17,"NA")</f>
        <v>4720.2945313571472</v>
      </c>
      <c r="X31" s="119">
        <f>IFERROR('Full Results'!X15+'Full Results'!X17,"NA")</f>
        <v>3347.9268325394069</v>
      </c>
      <c r="Y31" s="119">
        <f>IFERROR('Full Results'!Y15+'Full Results'!Y17,"NA")</f>
        <v>1932.764374133814</v>
      </c>
      <c r="Z31" s="119">
        <f>IFERROR('Full Results'!Z15+'Full Results'!Z17,"NA")</f>
        <v>477.92879540555577</v>
      </c>
    </row>
    <row r="32" spans="5:26">
      <c r="E32" s="60" t="str">
        <f ca="1">INDIRECT("'"&amp;Cover!$E$4&amp;"'!"&amp;CELL("address",B169))</f>
        <v>Seropositive, no live syphilis</v>
      </c>
      <c r="F32" s="119" t="str">
        <f>IFERROR('Full Results'!F14+'Full Results'!F16+'Full Results'!F18,"NA")</f>
        <v>NA</v>
      </c>
      <c r="G32" s="119">
        <f>IFERROR('Full Results'!G14+'Full Results'!G16+'Full Results'!G18,"NA")</f>
        <v>23975.865796999991</v>
      </c>
      <c r="H32" s="119">
        <f>IFERROR('Full Results'!H14+'Full Results'!H16+'Full Results'!H18,"NA")</f>
        <v>52506.197785600001</v>
      </c>
      <c r="I32" s="119">
        <f>IFERROR('Full Results'!I14+'Full Results'!I16+'Full Results'!I18,"NA")</f>
        <v>7339.1999975999988</v>
      </c>
      <c r="J32" s="119">
        <f>IFERROR('Full Results'!J14+'Full Results'!J16+'Full Results'!J18,"NA")</f>
        <v>18676.425656399995</v>
      </c>
      <c r="K32" s="119">
        <f>IFERROR('Full Results'!K14+'Full Results'!K16+'Full Results'!K18,"NA")</f>
        <v>17008.348635599996</v>
      </c>
      <c r="L32" s="119">
        <f>IFERROR('Full Results'!L14+'Full Results'!L16+'Full Results'!L18,"NA")</f>
        <v>7279.1619101999986</v>
      </c>
      <c r="M32" s="119">
        <f>IFERROR('Full Results'!M14+'Full Results'!M16+'Full Results'!M18,"NA")</f>
        <v>8080.1101899999976</v>
      </c>
      <c r="N32" s="119" t="str">
        <f>IFERROR('Full Results'!N14+'Full Results'!N16+'Full Results'!N18,"NA")</f>
        <v>NA</v>
      </c>
      <c r="O32" s="119">
        <f>IFERROR('Full Results'!O14+'Full Results'!O16+'Full Results'!O18,"NA")</f>
        <v>7761.2852610843283</v>
      </c>
      <c r="P32" s="119">
        <f>IFERROR('Full Results'!P14+'Full Results'!P16+'Full Results'!P18,"NA")</f>
        <v>7741.8803909276521</v>
      </c>
      <c r="Q32" s="119">
        <f>IFERROR('Full Results'!Q14+'Full Results'!Q16+'Full Results'!Q18,"NA")</f>
        <v>7716.9961391548532</v>
      </c>
      <c r="R32" s="119">
        <f>IFERROR('Full Results'!R14+'Full Results'!R16+'Full Results'!R18,"NA")</f>
        <v>7688.5443752416613</v>
      </c>
      <c r="S32" s="119">
        <f>IFERROR('Full Results'!S14+'Full Results'!S16+'Full Results'!S18,"NA")</f>
        <v>7657.9196748657851</v>
      </c>
      <c r="T32" s="119">
        <f>IFERROR('Full Results'!T14+'Full Results'!T16+'Full Results'!T18,"NA")</f>
        <v>7625.072426224373</v>
      </c>
      <c r="U32" s="119">
        <f>IFERROR('Full Results'!U14+'Full Results'!U16+'Full Results'!U18,"NA")</f>
        <v>7589.7052610113087</v>
      </c>
      <c r="V32" s="119">
        <f>IFERROR('Full Results'!V14+'Full Results'!V16+'Full Results'!V18,"NA")</f>
        <v>7551.391336215479</v>
      </c>
      <c r="W32" s="119">
        <f>IFERROR('Full Results'!W14+'Full Results'!W16+'Full Results'!W18,"NA")</f>
        <v>7509.8314684648085</v>
      </c>
      <c r="X32" s="119">
        <f>IFERROR('Full Results'!X14+'Full Results'!X16+'Full Results'!X18,"NA")</f>
        <v>7464.9288542415416</v>
      </c>
      <c r="Y32" s="119">
        <f>IFERROR('Full Results'!Y14+'Full Results'!Y16+'Full Results'!Y18,"NA")</f>
        <v>7416.8120607176979</v>
      </c>
      <c r="Z32" s="119">
        <f>IFERROR('Full Results'!Z14+'Full Results'!Z16+'Full Results'!Z18,"NA")</f>
        <v>7365.422400760639</v>
      </c>
    </row>
    <row r="33" spans="1:26">
      <c r="E33" s="60" t="str">
        <f ca="1">INDIRECT("'"&amp;Cover!$E$4&amp;"'!"&amp;CELL("address",B170))</f>
        <v>Seronegative</v>
      </c>
      <c r="F33" s="119">
        <f>IFERROR('Full Results'!F19,"NA")</f>
        <v>26473093.737500001</v>
      </c>
      <c r="G33" s="119">
        <f>IFERROR('Full Results'!G19,"NA")</f>
        <v>26253388.739500001</v>
      </c>
      <c r="H33" s="119">
        <f>IFERROR('Full Results'!H19,"NA")</f>
        <v>25960468.809599999</v>
      </c>
      <c r="I33" s="119">
        <f>IFERROR('Full Results'!I19,"NA")</f>
        <v>25946902.751600001</v>
      </c>
      <c r="J33" s="119">
        <f>IFERROR('Full Results'!J19,"NA")</f>
        <v>25800982.937400002</v>
      </c>
      <c r="K33" s="119">
        <f>IFERROR('Full Results'!K19,"NA")</f>
        <v>25739507.284600001</v>
      </c>
      <c r="L33" s="119">
        <f>IFERROR('Full Results'!L19,"NA")</f>
        <v>25734644.955699999</v>
      </c>
      <c r="M33" s="119">
        <f>IFERROR('Full Results'!M19,"NA")</f>
        <v>25707102.164999999</v>
      </c>
      <c r="N33" s="119" t="str">
        <f>IFERROR('Full Results'!N19,"NA")</f>
        <v>NA</v>
      </c>
      <c r="O33" s="119">
        <f>IFERROR('Full Results'!O19,"NA")</f>
        <v>25631491.531015653</v>
      </c>
      <c r="P33" s="119">
        <f>IFERROR('Full Results'!P19,"NA")</f>
        <v>25567407.329965197</v>
      </c>
      <c r="Q33" s="119">
        <f>IFERROR('Full Results'!Q19,"NA")</f>
        <v>25485227.579174664</v>
      </c>
      <c r="R33" s="119">
        <f>IFERROR('Full Results'!R19,"NA")</f>
        <v>25391266.189887766</v>
      </c>
      <c r="S33" s="119">
        <f>IFERROR('Full Results'!S19,"NA")</f>
        <v>25290128.720780682</v>
      </c>
      <c r="T33" s="119">
        <f>IFERROR('Full Results'!T19,"NA")</f>
        <v>25181651.329852786</v>
      </c>
      <c r="U33" s="119">
        <f>IFERROR('Full Results'!U19,"NA")</f>
        <v>25064851.964136906</v>
      </c>
      <c r="V33" s="119">
        <f>IFERROR('Full Results'!V19,"NA")</f>
        <v>24938320.98300568</v>
      </c>
      <c r="W33" s="119">
        <f>IFERROR('Full Results'!W19,"NA")</f>
        <v>24801070.339272402</v>
      </c>
      <c r="X33" s="119">
        <f>IFERROR('Full Results'!X19,"NA")</f>
        <v>24652780.34122853</v>
      </c>
      <c r="Y33" s="119">
        <f>IFERROR('Full Results'!Y19,"NA")</f>
        <v>24493875.579424463</v>
      </c>
      <c r="Z33" s="119">
        <f>IFERROR('Full Results'!Z19,"NA")</f>
        <v>24324162.240761906</v>
      </c>
    </row>
    <row r="34" spans="1:26">
      <c r="E34" s="60"/>
      <c r="F34" s="119"/>
      <c r="G34" s="119"/>
      <c r="H34" s="119"/>
      <c r="I34" s="119"/>
      <c r="J34" s="119"/>
      <c r="K34" s="119"/>
      <c r="L34" s="119"/>
      <c r="M34" s="119"/>
      <c r="N34" s="119"/>
      <c r="O34" s="119"/>
      <c r="P34" s="119"/>
      <c r="Q34" s="119"/>
      <c r="R34" s="119"/>
      <c r="S34" s="119"/>
      <c r="T34" s="119"/>
      <c r="U34" s="119"/>
      <c r="V34" s="119"/>
      <c r="W34" s="119"/>
      <c r="X34" s="119"/>
      <c r="Y34" s="119"/>
      <c r="Z34" s="119"/>
    </row>
    <row r="35" spans="1:26" ht="20" customHeight="1">
      <c r="E35" s="210" t="str">
        <f ca="1">INDIRECT("'"&amp;Cover!$E$4&amp;"'!"&amp;CELL("address",B171))</f>
        <v>4. Drug administration</v>
      </c>
      <c r="F35" s="211"/>
      <c r="G35" s="211"/>
      <c r="H35" s="211"/>
      <c r="I35" s="211"/>
      <c r="J35" s="211"/>
      <c r="K35" s="211"/>
      <c r="L35" s="211"/>
      <c r="M35" s="211"/>
      <c r="N35" s="211"/>
      <c r="O35" s="211"/>
      <c r="P35" s="211"/>
      <c r="Q35" s="211"/>
      <c r="R35" s="211"/>
      <c r="S35" s="211"/>
      <c r="T35" s="211"/>
      <c r="U35" s="211"/>
      <c r="V35" s="211"/>
      <c r="W35" s="211"/>
      <c r="X35" s="211"/>
      <c r="Y35" s="211"/>
      <c r="Z35" s="211"/>
    </row>
    <row r="36" spans="1:26">
      <c r="E36" s="60"/>
      <c r="F36" s="60"/>
      <c r="G36" s="60"/>
      <c r="H36" s="60"/>
      <c r="I36" s="60"/>
      <c r="J36" s="60"/>
      <c r="K36" s="60"/>
      <c r="L36" s="60"/>
      <c r="M36" s="60"/>
      <c r="N36" s="60"/>
      <c r="O36" s="60"/>
      <c r="P36" s="60"/>
      <c r="Q36" s="60"/>
      <c r="R36" s="60"/>
      <c r="S36" s="60"/>
      <c r="T36" s="60"/>
      <c r="U36" s="60"/>
      <c r="V36" s="60"/>
      <c r="W36" s="60"/>
      <c r="X36" s="60"/>
      <c r="Y36" s="60"/>
      <c r="Z36" s="60"/>
    </row>
    <row r="37" spans="1:26">
      <c r="E37" s="17" t="str">
        <f ca="1">INDIRECT("'"&amp;Cover!$E$4&amp;"'!"&amp;CELL("address",B172))</f>
        <v>Benzathine penicillin doses given (1 dose / case)</v>
      </c>
      <c r="F37" s="119" t="str">
        <f>IFERROR('Full Results'!F32,"NA")</f>
        <v>NA</v>
      </c>
      <c r="G37" s="119">
        <f>IFERROR('Full Results'!G32,"NA")</f>
        <v>3133.1464438919993</v>
      </c>
      <c r="H37" s="119">
        <f>IFERROR('Full Results'!H32,"NA")</f>
        <v>11507.800005171202</v>
      </c>
      <c r="I37" s="119">
        <f>IFERROR('Full Results'!I32,"NA")</f>
        <v>2111.5097672687998</v>
      </c>
      <c r="J37" s="119">
        <f>IFERROR('Full Results'!J32,"NA")</f>
        <v>1178.3330917511998</v>
      </c>
      <c r="K37" s="119">
        <f>IFERROR('Full Results'!K32,"NA")</f>
        <v>1241.648741088</v>
      </c>
      <c r="L37" s="119">
        <f>IFERROR('Full Results'!L32,"NA")</f>
        <v>2395.2644397224999</v>
      </c>
      <c r="M37" s="119">
        <f>IFERROR('Full Results'!M32,"NA")</f>
        <v>2428.8432664535994</v>
      </c>
      <c r="N37" s="119" t="str">
        <f>IFERROR('Full Results'!N32,"NA")</f>
        <v>NA</v>
      </c>
      <c r="O37" s="119">
        <f>IFERROR('Full Results'!O32,"NA")</f>
        <v>5851.1721315428067</v>
      </c>
      <c r="P37" s="119">
        <f>IFERROR('Full Results'!P32,"NA")</f>
        <v>5836.5429520116459</v>
      </c>
      <c r="Q37" s="119">
        <f>IFERROR('Full Results'!Q32,"NA")</f>
        <v>7218.6425757785019</v>
      </c>
      <c r="R37" s="119">
        <f>IFERROR('Full Results'!R32,"NA")</f>
        <v>8677.4710638231463</v>
      </c>
      <c r="S37" s="119">
        <f>IFERROR('Full Results'!S32,"NA")</f>
        <v>10211.546870008682</v>
      </c>
      <c r="T37" s="119">
        <f>IFERROR('Full Results'!T32,"NA")</f>
        <v>11818.11275483493</v>
      </c>
      <c r="U37" s="119">
        <f>IFERROR('Full Results'!U32,"NA")</f>
        <v>13493.779090441087</v>
      </c>
      <c r="V37" s="119">
        <f>IFERROR('Full Results'!V32,"NA")</f>
        <v>15234.460825579172</v>
      </c>
      <c r="W37" s="119">
        <f>IFERROR('Full Results'!W32,"NA")</f>
        <v>17035.764909290057</v>
      </c>
      <c r="X37" s="119">
        <f>IFERROR('Full Results'!X32,"NA")</f>
        <v>18893.298957272495</v>
      </c>
      <c r="Y37" s="119">
        <f>IFERROR('Full Results'!Y32,"NA")</f>
        <v>20802.979796913354</v>
      </c>
      <c r="Z37" s="119">
        <f>IFERROR('Full Results'!Z32,"NA")</f>
        <v>22760.070031960662</v>
      </c>
    </row>
    <row r="38" spans="1:26">
      <c r="E38" s="17" t="str">
        <f ca="1">INDIRECT("'"&amp;Cover!$E$4&amp;"'!"&amp;CELL("address",B173))</f>
        <v>Number of tests administered</v>
      </c>
      <c r="F38" s="119" t="str">
        <f>F25</f>
        <v>NA</v>
      </c>
      <c r="G38" s="119">
        <f t="shared" ref="G38:Z38" si="0">G25</f>
        <v>3520.3892627999994</v>
      </c>
      <c r="H38" s="119">
        <f t="shared" si="0"/>
        <v>12427.429811200001</v>
      </c>
      <c r="I38" s="119">
        <f t="shared" si="0"/>
        <v>2280.2481287999999</v>
      </c>
      <c r="J38" s="119">
        <f t="shared" si="0"/>
        <v>5637.9573768</v>
      </c>
      <c r="K38" s="119">
        <f t="shared" si="0"/>
        <v>5239.0242239999998</v>
      </c>
      <c r="L38" s="119">
        <f t="shared" si="0"/>
        <v>3206.5119675000001</v>
      </c>
      <c r="M38" s="119">
        <f t="shared" si="0"/>
        <v>5102.6119043142844</v>
      </c>
      <c r="N38" s="119" t="str">
        <f t="shared" si="0"/>
        <v>NA</v>
      </c>
      <c r="O38" s="119">
        <f t="shared" si="0"/>
        <v>8366.8632512007825</v>
      </c>
      <c r="P38" s="119">
        <f t="shared" si="0"/>
        <v>8345.9443067802895</v>
      </c>
      <c r="Q38" s="119">
        <f t="shared" si="0"/>
        <v>9910.3519938798963</v>
      </c>
      <c r="R38" s="119">
        <f t="shared" si="0"/>
        <v>11455.989885054345</v>
      </c>
      <c r="S38" s="119">
        <f t="shared" si="0"/>
        <v>12983.05532408727</v>
      </c>
      <c r="T38" s="119">
        <f>T25</f>
        <v>14490.153398053564</v>
      </c>
      <c r="U38" s="119">
        <f t="shared" si="0"/>
        <v>15975.332519199457</v>
      </c>
      <c r="V38" s="119">
        <f t="shared" si="0"/>
        <v>17436.104877680762</v>
      </c>
      <c r="W38" s="119">
        <f t="shared" si="0"/>
        <v>18869.96190164279</v>
      </c>
      <c r="X38" s="119">
        <f t="shared" si="0"/>
        <v>20274.708730266004</v>
      </c>
      <c r="Y38" s="119">
        <f t="shared" si="0"/>
        <v>21648.737855559149</v>
      </c>
      <c r="Z38" s="119">
        <f t="shared" si="0"/>
        <v>22989.9697292532</v>
      </c>
    </row>
    <row r="39" spans="1:26">
      <c r="A39" s="90"/>
      <c r="B39" s="90"/>
      <c r="C39" s="90"/>
      <c r="D39" s="90"/>
      <c r="E39" s="60"/>
      <c r="F39" s="119"/>
      <c r="G39" s="119"/>
      <c r="H39" s="119"/>
      <c r="I39" s="119"/>
      <c r="J39" s="119"/>
      <c r="K39" s="119"/>
      <c r="L39" s="119"/>
      <c r="M39" s="119"/>
      <c r="N39" s="119"/>
      <c r="O39" s="119"/>
      <c r="P39" s="119"/>
      <c r="Q39" s="119"/>
      <c r="R39" s="119"/>
      <c r="S39" s="119"/>
      <c r="T39" s="119"/>
      <c r="U39" s="119"/>
      <c r="V39" s="119"/>
      <c r="W39" s="119"/>
      <c r="X39" s="119"/>
      <c r="Y39" s="119"/>
      <c r="Z39" s="119"/>
    </row>
    <row r="40" spans="1:26" ht="19">
      <c r="E40" s="205" t="str">
        <f ca="1">INDIRECT("'"&amp;Cover!$E$4&amp;"'!"&amp;CELL("address",B174))</f>
        <v>5. Infant status</v>
      </c>
      <c r="F40" s="212"/>
      <c r="G40" s="212"/>
      <c r="H40" s="212"/>
      <c r="I40" s="212"/>
      <c r="J40" s="212"/>
      <c r="K40" s="212"/>
      <c r="L40" s="212"/>
      <c r="M40" s="212"/>
      <c r="N40" s="212"/>
      <c r="O40" s="212"/>
      <c r="P40" s="212"/>
      <c r="Q40" s="212"/>
      <c r="R40" s="212"/>
      <c r="S40" s="212"/>
      <c r="T40" s="212"/>
      <c r="U40" s="212"/>
      <c r="V40" s="212"/>
      <c r="W40" s="212"/>
      <c r="X40" s="212"/>
      <c r="Y40" s="212"/>
      <c r="Z40" s="212"/>
    </row>
    <row r="41" spans="1:26" ht="21" customHeight="1">
      <c r="B41" s="90"/>
      <c r="E41" s="60"/>
      <c r="F41" s="60"/>
      <c r="G41" s="60"/>
      <c r="H41" s="60"/>
      <c r="I41" s="60"/>
      <c r="J41" s="60"/>
      <c r="K41" s="60"/>
      <c r="L41" s="60"/>
      <c r="M41" s="60"/>
      <c r="N41" s="60"/>
      <c r="O41" s="60"/>
      <c r="P41" s="60"/>
      <c r="Q41" s="60"/>
      <c r="R41" s="60"/>
      <c r="S41" s="60"/>
      <c r="T41" s="60"/>
      <c r="U41" s="60"/>
      <c r="V41" s="60"/>
      <c r="W41" s="60"/>
      <c r="X41" s="60"/>
      <c r="Y41" s="60"/>
      <c r="Z41" s="60"/>
    </row>
    <row r="42" spans="1:26" ht="36" customHeight="1">
      <c r="B42" s="90"/>
      <c r="E42" s="60" t="str">
        <f ca="1">INDIRECT("'"&amp;Cover!$E$4&amp;"'!"&amp;CELL("address",B175))</f>
        <v>Number of normal births *</v>
      </c>
      <c r="F42" s="119" t="str">
        <f>IFERROR('Full Results'!F67+'Full Results'!F75,"NA")</f>
        <v>NA</v>
      </c>
      <c r="G42" s="119">
        <f>IFERROR('Full Results'!G67+'Full Results'!G75,"NA")</f>
        <v>26271907.93908529</v>
      </c>
      <c r="H42" s="119">
        <f>IFERROR('Full Results'!H67+'Full Results'!H75,"NA")</f>
        <v>26013167.094451644</v>
      </c>
      <c r="I42" s="119">
        <f>IFERROR('Full Results'!I67+'Full Results'!I75,"NA")</f>
        <v>25948198.178310115</v>
      </c>
      <c r="J42" s="119">
        <f>IFERROR('Full Results'!J67+'Full Results'!J75,"NA")</f>
        <v>25813033.236982305</v>
      </c>
      <c r="K42" s="119">
        <f>IFERROR('Full Results'!K67+'Full Results'!K75,"NA")</f>
        <v>25749949.762510292</v>
      </c>
      <c r="L42" s="119">
        <f>IFERROR('Full Results'!L67+'Full Results'!L75,"NA")</f>
        <v>25736130.102741044</v>
      </c>
      <c r="M42" s="119">
        <f>IFERROR('Full Results'!M67+'Full Results'!M75,"NA")</f>
        <v>25709418.280100491</v>
      </c>
      <c r="N42" s="119" t="str">
        <f>IFERROR('Full Results'!N67+'Full Results'!N75,"NA")</f>
        <v>NA</v>
      </c>
      <c r="O42" s="119">
        <f>IFERROR('Full Results'!O67+'Full Results'!O75,"NA")</f>
        <v>25635787.985441569</v>
      </c>
      <c r="P42" s="119">
        <f>IFERROR('Full Results'!P67+'Full Results'!P75,"NA")</f>
        <v>25571693.042337772</v>
      </c>
      <c r="Q42" s="119">
        <f>IFERROR('Full Results'!Q67+'Full Results'!Q75,"NA")</f>
        <v>25490431.711660404</v>
      </c>
      <c r="R42" s="119">
        <f>IFERROR('Full Results'!R67+'Full Results'!R75,"NA")</f>
        <v>25397439.6161872</v>
      </c>
      <c r="S42" s="119">
        <f>IFERROR('Full Results'!S67+'Full Results'!S75,"NA")</f>
        <v>25297321.401086599</v>
      </c>
      <c r="T42" s="119">
        <f>IFERROR('Full Results'!T67+'Full Results'!T75,"NA")</f>
        <v>25189911.386991125</v>
      </c>
      <c r="U42" s="119">
        <f>IFERROR('Full Results'!U67+'Full Results'!U75,"NA")</f>
        <v>25074225.249888062</v>
      </c>
      <c r="V42" s="119">
        <f>IFERROR('Full Results'!V67+'Full Results'!V75,"NA")</f>
        <v>24948850.608618446</v>
      </c>
      <c r="W42" s="119">
        <f>IFERROR('Full Results'!W67+'Full Results'!W75,"NA")</f>
        <v>24812796.477132704</v>
      </c>
      <c r="X42" s="119">
        <f>IFERROR('Full Results'!X67+'Full Results'!X75,"NA")</f>
        <v>24665740.235806782</v>
      </c>
      <c r="Y42" s="119">
        <f>IFERROR('Full Results'!Y67+'Full Results'!Y75,"NA")</f>
        <v>24508103.764736038</v>
      </c>
      <c r="Z42" s="119">
        <f>IFERROR('Full Results'!Z67+'Full Results'!Z75,"NA")</f>
        <v>24339690.095298387</v>
      </c>
    </row>
    <row r="43" spans="1:26">
      <c r="B43" s="90"/>
      <c r="E43" s="60" t="str">
        <f ca="1">INDIRECT("'"&amp;Cover!$E$4&amp;"'!"&amp;CELL("address",B176))</f>
        <v>Number of asymptomatic congenital syphilis cases **</v>
      </c>
      <c r="F43" s="119" t="str">
        <f>IFERROR('Full Results'!F60,"NA")</f>
        <v>NA</v>
      </c>
      <c r="G43" s="119">
        <f>IFERROR('Full Results'!G60,"NA")</f>
        <v>24613.217558820146</v>
      </c>
      <c r="H43" s="119">
        <f>IFERROR('Full Results'!H60,"NA")</f>
        <v>52340.154487317777</v>
      </c>
      <c r="I43" s="119">
        <f>IFERROR('Full Results'!I60,"NA")</f>
        <v>7146.9208240062662</v>
      </c>
      <c r="J43" s="119">
        <f>IFERROR('Full Results'!J60,"NA")</f>
        <v>19597.207216902756</v>
      </c>
      <c r="K43" s="119">
        <f>IFERROR('Full Results'!K60,"NA")</f>
        <v>17790.23190672668</v>
      </c>
      <c r="L43" s="119">
        <f>IFERROR('Full Results'!L60,"NA")</f>
        <v>6987.2681822336799</v>
      </c>
      <c r="M43" s="119">
        <f>IFERROR('Full Results'!M60,"NA")</f>
        <v>7833.4037813142877</v>
      </c>
      <c r="N43" s="119" t="str">
        <f>IFERROR('Full Results'!N60,"NA")</f>
        <v>NA</v>
      </c>
      <c r="O43" s="119">
        <f>IFERROR('Full Results'!O60,"NA")</f>
        <v>6341.7170241009298</v>
      </c>
      <c r="P43" s="119">
        <f>IFERROR('Full Results'!P60,"NA")</f>
        <v>6325.8613776089624</v>
      </c>
      <c r="Q43" s="119">
        <f>IFERROR('Full Results'!Q60,"NA")</f>
        <v>5834.643580805563</v>
      </c>
      <c r="R43" s="119">
        <f>IFERROR('Full Results'!R60,"NA")</f>
        <v>5313.8150877330245</v>
      </c>
      <c r="S43" s="119">
        <f>IFERROR('Full Results'!S60,"NA")</f>
        <v>4765.3668118967644</v>
      </c>
      <c r="T43" s="119">
        <f>IFERROR('Full Results'!T60,"NA")</f>
        <v>4190.1724618734206</v>
      </c>
      <c r="U43" s="119">
        <f>IFERROR('Full Results'!U60,"NA")</f>
        <v>3589.0530915593304</v>
      </c>
      <c r="V43" s="119">
        <f>IFERROR('Full Results'!V60,"NA")</f>
        <v>2962.9249105594718</v>
      </c>
      <c r="W43" s="119">
        <f>IFERROR('Full Results'!W60,"NA")</f>
        <v>2312.9443203650026</v>
      </c>
      <c r="X43" s="119">
        <f>IFERROR('Full Results'!X60,"NA")</f>
        <v>1640.4841479443094</v>
      </c>
      <c r="Y43" s="119">
        <f>IFERROR('Full Results'!Y60,"NA")</f>
        <v>947.05454332556894</v>
      </c>
      <c r="Z43" s="119">
        <f>IFERROR('Full Results'!Z60,"NA")</f>
        <v>234.18510974872231</v>
      </c>
    </row>
    <row r="44" spans="1:26" ht="16" customHeight="1">
      <c r="E44" s="60" t="str">
        <f ca="1">INDIRECT("'"&amp;Cover!$E$4&amp;"'!"&amp;CELL("address",B177))</f>
        <v>Total number of adverse birth outcomes due to congenital syphilis</v>
      </c>
      <c r="F44" s="91" t="str">
        <f>IFERROR('Full Results'!F42+'Full Results'!F43+'Full Results'!F44+'Full Results'!F45+'Full Results'!F55+'Full Results'!F56+'Full Results'!F57+'Full Results'!F58,"NA")</f>
        <v>NA</v>
      </c>
      <c r="G44" s="91">
        <f>IFERROR('Full Results'!G42+'Full Results'!G43+'Full Results'!G44+'Full Results'!G45+'Full Results'!G55+'Full Results'!G56+'Full Results'!G57+'Full Results'!G58,"NA")</f>
        <v>25682.239714165054</v>
      </c>
      <c r="H44" s="91">
        <f>IFERROR('Full Results'!H42+'Full Results'!H43+'Full Results'!H44+'Full Results'!H45+'Full Results'!H55+'Full Results'!H56+'Full Results'!H57+'Full Results'!H58,"NA")</f>
        <v>54713.02723392089</v>
      </c>
      <c r="I44" s="91">
        <f>IFERROR('Full Results'!I42+'Full Results'!I43+'Full Results'!I44+'Full Results'!I45+'Full Results'!I55+'Full Results'!I56+'Full Results'!I57+'Full Results'!I58,"NA")</f>
        <v>7482.0334257718941</v>
      </c>
      <c r="J44" s="91">
        <f>IFERROR('Full Results'!J42+'Full Results'!J43+'Full Results'!J44+'Full Results'!J45+'Full Results'!J55+'Full Results'!J56+'Full Results'!J57+'Full Results'!J58,"NA")</f>
        <v>20421.31356359657</v>
      </c>
      <c r="K44" s="91">
        <f>IFERROR('Full Results'!K42+'Full Results'!K43+'Full Results'!K44+'Full Results'!K45+'Full Results'!K55+'Full Results'!K56+'Full Results'!K57+'Full Results'!K58,"NA")</f>
        <v>18541.885596240976</v>
      </c>
      <c r="L44" s="91">
        <f>IFERROR('Full Results'!L42+'Full Results'!L43+'Full Results'!L44+'Full Results'!L45+'Full Results'!L55+'Full Results'!L56+'Full Results'!L57+'Full Results'!L58,"NA")</f>
        <v>7321.6968549649064</v>
      </c>
      <c r="M44" s="91">
        <f>IFERROR('Full Results'!M42+'Full Results'!M43+'Full Results'!M44+'Full Results'!M45+'Full Results'!M55+'Full Results'!M56+'Full Results'!M57+'Full Results'!M58,"NA")</f>
        <v>8203.0588052136336</v>
      </c>
      <c r="N44" s="91" t="str">
        <f>IFERROR('Full Results'!N42+'Full Results'!N43+'Full Results'!N44+'Full Results'!N45+'Full Results'!N55+'Full Results'!N56+'Full Results'!N57+'Full Results'!N58,"NA")</f>
        <v>NA</v>
      </c>
      <c r="O44" s="91">
        <f>IFERROR('Full Results'!O42+'Full Results'!O43+'Full Results'!O44+'Full Results'!O45+'Full Results'!O55+'Full Results'!O56+'Full Results'!O57+'Full Results'!O58,"NA")</f>
        <v>6720.8319760540217</v>
      </c>
      <c r="P44" s="91">
        <f>IFERROR('Full Results'!P42+'Full Results'!P43+'Full Results'!P44+'Full Results'!P45+'Full Results'!P55+'Full Results'!P56+'Full Results'!P57+'Full Results'!P58,"NA")</f>
        <v>6704.0284612426185</v>
      </c>
      <c r="Q44" s="91">
        <f>IFERROR('Full Results'!Q42+'Full Results'!Q43+'Full Results'!Q44+'Full Results'!Q45+'Full Results'!Q55+'Full Results'!Q56+'Full Results'!Q57+'Full Results'!Q58,"NA")</f>
        <v>6221.1696656722143</v>
      </c>
      <c r="R44" s="91">
        <f>IFERROR('Full Results'!R42+'Full Results'!R43+'Full Results'!R44+'Full Results'!R45+'Full Results'!R55+'Full Results'!R56+'Full Results'!R57+'Full Results'!R58,"NA")</f>
        <v>5709.0687163294615</v>
      </c>
      <c r="S44" s="91">
        <f>IFERROR('Full Results'!S42+'Full Results'!S43+'Full Results'!S44+'Full Results'!S45+'Full Results'!S55+'Full Results'!S56+'Full Results'!S57+'Full Results'!S58,"NA")</f>
        <v>5169.7673356904261</v>
      </c>
      <c r="T44" s="91">
        <f>IFERROR('Full Results'!T42+'Full Results'!T43+'Full Results'!T44+'Full Results'!T45+'Full Results'!T55+'Full Results'!T56+'Full Results'!T57+'Full Results'!T58,"NA")</f>
        <v>4604.1182195476958</v>
      </c>
      <c r="U44" s="91">
        <f>IFERROR('Full Results'!U42+'Full Results'!U43+'Full Results'!U44+'Full Results'!U45+'Full Results'!U55+'Full Results'!U56+'Full Results'!U57+'Full Results'!U58,"NA")</f>
        <v>4012.906261260573</v>
      </c>
      <c r="V44" s="91">
        <f>IFERROR('Full Results'!V42+'Full Results'!V43+'Full Results'!V44+'Full Results'!V45+'Full Results'!V55+'Full Results'!V56+'Full Results'!V57+'Full Results'!V58,"NA")</f>
        <v>3397.0010995521288</v>
      </c>
      <c r="W44" s="91">
        <f>IFERROR('Full Results'!W42+'Full Results'!W43+'Full Results'!W44+'Full Results'!W45+'Full Results'!W55+'Full Results'!W56+'Full Results'!W57+'Full Results'!W58,"NA")</f>
        <v>2757.5160379261279</v>
      </c>
      <c r="X44" s="91">
        <f>IFERROR('Full Results'!X42+'Full Results'!X43+'Full Results'!X44+'Full Results'!X45+'Full Results'!X55+'Full Results'!X56+'Full Results'!X57+'Full Results'!X58,"NA")</f>
        <v>2095.789652759498</v>
      </c>
      <c r="Y44" s="91">
        <f>IFERROR('Full Results'!Y42+'Full Results'!Y43+'Full Results'!Y44+'Full Results'!Y45+'Full Results'!Y55+'Full Results'!Y56+'Full Results'!Y57+'Full Results'!Y58,"NA")</f>
        <v>1413.309804279626</v>
      </c>
      <c r="Z44" s="91">
        <f>IFERROR('Full Results'!Z42+'Full Results'!Z43+'Full Results'!Z44+'Full Results'!Z45+'Full Results'!Z55+'Full Results'!Z56+'Full Results'!Z57+'Full Results'!Z58,"NA")</f>
        <v>711.57115253334166</v>
      </c>
    </row>
    <row r="45" spans="1:26" s="86" customFormat="1">
      <c r="E45" s="60" t="str">
        <f ca="1">INDIRECT("'"&amp;Cover!$E$4&amp;"'!"&amp;CELL("address",B178))</f>
        <v xml:space="preserve">     Number of stillbirths</v>
      </c>
      <c r="F45" s="370" t="str">
        <f>IFERROR('Full Results'!F42+'Full Results'!F55,"NA")</f>
        <v>NA</v>
      </c>
      <c r="G45" s="370">
        <f>IFERROR('Full Results'!G42+'Full Results'!G55,"NA")</f>
        <v>10548.521810922919</v>
      </c>
      <c r="H45" s="370">
        <f>IFERROR('Full Results'!H42+'Full Results'!H55,"NA")</f>
        <v>22431.494780279041</v>
      </c>
      <c r="I45" s="370">
        <f>IFERROR('Full Results'!I42+'Full Results'!I55,"NA")</f>
        <v>3062.9660674312568</v>
      </c>
      <c r="J45" s="370">
        <f>IFERROR('Full Results'!J42+'Full Results'!J55,"NA")</f>
        <v>8398.8030929583238</v>
      </c>
      <c r="K45" s="370">
        <f>IFERROR('Full Results'!K42+'Full Results'!K55,"NA")</f>
        <v>7624.3851028828612</v>
      </c>
      <c r="L45" s="370">
        <f>IFERROR('Full Results'!L42+'Full Results'!L55,"NA")</f>
        <v>2994.5435066715768</v>
      </c>
      <c r="M45" s="370">
        <f>IFERROR('Full Results'!M42+'Full Results'!M55,"NA")</f>
        <v>3357.1730491346943</v>
      </c>
      <c r="N45" s="370" t="str">
        <f>IFERROR('Full Results'!N42+'Full Results'!N55,"NA")</f>
        <v>NA</v>
      </c>
      <c r="O45" s="370">
        <f>IFERROR('Full Results'!O42+'Full Results'!O55,"NA")</f>
        <v>2717.8787246146835</v>
      </c>
      <c r="P45" s="370">
        <f>IFERROR('Full Results'!P42+'Full Results'!P55,"NA")</f>
        <v>2711.0834475466982</v>
      </c>
      <c r="Q45" s="370">
        <f>IFERROR('Full Results'!Q42+'Full Results'!Q55,"NA")</f>
        <v>2500.5615346309551</v>
      </c>
      <c r="R45" s="370">
        <f>IFERROR('Full Results'!R42+'Full Results'!R55,"NA")</f>
        <v>2277.3493233141535</v>
      </c>
      <c r="S45" s="370">
        <f>IFERROR('Full Results'!S42+'Full Results'!S55,"NA")</f>
        <v>2042.3000622414704</v>
      </c>
      <c r="T45" s="370">
        <f>IFERROR('Full Results'!T42+'Full Results'!T55,"NA")</f>
        <v>1795.7881979457516</v>
      </c>
      <c r="U45" s="370">
        <f>IFERROR('Full Results'!U42+'Full Results'!U55,"NA")</f>
        <v>1538.1656106682844</v>
      </c>
      <c r="V45" s="370">
        <f>IFERROR('Full Results'!V42+'Full Results'!V55,"NA")</f>
        <v>1269.8249616683452</v>
      </c>
      <c r="W45" s="370">
        <f>IFERROR('Full Results'!W42+'Full Results'!W55,"NA")</f>
        <v>991.26185158500084</v>
      </c>
      <c r="X45" s="370">
        <f>IFERROR('Full Results'!X42+'Full Results'!X55,"NA")</f>
        <v>703.06463483327536</v>
      </c>
      <c r="Y45" s="370">
        <f>IFERROR('Full Results'!Y42+'Full Results'!Y55,"NA")</f>
        <v>405.88051856810091</v>
      </c>
      <c r="Z45" s="370">
        <f>IFERROR('Full Results'!Z42+'Full Results'!Z55,"NA")</f>
        <v>100.36504703516671</v>
      </c>
    </row>
    <row r="46" spans="1:26" s="86" customFormat="1">
      <c r="E46" s="60" t="str">
        <f ca="1">INDIRECT("'"&amp;Cover!$E$4&amp;"'!"&amp;CELL("address",B179))</f>
        <v xml:space="preserve">     Number of neonatal deaths</v>
      </c>
      <c r="F46" s="370" t="str">
        <f>IFERROR('Full Results'!F43+'Full Results'!F56,"NA")</f>
        <v>NA</v>
      </c>
      <c r="G46" s="370">
        <f>IFERROR('Full Results'!G43+'Full Results'!G56,"NA")</f>
        <v>4547.0811967200716</v>
      </c>
      <c r="H46" s="370">
        <f>IFERROR('Full Results'!H43+'Full Results'!H56,"NA")</f>
        <v>9710.0446651751299</v>
      </c>
      <c r="I46" s="370">
        <f>IFERROR('Full Results'!I43+'Full Results'!I56,"NA")</f>
        <v>1330.4146606234185</v>
      </c>
      <c r="J46" s="370">
        <f>IFERROR('Full Results'!J43+'Full Results'!J56,"NA")</f>
        <v>3609.3728920191347</v>
      </c>
      <c r="K46" s="370">
        <f>IFERROR('Full Results'!K43+'Full Results'!K56,"NA")</f>
        <v>3278.01066652287</v>
      </c>
      <c r="L46" s="370">
        <f>IFERROR('Full Results'!L43+'Full Results'!L56,"NA")</f>
        <v>1303.4713204299492</v>
      </c>
      <c r="M46" s="370">
        <f>IFERROR('Full Results'!M43+'Full Results'!M56,"NA")</f>
        <v>1459.1656975128647</v>
      </c>
      <c r="N46" s="370" t="str">
        <f>IFERROR('Full Results'!N43+'Full Results'!N56,"NA")</f>
        <v>NA</v>
      </c>
      <c r="O46" s="370">
        <f>IFERROR('Full Results'!O43+'Full Results'!O56,"NA")</f>
        <v>1213.8947020318635</v>
      </c>
      <c r="P46" s="370">
        <f>IFERROR('Full Results'!P43+'Full Results'!P56,"NA")</f>
        <v>1210.8597061150258</v>
      </c>
      <c r="Q46" s="370">
        <f>IFERROR('Full Results'!Q43+'Full Results'!Q56,"NA")</f>
        <v>1132.2314198552058</v>
      </c>
      <c r="R46" s="370">
        <f>IFERROR('Full Results'!R43+'Full Results'!R56,"NA")</f>
        <v>1048.8081658498336</v>
      </c>
      <c r="S46" s="370">
        <f>IFERROR('Full Results'!S43+'Full Results'!S56,"NA")</f>
        <v>960.94319237334082</v>
      </c>
      <c r="T46" s="370">
        <f>IFERROR('Full Results'!T43+'Full Results'!T56,"NA")</f>
        <v>868.77384411996343</v>
      </c>
      <c r="U46" s="370">
        <f>IFERROR('Full Results'!U43+'Full Results'!U56,"NA")</f>
        <v>772.42248897230706</v>
      </c>
      <c r="V46" s="370">
        <f>IFERROR('Full Results'!V43+'Full Results'!V56,"NA")</f>
        <v>672.02313800381171</v>
      </c>
      <c r="W46" s="370">
        <f>IFERROR('Full Results'!W43+'Full Results'!W56,"NA")</f>
        <v>567.75133514213633</v>
      </c>
      <c r="X46" s="370">
        <f>IFERROR('Full Results'!X43+'Full Results'!X56,"NA")</f>
        <v>459.82238152626127</v>
      </c>
      <c r="Y46" s="370">
        <f>IFERROR('Full Results'!Y43+'Full Results'!Y56,"NA")</f>
        <v>348.47939508893342</v>
      </c>
      <c r="Z46" s="370">
        <f>IFERROR('Full Results'!Z43+'Full Results'!Z56,"NA")</f>
        <v>233.96357806670738</v>
      </c>
    </row>
    <row r="47" spans="1:26" s="86" customFormat="1">
      <c r="B47" s="427"/>
      <c r="E47" s="60" t="str">
        <f ca="1">INDIRECT("'"&amp;Cover!$E$4&amp;"'!"&amp;CELL("address",B180))</f>
        <v xml:space="preserve">     Number of premature / low birth weight</v>
      </c>
      <c r="F47" s="370" t="str">
        <f>IFERROR('Full Results'!F44+'Full Results'!F57,"NA")</f>
        <v>NA</v>
      </c>
      <c r="G47" s="370">
        <f>IFERROR('Full Results'!G44+'Full Results'!G57,"NA")</f>
        <v>3045.4067364245611</v>
      </c>
      <c r="H47" s="370">
        <f>IFERROR('Full Results'!H44+'Full Results'!H57,"NA")</f>
        <v>6524.8547912892318</v>
      </c>
      <c r="I47" s="370">
        <f>IFERROR('Full Results'!I44+'Full Results'!I57,"NA")</f>
        <v>896.39106304952918</v>
      </c>
      <c r="J47" s="370">
        <f>IFERROR('Full Results'!J44+'Full Results'!J57,"NA")</f>
        <v>2411.5210491753451</v>
      </c>
      <c r="K47" s="370">
        <f>IFERROR('Full Results'!K44+'Full Results'!K57,"NA")</f>
        <v>2190.8962048827902</v>
      </c>
      <c r="L47" s="370">
        <f>IFERROR('Full Results'!L44+'Full Results'!L57,"NA")</f>
        <v>879.69849727672158</v>
      </c>
      <c r="M47" s="370">
        <f>IFERROR('Full Results'!M44+'Full Results'!M57,"NA")</f>
        <v>983.64499721322159</v>
      </c>
      <c r="N47" s="370" t="str">
        <f>IFERROR('Full Results'!N44+'Full Results'!N57,"NA")</f>
        <v>NA</v>
      </c>
      <c r="O47" s="370">
        <f>IFERROR('Full Results'!O44+'Full Results'!O57,"NA")</f>
        <v>835.44421966916559</v>
      </c>
      <c r="P47" s="370">
        <f>IFERROR('Full Results'!P44+'Full Results'!P57,"NA")</f>
        <v>833.3554307559283</v>
      </c>
      <c r="Q47" s="370">
        <f>IFERROR('Full Results'!Q44+'Full Results'!Q57,"NA")</f>
        <v>787.12078162488581</v>
      </c>
      <c r="R47" s="370">
        <f>IFERROR('Full Results'!R44+'Full Results'!R57,"NA")</f>
        <v>738.03281083370837</v>
      </c>
      <c r="S47" s="370">
        <f>IFERROR('Full Results'!S44+'Full Results'!S57,"NA")</f>
        <v>686.32038804995864</v>
      </c>
      <c r="T47" s="370">
        <f>IFERROR('Full Results'!T44+'Full Results'!T57,"NA")</f>
        <v>632.06273912778443</v>
      </c>
      <c r="U47" s="370">
        <f>IFERROR('Full Results'!U44+'Full Results'!U57,"NA")</f>
        <v>575.32627575687479</v>
      </c>
      <c r="V47" s="370">
        <f>IFERROR('Full Results'!V44+'Full Results'!V57,"NA")</f>
        <v>516.18206008038089</v>
      </c>
      <c r="W47" s="370">
        <f>IFERROR('Full Results'!W44+'Full Results'!W57,"NA")</f>
        <v>454.7274646654206</v>
      </c>
      <c r="X47" s="370">
        <f>IFERROR('Full Results'!X44+'Full Results'!X57,"NA")</f>
        <v>391.08636986962205</v>
      </c>
      <c r="Y47" s="370">
        <f>IFERROR('Full Results'!Y44+'Full Results'!Y57,"NA")</f>
        <v>325.40258414829702</v>
      </c>
      <c r="Z47" s="370">
        <f>IFERROR('Full Results'!Z44+'Full Results'!Z57,"NA")</f>
        <v>257.81571150058227</v>
      </c>
    </row>
    <row r="48" spans="1:26" s="86" customFormat="1">
      <c r="E48" s="60" t="str">
        <f ca="1">INDIRECT("'"&amp;Cover!$E$4&amp;"'!"&amp;CELL("address",B181))</f>
        <v xml:space="preserve">     Number of infants with clinical congenital syphilis</v>
      </c>
      <c r="F48" s="370" t="str">
        <f>IFERROR('Full Results'!F45+'Full Results'!F58,"NA")</f>
        <v>NA</v>
      </c>
      <c r="G48" s="370">
        <f>IFERROR('Full Results'!G45+'Full Results'!G58,"NA")</f>
        <v>7541.2299700975045</v>
      </c>
      <c r="H48" s="370">
        <f>IFERROR('Full Results'!H45+'Full Results'!H58,"NA")</f>
        <v>16046.632997177485</v>
      </c>
      <c r="I48" s="370">
        <f>IFERROR('Full Results'!I45+'Full Results'!I58,"NA")</f>
        <v>2192.2616346676891</v>
      </c>
      <c r="J48" s="370">
        <f>IFERROR('Full Results'!J45+'Full Results'!J58,"NA")</f>
        <v>6001.616529443766</v>
      </c>
      <c r="K48" s="370">
        <f>IFERROR('Full Results'!K45+'Full Results'!K58,"NA")</f>
        <v>5448.5936219524556</v>
      </c>
      <c r="L48" s="370">
        <f>IFERROR('Full Results'!L45+'Full Results'!L58,"NA")</f>
        <v>2143.9835305866586</v>
      </c>
      <c r="M48" s="370">
        <f>IFERROR('Full Results'!M45+'Full Results'!M58,"NA")</f>
        <v>2403.0750613528521</v>
      </c>
      <c r="N48" s="370" t="str">
        <f>IFERROR('Full Results'!N45+'Full Results'!N58,"NA")</f>
        <v>NA</v>
      </c>
      <c r="O48" s="370">
        <f>IFERROR('Full Results'!O45+'Full Results'!O58,"NA")</f>
        <v>1953.6143297383094</v>
      </c>
      <c r="P48" s="370">
        <f>IFERROR('Full Results'!P45+'Full Results'!P58,"NA")</f>
        <v>1948.7298768249661</v>
      </c>
      <c r="Q48" s="370">
        <f>IFERROR('Full Results'!Q45+'Full Results'!Q58,"NA")</f>
        <v>1801.2559295611672</v>
      </c>
      <c r="R48" s="370">
        <f>IFERROR('Full Results'!R45+'Full Results'!R58,"NA")</f>
        <v>1644.8784163317659</v>
      </c>
      <c r="S48" s="370">
        <f>IFERROR('Full Results'!S45+'Full Results'!S58,"NA")</f>
        <v>1480.2036930256563</v>
      </c>
      <c r="T48" s="370">
        <f>IFERROR('Full Results'!T45+'Full Results'!T58,"NA")</f>
        <v>1307.4934383541972</v>
      </c>
      <c r="U48" s="370">
        <f>IFERROR('Full Results'!U45+'Full Results'!U58,"NA")</f>
        <v>1126.9918858631065</v>
      </c>
      <c r="V48" s="370">
        <f>IFERROR('Full Results'!V45+'Full Results'!V58,"NA")</f>
        <v>938.97093979959095</v>
      </c>
      <c r="W48" s="370">
        <f>IFERROR('Full Results'!W45+'Full Results'!W58,"NA")</f>
        <v>743.77538653357033</v>
      </c>
      <c r="X48" s="370">
        <f>IFERROR('Full Results'!X45+'Full Results'!X58,"NA")</f>
        <v>541.8162665303397</v>
      </c>
      <c r="Y48" s="370">
        <f>IFERROR('Full Results'!Y45+'Full Results'!Y58,"NA")</f>
        <v>333.54730647429466</v>
      </c>
      <c r="Z48" s="370">
        <f>IFERROR('Full Results'!Z45+'Full Results'!Z58,"NA")</f>
        <v>119.42681593088527</v>
      </c>
    </row>
    <row r="49" spans="2:26">
      <c r="S49" s="17"/>
    </row>
    <row r="50" spans="2:26" ht="31" customHeight="1">
      <c r="E50" s="1" t="str">
        <f ca="1">INDIRECT("'"&amp;Cover!$E$4&amp;"'!"&amp;CELL("address",B182))</f>
        <v>Total number of congenital syphilis cases (clinical and asymptomatic) ***</v>
      </c>
      <c r="F50" s="91" t="str">
        <f>IFERROR(SUM('Full Results'!F42:F45)+'Full Results'!F54,"NA")</f>
        <v>NA</v>
      </c>
      <c r="G50" s="91">
        <f>IFERROR(SUM('Full Results'!G42:G45)+'Full Results'!G54,"NA")</f>
        <v>50295.457272985201</v>
      </c>
      <c r="H50" s="91">
        <f>IFERROR(SUM('Full Results'!H42:H45)+'Full Results'!H54,"NA")</f>
        <v>107053.18172123865</v>
      </c>
      <c r="I50" s="91">
        <f>IFERROR(SUM('Full Results'!I42:I45)+'Full Results'!I54,"NA")</f>
        <v>14628.95424977816</v>
      </c>
      <c r="J50" s="91">
        <f>IFERROR(SUM('Full Results'!J42:J45)+'Full Results'!J54,"NA")</f>
        <v>40018.520780499326</v>
      </c>
      <c r="K50" s="91">
        <f>IFERROR(SUM('Full Results'!K42:K45)+'Full Results'!K54,"NA")</f>
        <v>36332.117502967652</v>
      </c>
      <c r="L50" s="91">
        <f>IFERROR(SUM('Full Results'!L42:L45)+'Full Results'!L54,"NA")</f>
        <v>14308.965037198586</v>
      </c>
      <c r="M50" s="91">
        <f>IFERROR(SUM('Full Results'!M42:M45)+'Full Results'!M54,"NA")</f>
        <v>16036.462586527921</v>
      </c>
      <c r="N50" s="91" t="str">
        <f>IFERROR(SUM('Full Results'!N42:N45)+'Full Results'!N54,"NA")</f>
        <v>NA</v>
      </c>
      <c r="O50" s="91">
        <f>IFERROR(SUM('Full Results'!O42:O45)+'Full Results'!O54,"NA")</f>
        <v>13062.549000154952</v>
      </c>
      <c r="P50" s="91">
        <f>IFERROR(SUM('Full Results'!P42:P45)+'Full Results'!P54,"NA")</f>
        <v>13029.889838851581</v>
      </c>
      <c r="Q50" s="91">
        <f>IFERROR(SUM('Full Results'!Q42:Q45)+'Full Results'!Q54,"NA")</f>
        <v>12055.813246477777</v>
      </c>
      <c r="R50" s="91">
        <f>IFERROR(SUM('Full Results'!R42:R45)+'Full Results'!R54,"NA")</f>
        <v>11022.883804062487</v>
      </c>
      <c r="S50" s="91">
        <f>IFERROR(SUM('Full Results'!S42:S45)+'Full Results'!S54,"NA")</f>
        <v>9935.1341475871905</v>
      </c>
      <c r="T50" s="91">
        <f>IFERROR(SUM('Full Results'!T42:T45)+'Full Results'!T54,"NA")</f>
        <v>8794.2906814211165</v>
      </c>
      <c r="U50" s="91">
        <f>IFERROR(SUM('Full Results'!U42:U45)+'Full Results'!U54,"NA")</f>
        <v>7601.959352819903</v>
      </c>
      <c r="V50" s="91">
        <f>IFERROR(SUM('Full Results'!V42:V45)+'Full Results'!V54,"NA")</f>
        <v>6359.9260101116006</v>
      </c>
      <c r="W50" s="91">
        <f>IFERROR(SUM('Full Results'!W42:W45)+'Full Results'!W54,"NA")</f>
        <v>5070.4603582911304</v>
      </c>
      <c r="X50" s="91">
        <f>IFERROR(SUM('Full Results'!X42:X45)+'Full Results'!X54,"NA")</f>
        <v>3736.2738007038079</v>
      </c>
      <c r="Y50" s="91">
        <f>IFERROR(SUM('Full Results'!Y42:Y45)+'Full Results'!Y54,"NA")</f>
        <v>2360.3643476051948</v>
      </c>
      <c r="Z50" s="91">
        <f>IFERROR(SUM('Full Results'!Z42:Z45)+'Full Results'!Z54,"NA")</f>
        <v>945.75626228206397</v>
      </c>
    </row>
    <row r="51" spans="2:26">
      <c r="L51" s="91"/>
      <c r="S51" s="17"/>
    </row>
    <row r="52" spans="2:26" ht="31" customHeight="1">
      <c r="E52" s="116" t="str">
        <f ca="1">INDIRECT("'"&amp;Cover!$E$4&amp;"'!"&amp;CELL("address",B183))</f>
        <v>Clinical congenital syphilis case rate per 100,000 live births for all pregnant women</v>
      </c>
      <c r="F52" s="268" t="str">
        <f>IFERROR('Full Results'!F85,"NA")</f>
        <v>NA</v>
      </c>
      <c r="G52" s="268">
        <f>IFERROR('Full Results'!G85,"NA")</f>
        <v>191.02143705905704</v>
      </c>
      <c r="H52" s="268">
        <f>IFERROR('Full Results'!H85,"NA")</f>
        <v>409.73081857015063</v>
      </c>
      <c r="I52" s="268">
        <f>IFERROR('Full Results'!I85,"NA")</f>
        <v>56.329606392239192</v>
      </c>
      <c r="J52" s="268">
        <f>IFERROR('Full Results'!J85,"NA")</f>
        <v>154.7478957665154</v>
      </c>
      <c r="K52" s="268">
        <f>IFERROR('Full Results'!K85,"NA")</f>
        <v>140.8566980530484</v>
      </c>
      <c r="L52" s="268">
        <f>IFERROR('Full Results'!L85,"NA")</f>
        <v>55.551910637487346</v>
      </c>
      <c r="M52" s="268">
        <f>IFERROR('Full Results'!M85,"NA")</f>
        <v>62.319066618691345</v>
      </c>
      <c r="N52" s="268" t="str">
        <f>IFERROR('Full Results'!N85,"NA")</f>
        <v>NA</v>
      </c>
      <c r="O52" s="268">
        <f>IFERROR('Full Results'!O85,"NA")</f>
        <v>50.913792447492739</v>
      </c>
      <c r="P52" s="268">
        <f>IFERROR('Full Results'!P85,"NA")</f>
        <v>50.913792447492732</v>
      </c>
      <c r="Q52" s="268">
        <f>IFERROR('Full Results'!Q85,"NA")</f>
        <v>47.259529106839786</v>
      </c>
      <c r="R52" s="268">
        <f>IFERROR('Full Results'!R85,"NA")</f>
        <v>43.370283924955238</v>
      </c>
      <c r="S52" s="268">
        <f>IFERROR('Full Results'!S85,"NA")</f>
        <v>39.246785342920795</v>
      </c>
      <c r="T52" s="268">
        <f>IFERROR('Full Results'!T85,"NA")</f>
        <v>34.889761801818167</v>
      </c>
      <c r="U52" s="268">
        <f>IFERROR('Full Results'!U85,"NA")</f>
        <v>30.299941742729096</v>
      </c>
      <c r="V52" s="268">
        <f>IFERROR('Full Results'!V85,"NA")</f>
        <v>25.478053606735262</v>
      </c>
      <c r="W52" s="268">
        <f>IFERROR('Full Results'!W85,"NA")</f>
        <v>20.424825834918387</v>
      </c>
      <c r="X52" s="268">
        <f>IFERROR('Full Results'!X85,"NA")</f>
        <v>15.140986868360176</v>
      </c>
      <c r="Y52" s="268">
        <f>IFERROR('Full Results'!Y85,"NA")</f>
        <v>9.6272651481423512</v>
      </c>
      <c r="Z52" s="268">
        <f>IFERROR('Full Results'!Z85,"NA")</f>
        <v>3.8843891153466132</v>
      </c>
    </row>
    <row r="53" spans="2:26">
      <c r="E53" s="60"/>
      <c r="F53" s="64"/>
      <c r="G53" s="119"/>
      <c r="H53" s="119"/>
      <c r="I53" s="119"/>
      <c r="Q53" s="60"/>
      <c r="R53" s="60"/>
      <c r="U53" s="710"/>
      <c r="V53" s="710"/>
      <c r="W53" s="68"/>
      <c r="X53" s="710"/>
      <c r="Y53" s="60"/>
    </row>
    <row r="54" spans="2:26" ht="28" customHeight="1">
      <c r="E54" s="64"/>
      <c r="F54" s="64"/>
      <c r="G54" s="60"/>
      <c r="H54" s="60"/>
      <c r="I54" s="60"/>
      <c r="Q54" s="60"/>
      <c r="R54" s="60"/>
      <c r="U54" s="710"/>
      <c r="V54" s="710"/>
      <c r="W54" s="68"/>
      <c r="X54" s="710"/>
      <c r="Y54" s="60"/>
    </row>
    <row r="55" spans="2:26" s="64" customFormat="1" ht="38" customHeight="1">
      <c r="J55" s="119"/>
      <c r="K55" s="119"/>
      <c r="L55" s="119"/>
      <c r="M55" s="119"/>
      <c r="N55" s="119"/>
      <c r="O55" s="119"/>
      <c r="P55" s="119"/>
      <c r="Q55" s="60"/>
      <c r="R55" s="119"/>
      <c r="S55" s="113"/>
      <c r="U55" s="710"/>
      <c r="V55" s="710"/>
      <c r="W55" s="68"/>
      <c r="X55" s="710"/>
      <c r="Y55" s="60"/>
    </row>
    <row r="56" spans="2:26" s="64" customFormat="1" ht="30" customHeight="1">
      <c r="B56" s="88"/>
      <c r="E56" s="807" t="str">
        <f ca="1">INDIRECT("'"&amp;Cover!$E$4&amp;"'!"&amp;CELL("address",B185))</f>
        <v>* Normal births arise from treated women and women without syphilis</v>
      </c>
      <c r="F56" s="807"/>
      <c r="G56" s="807"/>
      <c r="H56" s="807"/>
      <c r="I56" s="807"/>
      <c r="J56" s="807"/>
      <c r="K56" s="807"/>
      <c r="L56" s="807"/>
      <c r="M56" s="807"/>
      <c r="N56" s="807"/>
      <c r="O56" s="807"/>
      <c r="P56" s="807"/>
      <c r="Q56" s="60"/>
      <c r="R56" s="119"/>
      <c r="S56" s="113"/>
      <c r="U56" s="710"/>
      <c r="V56" s="710"/>
      <c r="W56" s="68"/>
      <c r="X56" s="710"/>
      <c r="Y56" s="60"/>
    </row>
    <row r="57" spans="2:26" ht="52" customHeight="1">
      <c r="E57" s="807" t="str">
        <f ca="1">INDIRECT("'"&amp;Cover!$E$4&amp;"'!"&amp;CELL("address",B186))</f>
        <v>** By WHO case definition, all infants born to untreated women with syphilis are considered CS cases,  those without clinical signs (asymptomatic) at the time of delivery are called “non-clinical CS” .  WHO CS case definition can be found in the WHO Global Guidance on Criteria and Processes for Validation of Elimination of Mother to Child transmission of HIV and Syphilis. This number excludes infants that incur neonatal death, stillbirth or are born with clinical CS.</v>
      </c>
      <c r="F57" s="807"/>
      <c r="G57" s="807"/>
      <c r="H57" s="807"/>
      <c r="I57" s="807"/>
      <c r="J57" s="807"/>
      <c r="K57" s="807"/>
      <c r="L57" s="807"/>
      <c r="M57" s="807"/>
      <c r="N57" s="807"/>
      <c r="O57" s="807"/>
      <c r="P57" s="807"/>
      <c r="Q57" s="60"/>
      <c r="R57" s="60"/>
      <c r="U57" s="710"/>
      <c r="V57" s="73"/>
      <c r="W57" s="68"/>
      <c r="X57" s="710"/>
      <c r="Y57" s="60"/>
    </row>
    <row r="58" spans="2:26" ht="27" customHeight="1">
      <c r="B58" s="90"/>
      <c r="C58" s="90"/>
      <c r="E58" s="807" t="str">
        <f ca="1">INDIRECT("'"&amp;Cover!$E$4&amp;"'!"&amp;CELL("address",B187))</f>
        <v>*** Non-clinical Cs cases (asymptomatic) born to untreated women (CS cases by WHO case definition) are also included</v>
      </c>
      <c r="F58" s="807"/>
      <c r="G58" s="807"/>
      <c r="H58" s="807"/>
      <c r="I58" s="807"/>
      <c r="J58" s="807"/>
      <c r="K58" s="807"/>
      <c r="L58" s="807"/>
      <c r="M58" s="807"/>
      <c r="N58" s="807"/>
      <c r="O58" s="807"/>
      <c r="P58" s="807"/>
      <c r="Q58" s="60"/>
      <c r="R58" s="60"/>
      <c r="U58" s="710"/>
      <c r="V58" s="710"/>
      <c r="W58" s="68"/>
      <c r="X58" s="710"/>
      <c r="Y58" s="60"/>
    </row>
    <row r="59" spans="2:26">
      <c r="Q59" s="60"/>
      <c r="R59" s="60"/>
      <c r="U59" s="710"/>
      <c r="V59" s="710"/>
      <c r="W59" s="68"/>
      <c r="X59" s="710"/>
      <c r="Y59" s="60"/>
    </row>
    <row r="60" spans="2:26">
      <c r="B60" s="89"/>
      <c r="C60" s="89"/>
      <c r="D60" s="89"/>
      <c r="Q60" s="60"/>
      <c r="R60" s="60"/>
      <c r="U60" s="710"/>
      <c r="V60" s="710"/>
      <c r="W60" s="68"/>
      <c r="X60" s="710"/>
      <c r="Y60" s="60"/>
    </row>
    <row r="61" spans="2:26">
      <c r="C61" s="90"/>
      <c r="D61" s="90"/>
      <c r="E61" s="60"/>
      <c r="F61" s="119"/>
      <c r="G61" s="119"/>
      <c r="H61" s="119"/>
      <c r="I61" s="119"/>
      <c r="J61" s="119"/>
      <c r="K61" s="119"/>
      <c r="L61" s="119"/>
      <c r="M61" s="119"/>
      <c r="N61" s="119"/>
      <c r="O61" s="119"/>
      <c r="P61" s="119"/>
      <c r="Q61" s="60"/>
      <c r="R61" s="60"/>
      <c r="U61" s="710"/>
      <c r="V61" s="710"/>
      <c r="W61" s="68"/>
      <c r="X61" s="710"/>
      <c r="Y61" s="60"/>
    </row>
    <row r="62" spans="2:26">
      <c r="E62" s="60"/>
      <c r="F62" s="119"/>
      <c r="G62" s="119"/>
      <c r="H62" s="119"/>
      <c r="I62" s="119"/>
      <c r="J62" s="119"/>
      <c r="K62" s="119"/>
      <c r="L62" s="119"/>
      <c r="M62" s="119"/>
      <c r="N62" s="119"/>
      <c r="O62" s="119"/>
      <c r="P62" s="119"/>
      <c r="Q62" s="60"/>
      <c r="R62" s="60"/>
      <c r="U62" s="710"/>
      <c r="V62" s="710"/>
      <c r="W62" s="68"/>
      <c r="X62" s="710"/>
      <c r="Y62" s="60"/>
    </row>
    <row r="63" spans="2:26">
      <c r="B63" s="87"/>
      <c r="E63" s="60"/>
      <c r="F63" s="119"/>
      <c r="G63" s="119"/>
      <c r="H63" s="119"/>
      <c r="I63" s="119"/>
      <c r="J63" s="119"/>
      <c r="K63" s="119"/>
      <c r="L63" s="119"/>
      <c r="M63" s="119"/>
      <c r="N63" s="119"/>
      <c r="O63" s="119"/>
      <c r="P63" s="119"/>
      <c r="Q63" s="60"/>
      <c r="R63" s="60"/>
      <c r="U63" s="710"/>
      <c r="V63" s="710"/>
      <c r="W63" s="68"/>
      <c r="X63" s="710"/>
      <c r="Y63" s="60"/>
    </row>
    <row r="64" spans="2:26" s="64" customFormat="1" ht="19" customHeight="1">
      <c r="C64" s="88"/>
      <c r="D64" s="88"/>
      <c r="E64" s="60"/>
      <c r="F64" s="119"/>
      <c r="G64" s="119"/>
      <c r="H64" s="119"/>
      <c r="I64" s="119"/>
      <c r="J64" s="119"/>
      <c r="K64" s="119"/>
      <c r="L64" s="119"/>
      <c r="M64" s="119"/>
      <c r="N64" s="119"/>
      <c r="O64" s="119"/>
      <c r="P64" s="119"/>
      <c r="Q64" s="60"/>
      <c r="R64" s="60"/>
      <c r="S64" s="113"/>
      <c r="U64" s="710"/>
      <c r="V64" s="73"/>
      <c r="W64" s="68"/>
      <c r="X64" s="710"/>
      <c r="Y64" s="60"/>
    </row>
    <row r="65" spans="2:25">
      <c r="E65" s="60"/>
      <c r="F65" s="60"/>
      <c r="G65" s="60"/>
      <c r="H65" s="60"/>
      <c r="I65" s="60"/>
      <c r="J65" s="60"/>
      <c r="K65" s="60"/>
      <c r="L65" s="60"/>
      <c r="M65" s="60"/>
      <c r="N65" s="60"/>
      <c r="O65" s="60"/>
      <c r="P65" s="60"/>
      <c r="Q65" s="60"/>
      <c r="R65" s="60"/>
      <c r="U65" s="710"/>
      <c r="V65" s="710"/>
      <c r="W65" s="68"/>
      <c r="X65" s="710"/>
      <c r="Y65" s="60"/>
    </row>
    <row r="66" spans="2:25" ht="19">
      <c r="E66" s="60"/>
      <c r="F66" s="119"/>
      <c r="G66" s="119"/>
      <c r="H66" s="119"/>
      <c r="I66" s="119"/>
      <c r="J66" s="119"/>
      <c r="K66" s="119"/>
      <c r="L66" s="119"/>
      <c r="M66" s="119"/>
      <c r="N66" s="119"/>
      <c r="O66" s="119"/>
      <c r="P66" s="119"/>
      <c r="U66" s="710"/>
      <c r="V66" s="61"/>
      <c r="W66" s="61"/>
      <c r="X66" s="710"/>
      <c r="Y66" s="60"/>
    </row>
    <row r="67" spans="2:25">
      <c r="E67" s="60"/>
      <c r="F67" s="60"/>
      <c r="G67" s="60"/>
      <c r="H67" s="60"/>
      <c r="I67" s="60"/>
      <c r="J67" s="60"/>
      <c r="K67" s="60"/>
      <c r="L67" s="60"/>
      <c r="M67" s="60"/>
      <c r="N67" s="60"/>
      <c r="O67" s="60"/>
      <c r="P67" s="60"/>
      <c r="U67" s="710"/>
      <c r="V67" s="710"/>
      <c r="W67" s="68"/>
      <c r="X67" s="710"/>
      <c r="Y67" s="60"/>
    </row>
    <row r="68" spans="2:25" ht="19">
      <c r="E68" s="127"/>
      <c r="F68" s="204"/>
      <c r="G68" s="204"/>
      <c r="H68" s="204"/>
      <c r="I68" s="204"/>
      <c r="J68" s="204"/>
      <c r="K68" s="204"/>
      <c r="L68" s="204"/>
      <c r="M68" s="204"/>
      <c r="N68" s="204"/>
      <c r="O68" s="204"/>
      <c r="P68" s="204"/>
      <c r="U68" s="710"/>
      <c r="V68" s="710"/>
      <c r="W68" s="68"/>
      <c r="X68" s="710"/>
      <c r="Y68" s="60"/>
    </row>
    <row r="69" spans="2:25">
      <c r="E69" s="60"/>
      <c r="F69" s="60"/>
      <c r="G69" s="60"/>
      <c r="H69" s="60"/>
      <c r="I69" s="60"/>
      <c r="J69" s="60"/>
      <c r="K69" s="60"/>
      <c r="L69" s="60"/>
      <c r="M69" s="60"/>
      <c r="N69" s="60"/>
      <c r="O69" s="60"/>
      <c r="P69" s="60"/>
      <c r="U69" s="66"/>
      <c r="V69" s="66"/>
      <c r="W69" s="68"/>
      <c r="X69" s="66"/>
      <c r="Y69" s="60"/>
    </row>
    <row r="70" spans="2:25">
      <c r="B70" s="89"/>
      <c r="E70" s="60"/>
      <c r="F70" s="119"/>
      <c r="G70" s="119"/>
      <c r="H70" s="119"/>
      <c r="I70" s="119"/>
      <c r="J70" s="119"/>
      <c r="K70" s="119"/>
      <c r="L70" s="119"/>
      <c r="M70" s="119"/>
      <c r="N70" s="119"/>
      <c r="O70" s="119"/>
      <c r="P70" s="119"/>
      <c r="U70" s="66"/>
      <c r="V70" s="66"/>
      <c r="W70" s="68"/>
      <c r="X70" s="66"/>
      <c r="Y70" s="60"/>
    </row>
    <row r="71" spans="2:25">
      <c r="E71" s="60"/>
      <c r="F71" s="119"/>
      <c r="G71" s="119"/>
      <c r="H71" s="119"/>
      <c r="I71" s="119"/>
      <c r="J71" s="119"/>
      <c r="K71" s="119"/>
      <c r="L71" s="119"/>
      <c r="M71" s="119"/>
      <c r="N71" s="119"/>
      <c r="O71" s="119"/>
      <c r="P71" s="119"/>
      <c r="Q71" s="60"/>
      <c r="R71" s="60"/>
      <c r="U71" s="66"/>
      <c r="V71" s="66"/>
      <c r="W71" s="68"/>
      <c r="X71" s="66"/>
      <c r="Y71" s="60"/>
    </row>
    <row r="72" spans="2:25">
      <c r="B72" s="91"/>
      <c r="C72" s="91"/>
      <c r="D72" s="91"/>
      <c r="E72" s="60"/>
      <c r="F72" s="119"/>
      <c r="G72" s="119"/>
      <c r="H72" s="119"/>
      <c r="I72" s="119"/>
      <c r="J72" s="119"/>
      <c r="K72" s="119"/>
      <c r="L72" s="119"/>
      <c r="M72" s="119"/>
      <c r="N72" s="119"/>
      <c r="O72" s="119"/>
      <c r="P72" s="119"/>
      <c r="Q72" s="60"/>
      <c r="R72" s="119"/>
      <c r="U72" s="66"/>
      <c r="V72" s="66"/>
      <c r="W72" s="68"/>
      <c r="X72" s="66"/>
      <c r="Y72" s="60"/>
    </row>
    <row r="73" spans="2:25">
      <c r="E73" s="60"/>
      <c r="F73" s="119"/>
      <c r="G73" s="119"/>
      <c r="H73" s="119"/>
      <c r="I73" s="119"/>
      <c r="J73" s="119"/>
      <c r="K73" s="119"/>
      <c r="L73" s="119"/>
      <c r="M73" s="119"/>
      <c r="N73" s="119"/>
      <c r="O73" s="119"/>
      <c r="P73" s="119"/>
      <c r="Q73" s="60"/>
      <c r="R73" s="60"/>
      <c r="U73" s="66"/>
      <c r="V73" s="66"/>
      <c r="W73" s="68"/>
      <c r="X73" s="66"/>
      <c r="Y73" s="60"/>
    </row>
    <row r="74" spans="2:25">
      <c r="B74" s="91"/>
      <c r="C74" s="91"/>
      <c r="D74" s="91"/>
      <c r="E74" s="60"/>
      <c r="F74" s="119"/>
      <c r="G74" s="119"/>
      <c r="H74" s="119"/>
      <c r="I74" s="119"/>
      <c r="J74" s="119"/>
      <c r="K74" s="119"/>
      <c r="L74" s="119"/>
      <c r="M74" s="119"/>
      <c r="N74" s="119"/>
      <c r="O74" s="119"/>
      <c r="P74" s="119"/>
      <c r="Q74" s="60"/>
      <c r="R74" s="60"/>
      <c r="U74" s="66"/>
      <c r="V74" s="66"/>
      <c r="W74" s="68"/>
      <c r="X74" s="66"/>
      <c r="Y74" s="60"/>
    </row>
    <row r="75" spans="2:25" ht="26">
      <c r="E75" s="60"/>
      <c r="F75" s="60"/>
      <c r="G75" s="60"/>
      <c r="H75" s="60"/>
      <c r="I75" s="60"/>
      <c r="J75" s="60"/>
      <c r="K75" s="60"/>
      <c r="L75" s="60"/>
      <c r="M75" s="60"/>
      <c r="N75" s="60"/>
      <c r="O75" s="60"/>
      <c r="P75" s="60"/>
      <c r="Q75" s="60"/>
      <c r="R75" s="158"/>
      <c r="U75" s="66"/>
      <c r="V75" s="72"/>
      <c r="W75" s="68"/>
      <c r="X75" s="66"/>
      <c r="Y75" s="60"/>
    </row>
    <row r="76" spans="2:25" s="64" customFormat="1" ht="15" customHeight="1">
      <c r="E76" s="127"/>
      <c r="F76" s="60"/>
      <c r="G76" s="60"/>
      <c r="H76" s="60"/>
      <c r="I76" s="60"/>
      <c r="J76" s="60"/>
      <c r="K76" s="60"/>
      <c r="L76" s="60"/>
      <c r="M76" s="60"/>
      <c r="N76" s="60"/>
      <c r="O76" s="60"/>
      <c r="P76" s="60"/>
      <c r="Q76" s="60"/>
      <c r="R76" s="60"/>
      <c r="S76" s="113"/>
      <c r="U76" s="66"/>
      <c r="V76" s="66"/>
      <c r="W76" s="68"/>
      <c r="X76" s="66"/>
      <c r="Y76" s="60"/>
    </row>
    <row r="77" spans="2:25" ht="19">
      <c r="E77" s="60"/>
      <c r="F77" s="119"/>
      <c r="G77" s="119"/>
      <c r="H77" s="119"/>
      <c r="I77" s="119"/>
      <c r="J77" s="119"/>
      <c r="K77" s="119"/>
      <c r="L77" s="119"/>
      <c r="M77" s="119"/>
      <c r="N77" s="119"/>
      <c r="O77" s="119"/>
      <c r="P77" s="119"/>
      <c r="Q77" s="60"/>
      <c r="R77" s="119"/>
      <c r="U77" s="66"/>
      <c r="V77" s="61"/>
      <c r="W77" s="61"/>
      <c r="X77" s="66"/>
      <c r="Y77" s="60"/>
    </row>
    <row r="78" spans="2:25">
      <c r="E78" s="60"/>
      <c r="F78" s="119"/>
      <c r="G78" s="119"/>
      <c r="H78" s="119"/>
      <c r="I78" s="119"/>
      <c r="J78" s="119"/>
      <c r="K78" s="119"/>
      <c r="L78" s="119"/>
      <c r="M78" s="119"/>
      <c r="N78" s="119"/>
      <c r="O78" s="119"/>
      <c r="P78" s="119"/>
      <c r="Q78" s="60"/>
      <c r="R78" s="60"/>
      <c r="U78" s="66"/>
      <c r="V78" s="66"/>
      <c r="W78" s="68"/>
      <c r="X78" s="66"/>
      <c r="Y78" s="60"/>
    </row>
    <row r="79" spans="2:25">
      <c r="B79" s="91"/>
      <c r="C79" s="91"/>
      <c r="D79" s="91"/>
      <c r="E79" s="60"/>
      <c r="F79" s="60"/>
      <c r="G79" s="60"/>
      <c r="H79" s="60"/>
      <c r="I79" s="60"/>
      <c r="J79" s="60"/>
      <c r="K79" s="60"/>
      <c r="L79" s="60"/>
      <c r="M79" s="60"/>
      <c r="N79" s="60"/>
      <c r="O79" s="60"/>
      <c r="P79" s="60"/>
      <c r="Q79" s="60"/>
      <c r="R79" s="60"/>
      <c r="U79" s="66"/>
      <c r="V79" s="66"/>
      <c r="W79" s="68"/>
      <c r="X79" s="66"/>
      <c r="Y79" s="60"/>
    </row>
    <row r="80" spans="2:25">
      <c r="B80" s="91"/>
      <c r="C80" s="91"/>
      <c r="D80" s="91"/>
      <c r="E80" s="60"/>
      <c r="F80" s="60"/>
      <c r="G80" s="60"/>
      <c r="H80" s="60"/>
      <c r="I80" s="60"/>
      <c r="J80" s="60"/>
      <c r="K80" s="60"/>
      <c r="L80" s="60"/>
      <c r="M80" s="60"/>
      <c r="N80" s="60"/>
      <c r="O80" s="60"/>
      <c r="P80" s="60"/>
      <c r="Q80" s="60"/>
      <c r="R80" s="60"/>
      <c r="U80" s="66"/>
      <c r="V80" s="66"/>
      <c r="W80" s="68"/>
      <c r="X80" s="66"/>
      <c r="Y80" s="60"/>
    </row>
    <row r="81" spans="2:25" ht="26">
      <c r="E81" s="192"/>
      <c r="F81" s="119"/>
      <c r="G81" s="119"/>
      <c r="H81" s="119"/>
      <c r="I81" s="119"/>
      <c r="J81" s="119"/>
      <c r="K81" s="119"/>
      <c r="L81" s="119"/>
      <c r="M81" s="119"/>
      <c r="N81" s="119"/>
      <c r="O81" s="119"/>
      <c r="P81" s="119"/>
      <c r="Q81" s="60"/>
      <c r="R81" s="60"/>
      <c r="U81" s="66"/>
      <c r="V81" s="66"/>
      <c r="W81" s="68"/>
      <c r="X81" s="66"/>
      <c r="Y81" s="60"/>
    </row>
    <row r="82" spans="2:25">
      <c r="E82" s="60"/>
      <c r="F82" s="119"/>
      <c r="G82" s="119"/>
      <c r="H82" s="119"/>
      <c r="I82" s="119"/>
      <c r="J82" s="119"/>
      <c r="K82" s="119"/>
      <c r="L82" s="119"/>
      <c r="M82" s="119"/>
      <c r="N82" s="119"/>
      <c r="O82" s="119"/>
      <c r="P82" s="119"/>
      <c r="Q82" s="60"/>
      <c r="R82" s="60"/>
      <c r="U82" s="66"/>
      <c r="V82" s="66"/>
      <c r="W82" s="68"/>
      <c r="X82" s="66"/>
      <c r="Y82" s="60"/>
    </row>
    <row r="83" spans="2:25" ht="19">
      <c r="E83" s="127"/>
      <c r="F83" s="158"/>
      <c r="G83" s="158"/>
      <c r="H83" s="158"/>
      <c r="I83" s="158"/>
      <c r="J83" s="158"/>
      <c r="K83" s="158"/>
      <c r="L83" s="158"/>
      <c r="M83" s="158"/>
      <c r="N83" s="158"/>
      <c r="O83" s="158"/>
      <c r="P83" s="158"/>
    </row>
    <row r="84" spans="2:25">
      <c r="C84" s="90"/>
      <c r="E84" s="162"/>
      <c r="F84" s="119"/>
      <c r="G84" s="119"/>
      <c r="H84" s="119"/>
      <c r="I84" s="119"/>
      <c r="J84" s="119"/>
      <c r="K84" s="119"/>
      <c r="L84" s="119"/>
      <c r="M84" s="119"/>
      <c r="N84" s="119"/>
      <c r="O84" s="119"/>
      <c r="P84" s="119"/>
      <c r="Q84" s="60"/>
      <c r="R84" s="60"/>
      <c r="U84" s="66"/>
      <c r="V84" s="66"/>
      <c r="W84" s="66"/>
      <c r="X84" s="66"/>
      <c r="Y84" s="60"/>
    </row>
    <row r="85" spans="2:25">
      <c r="C85" s="90"/>
      <c r="E85" s="162"/>
      <c r="F85" s="119"/>
      <c r="G85" s="119"/>
      <c r="H85" s="119"/>
      <c r="I85" s="119"/>
      <c r="J85" s="119"/>
      <c r="K85" s="119"/>
      <c r="L85" s="119"/>
      <c r="M85" s="119"/>
      <c r="N85" s="119"/>
      <c r="O85" s="119"/>
      <c r="P85" s="119"/>
      <c r="Q85" s="60"/>
      <c r="R85" s="60"/>
      <c r="U85" s="60"/>
      <c r="V85" s="60"/>
      <c r="W85" s="60"/>
      <c r="X85" s="60"/>
      <c r="Y85" s="60"/>
    </row>
    <row r="86" spans="2:25" s="64" customFormat="1">
      <c r="B86" s="88"/>
      <c r="C86" s="93"/>
      <c r="E86" s="162"/>
      <c r="F86" s="119"/>
      <c r="G86" s="119"/>
      <c r="H86" s="119"/>
      <c r="I86" s="119"/>
      <c r="J86" s="119"/>
      <c r="K86" s="119"/>
      <c r="L86" s="119"/>
      <c r="M86" s="119"/>
      <c r="N86" s="119"/>
      <c r="O86" s="119"/>
      <c r="P86" s="119"/>
      <c r="Q86" s="60"/>
      <c r="R86" s="60"/>
      <c r="S86" s="113"/>
      <c r="U86" s="60"/>
      <c r="V86" s="60"/>
      <c r="W86" s="60"/>
      <c r="X86" s="60"/>
      <c r="Y86" s="60"/>
    </row>
    <row r="87" spans="2:25" s="64" customFormat="1">
      <c r="B87" s="88"/>
      <c r="C87" s="93"/>
      <c r="E87" s="60"/>
      <c r="F87" s="119"/>
      <c r="G87" s="119"/>
      <c r="H87" s="119"/>
      <c r="I87" s="119"/>
      <c r="J87" s="119"/>
      <c r="K87" s="119"/>
      <c r="L87" s="119"/>
      <c r="M87" s="119"/>
      <c r="N87" s="119"/>
      <c r="O87" s="119"/>
      <c r="P87" s="119"/>
      <c r="Q87" s="60"/>
      <c r="R87" s="60"/>
      <c r="S87" s="113"/>
      <c r="U87" s="60"/>
      <c r="V87" s="60"/>
      <c r="W87" s="60"/>
      <c r="X87" s="60"/>
      <c r="Y87" s="60"/>
    </row>
    <row r="88" spans="2:25">
      <c r="B88" s="91"/>
      <c r="E88" s="60"/>
      <c r="F88" s="119"/>
      <c r="G88" s="119"/>
      <c r="H88" s="119"/>
      <c r="I88" s="119"/>
      <c r="J88" s="119"/>
      <c r="K88" s="119"/>
      <c r="L88" s="119"/>
      <c r="M88" s="119"/>
      <c r="N88" s="119"/>
      <c r="O88" s="119"/>
      <c r="P88" s="119"/>
      <c r="Q88" s="60"/>
      <c r="R88" s="60"/>
      <c r="U88" s="60"/>
      <c r="V88" s="60"/>
      <c r="W88" s="60"/>
      <c r="X88" s="60"/>
      <c r="Y88" s="60"/>
    </row>
    <row r="89" spans="2:25">
      <c r="E89" s="60"/>
      <c r="F89" s="60"/>
      <c r="G89" s="60"/>
      <c r="H89" s="60"/>
      <c r="I89" s="60"/>
      <c r="J89" s="60"/>
      <c r="K89" s="60"/>
      <c r="L89" s="60"/>
      <c r="M89" s="60"/>
      <c r="N89" s="60"/>
      <c r="O89" s="60"/>
      <c r="P89" s="60"/>
      <c r="Q89" s="60"/>
      <c r="R89" s="60"/>
      <c r="U89" s="60"/>
      <c r="V89" s="60"/>
      <c r="W89" s="60"/>
      <c r="X89" s="60"/>
      <c r="Y89" s="60"/>
    </row>
    <row r="90" spans="2:25" s="64" customFormat="1">
      <c r="E90" s="60"/>
      <c r="F90" s="119"/>
      <c r="G90" s="119"/>
      <c r="H90" s="119"/>
      <c r="I90" s="119"/>
      <c r="J90" s="119"/>
      <c r="K90" s="119"/>
      <c r="L90" s="119"/>
      <c r="M90" s="119"/>
      <c r="N90" s="119"/>
      <c r="O90" s="119"/>
      <c r="P90" s="119"/>
      <c r="Q90" s="60"/>
      <c r="R90" s="60"/>
      <c r="S90" s="113"/>
    </row>
    <row r="91" spans="2:25" ht="19">
      <c r="E91" s="127"/>
      <c r="F91" s="158"/>
      <c r="G91" s="158"/>
      <c r="H91" s="158"/>
      <c r="I91" s="158"/>
      <c r="J91" s="158"/>
      <c r="K91" s="158"/>
      <c r="L91" s="158"/>
      <c r="M91" s="158"/>
      <c r="N91" s="158"/>
      <c r="O91" s="158"/>
      <c r="P91" s="158"/>
    </row>
    <row r="92" spans="2:25">
      <c r="E92" s="162"/>
      <c r="F92" s="119"/>
      <c r="G92" s="119"/>
      <c r="H92" s="119"/>
      <c r="I92" s="119"/>
      <c r="J92" s="119"/>
      <c r="K92" s="119"/>
      <c r="L92" s="119"/>
      <c r="M92" s="119"/>
      <c r="N92" s="119"/>
      <c r="O92" s="119"/>
      <c r="P92" s="119"/>
      <c r="Q92" s="60"/>
      <c r="R92" s="60"/>
    </row>
    <row r="93" spans="2:25">
      <c r="E93" s="162"/>
      <c r="F93" s="119"/>
      <c r="G93" s="119"/>
      <c r="H93" s="119"/>
      <c r="I93" s="119"/>
      <c r="J93" s="119"/>
      <c r="K93" s="119"/>
      <c r="L93" s="119"/>
      <c r="M93" s="119"/>
      <c r="N93" s="119"/>
      <c r="O93" s="119"/>
      <c r="P93" s="119"/>
      <c r="Q93" s="60"/>
      <c r="R93" s="60"/>
    </row>
    <row r="94" spans="2:25">
      <c r="E94" s="162"/>
      <c r="F94" s="119"/>
      <c r="G94" s="119"/>
      <c r="H94" s="119"/>
      <c r="I94" s="119"/>
      <c r="J94" s="119"/>
      <c r="K94" s="119"/>
      <c r="L94" s="119"/>
      <c r="M94" s="119"/>
      <c r="N94" s="119"/>
      <c r="O94" s="119"/>
      <c r="P94" s="119"/>
      <c r="Q94" s="60"/>
      <c r="R94" s="60"/>
    </row>
    <row r="95" spans="2:25">
      <c r="E95" s="60"/>
      <c r="F95" s="119"/>
      <c r="G95" s="119"/>
      <c r="H95" s="119"/>
      <c r="I95" s="119"/>
      <c r="J95" s="119"/>
      <c r="K95" s="119"/>
      <c r="L95" s="119"/>
      <c r="M95" s="119"/>
      <c r="N95" s="119"/>
      <c r="O95" s="119"/>
      <c r="P95" s="119"/>
      <c r="Q95" s="60"/>
      <c r="R95" s="60"/>
    </row>
    <row r="96" spans="2:25">
      <c r="E96" s="60"/>
      <c r="F96" s="119"/>
      <c r="G96" s="119"/>
      <c r="H96" s="119"/>
      <c r="I96" s="119"/>
      <c r="J96" s="119"/>
      <c r="K96" s="119"/>
      <c r="L96" s="119"/>
      <c r="M96" s="119"/>
      <c r="N96" s="119"/>
      <c r="O96" s="119"/>
      <c r="P96" s="119"/>
      <c r="Q96" s="60"/>
      <c r="R96" s="60"/>
    </row>
    <row r="97" spans="5:18">
      <c r="E97" s="60"/>
      <c r="F97" s="60"/>
      <c r="G97" s="60"/>
      <c r="H97" s="60"/>
      <c r="I97" s="60"/>
      <c r="J97" s="60"/>
      <c r="K97" s="60"/>
      <c r="L97" s="60"/>
      <c r="M97" s="60"/>
      <c r="N97" s="60"/>
      <c r="O97" s="60"/>
      <c r="P97" s="60"/>
      <c r="Q97" s="60"/>
      <c r="R97" s="60"/>
    </row>
    <row r="98" spans="5:18" ht="19">
      <c r="E98" s="159"/>
      <c r="F98" s="119"/>
      <c r="G98" s="119"/>
      <c r="H98" s="119"/>
      <c r="I98" s="119"/>
      <c r="J98" s="119"/>
      <c r="K98" s="119"/>
      <c r="L98" s="119"/>
      <c r="M98" s="119"/>
      <c r="N98" s="119"/>
      <c r="O98" s="119"/>
      <c r="P98" s="119"/>
      <c r="Q98" s="60"/>
      <c r="R98" s="60"/>
    </row>
    <row r="99" spans="5:18" ht="19">
      <c r="E99" s="127"/>
      <c r="F99" s="158"/>
      <c r="G99" s="158"/>
      <c r="H99" s="158"/>
      <c r="I99" s="158"/>
      <c r="J99" s="158"/>
      <c r="K99" s="158"/>
      <c r="L99" s="158"/>
      <c r="M99" s="158"/>
      <c r="N99" s="158"/>
      <c r="O99" s="158"/>
      <c r="P99" s="158"/>
    </row>
    <row r="100" spans="5:18">
      <c r="E100" s="162"/>
      <c r="F100" s="119"/>
      <c r="G100" s="119"/>
      <c r="H100" s="119"/>
      <c r="I100" s="119"/>
      <c r="J100" s="119"/>
      <c r="K100" s="119"/>
      <c r="L100" s="119"/>
      <c r="M100" s="119"/>
      <c r="N100" s="119"/>
      <c r="O100" s="119"/>
      <c r="P100" s="119"/>
      <c r="Q100" s="60"/>
      <c r="R100" s="60"/>
    </row>
    <row r="101" spans="5:18">
      <c r="E101" s="162"/>
      <c r="F101" s="119"/>
      <c r="G101" s="119"/>
      <c r="H101" s="119"/>
      <c r="I101" s="119"/>
      <c r="J101" s="119"/>
      <c r="K101" s="119"/>
      <c r="L101" s="119"/>
      <c r="M101" s="119"/>
      <c r="N101" s="119"/>
      <c r="O101" s="119"/>
      <c r="P101" s="119"/>
      <c r="Q101" s="60"/>
      <c r="R101" s="60"/>
    </row>
    <row r="102" spans="5:18">
      <c r="E102" s="162"/>
      <c r="F102" s="119"/>
      <c r="G102" s="119"/>
      <c r="H102" s="119"/>
      <c r="I102" s="119"/>
      <c r="J102" s="119"/>
      <c r="K102" s="119"/>
      <c r="L102" s="119"/>
      <c r="M102" s="119"/>
      <c r="N102" s="119"/>
      <c r="O102" s="119"/>
      <c r="P102" s="119"/>
      <c r="Q102" s="60"/>
      <c r="R102" s="60"/>
    </row>
    <row r="103" spans="5:18">
      <c r="E103" s="60"/>
      <c r="F103" s="119"/>
      <c r="G103" s="119"/>
      <c r="H103" s="119"/>
      <c r="I103" s="119"/>
      <c r="J103" s="119"/>
      <c r="K103" s="119"/>
      <c r="L103" s="119"/>
      <c r="M103" s="119"/>
      <c r="N103" s="119"/>
      <c r="O103" s="119"/>
      <c r="P103" s="119"/>
      <c r="Q103" s="60"/>
      <c r="R103" s="60"/>
    </row>
    <row r="104" spans="5:18">
      <c r="E104" s="60"/>
      <c r="F104" s="119"/>
      <c r="G104" s="119"/>
      <c r="H104" s="119"/>
      <c r="I104" s="119"/>
      <c r="J104" s="119"/>
      <c r="K104" s="119"/>
      <c r="L104" s="119"/>
      <c r="M104" s="119"/>
      <c r="N104" s="119"/>
      <c r="O104" s="119"/>
      <c r="P104" s="119"/>
      <c r="Q104" s="60"/>
      <c r="R104" s="60"/>
    </row>
    <row r="105" spans="5:18">
      <c r="E105" s="60"/>
      <c r="F105" s="60"/>
      <c r="G105" s="60"/>
      <c r="H105" s="60"/>
      <c r="I105" s="60"/>
      <c r="J105" s="60"/>
      <c r="K105" s="60"/>
      <c r="L105" s="60"/>
      <c r="M105" s="60"/>
      <c r="N105" s="60"/>
      <c r="O105" s="60"/>
      <c r="P105" s="60"/>
      <c r="Q105" s="60"/>
      <c r="R105" s="60"/>
    </row>
    <row r="106" spans="5:18">
      <c r="E106" s="60"/>
      <c r="F106" s="119"/>
      <c r="G106" s="119"/>
      <c r="H106" s="119"/>
      <c r="I106" s="119"/>
      <c r="J106" s="119"/>
      <c r="K106" s="119"/>
      <c r="L106" s="119"/>
      <c r="M106" s="119"/>
      <c r="N106" s="119"/>
      <c r="O106" s="119"/>
      <c r="P106" s="119"/>
      <c r="Q106" s="60"/>
      <c r="R106" s="60"/>
    </row>
    <row r="107" spans="5:18" ht="19">
      <c r="E107" s="193"/>
      <c r="F107" s="194"/>
      <c r="G107" s="194"/>
      <c r="H107" s="194"/>
      <c r="I107" s="194"/>
      <c r="J107" s="194"/>
      <c r="K107" s="194"/>
      <c r="L107" s="194"/>
      <c r="M107" s="194"/>
      <c r="N107" s="194"/>
      <c r="O107" s="194"/>
      <c r="P107" s="194"/>
    </row>
    <row r="108" spans="5:18">
      <c r="E108" s="162"/>
      <c r="F108" s="119"/>
      <c r="G108" s="119"/>
      <c r="H108" s="119"/>
      <c r="I108" s="119"/>
      <c r="J108" s="119"/>
      <c r="K108" s="119"/>
      <c r="L108" s="119"/>
      <c r="M108" s="119"/>
      <c r="N108" s="119"/>
      <c r="O108" s="119"/>
      <c r="P108" s="119"/>
      <c r="Q108" s="60"/>
      <c r="R108" s="60"/>
    </row>
    <row r="109" spans="5:18">
      <c r="E109" s="162"/>
      <c r="F109" s="119"/>
      <c r="G109" s="119"/>
      <c r="H109" s="119"/>
      <c r="I109" s="119"/>
      <c r="J109" s="119"/>
      <c r="K109" s="119"/>
      <c r="L109" s="119"/>
      <c r="M109" s="119"/>
      <c r="N109" s="119"/>
      <c r="O109" s="119"/>
      <c r="P109" s="119"/>
      <c r="Q109" s="60"/>
      <c r="R109" s="60"/>
    </row>
    <row r="110" spans="5:18">
      <c r="E110" s="162"/>
      <c r="F110" s="119"/>
      <c r="G110" s="119"/>
      <c r="H110" s="119"/>
      <c r="I110" s="119"/>
      <c r="J110" s="119"/>
      <c r="K110" s="119"/>
      <c r="L110" s="119"/>
      <c r="M110" s="119"/>
      <c r="N110" s="119"/>
      <c r="O110" s="119"/>
      <c r="P110" s="119"/>
      <c r="Q110" s="60"/>
      <c r="R110" s="60"/>
    </row>
    <row r="111" spans="5:18">
      <c r="E111" s="60"/>
      <c r="F111" s="119"/>
      <c r="G111" s="119"/>
      <c r="H111" s="119"/>
      <c r="I111" s="119"/>
      <c r="J111" s="119"/>
      <c r="K111" s="119"/>
      <c r="L111" s="119"/>
      <c r="M111" s="119"/>
      <c r="N111" s="119"/>
      <c r="O111" s="119"/>
      <c r="P111" s="119"/>
      <c r="Q111" s="60"/>
      <c r="R111" s="60"/>
    </row>
    <row r="112" spans="5:18">
      <c r="E112" s="60"/>
      <c r="F112" s="119"/>
      <c r="G112" s="119"/>
      <c r="H112" s="119"/>
      <c r="I112" s="119"/>
      <c r="J112" s="119"/>
      <c r="K112" s="119"/>
      <c r="L112" s="119"/>
      <c r="M112" s="119"/>
      <c r="N112" s="119"/>
      <c r="O112" s="119"/>
      <c r="P112" s="119"/>
      <c r="Q112" s="60"/>
      <c r="R112" s="60"/>
    </row>
    <row r="113" spans="5:18">
      <c r="E113" s="60"/>
      <c r="F113" s="60"/>
      <c r="G113" s="60"/>
      <c r="H113" s="60"/>
      <c r="I113" s="60"/>
      <c r="J113" s="60"/>
      <c r="K113" s="60"/>
      <c r="L113" s="60"/>
      <c r="M113" s="60"/>
      <c r="N113" s="60"/>
      <c r="O113" s="60"/>
      <c r="P113" s="60"/>
      <c r="Q113" s="60"/>
      <c r="R113" s="60"/>
    </row>
    <row r="114" spans="5:18">
      <c r="E114" s="60"/>
      <c r="F114" s="119"/>
      <c r="G114" s="119"/>
      <c r="H114" s="119"/>
      <c r="I114" s="119"/>
      <c r="J114" s="119"/>
      <c r="K114" s="119"/>
      <c r="L114" s="119"/>
      <c r="M114" s="119"/>
      <c r="N114" s="119"/>
      <c r="O114" s="119"/>
      <c r="P114" s="119"/>
      <c r="Q114" s="60"/>
      <c r="R114" s="60"/>
    </row>
    <row r="115" spans="5:18" ht="19">
      <c r="E115" s="193"/>
      <c r="F115" s="194"/>
      <c r="G115" s="194"/>
      <c r="H115" s="194"/>
      <c r="I115" s="194"/>
      <c r="J115" s="194"/>
      <c r="K115" s="194"/>
      <c r="L115" s="194"/>
      <c r="M115" s="194"/>
      <c r="N115" s="194"/>
      <c r="O115" s="194"/>
      <c r="P115" s="194"/>
    </row>
    <row r="116" spans="5:18">
      <c r="E116" s="162"/>
      <c r="F116" s="119"/>
      <c r="G116" s="119"/>
      <c r="H116" s="119"/>
      <c r="I116" s="119"/>
      <c r="J116" s="119"/>
      <c r="K116" s="119"/>
      <c r="L116" s="119"/>
      <c r="M116" s="119"/>
      <c r="N116" s="119"/>
      <c r="O116" s="119"/>
      <c r="P116" s="119"/>
      <c r="Q116" s="60"/>
      <c r="R116" s="60"/>
    </row>
    <row r="117" spans="5:18">
      <c r="E117" s="162"/>
      <c r="F117" s="119"/>
      <c r="G117" s="119"/>
      <c r="H117" s="119"/>
      <c r="I117" s="119"/>
      <c r="J117" s="119"/>
      <c r="K117" s="119"/>
      <c r="L117" s="119"/>
      <c r="M117" s="119"/>
      <c r="N117" s="119"/>
      <c r="O117" s="119"/>
      <c r="P117" s="119"/>
      <c r="Q117" s="60"/>
      <c r="R117" s="60"/>
    </row>
    <row r="118" spans="5:18">
      <c r="E118" s="162"/>
      <c r="F118" s="119"/>
      <c r="G118" s="119"/>
      <c r="H118" s="119"/>
      <c r="I118" s="119"/>
      <c r="J118" s="119"/>
      <c r="K118" s="119"/>
      <c r="L118" s="119"/>
      <c r="M118" s="119"/>
      <c r="N118" s="119"/>
      <c r="O118" s="119"/>
      <c r="P118" s="119"/>
      <c r="Q118" s="60"/>
      <c r="R118" s="60"/>
    </row>
    <row r="119" spans="5:18">
      <c r="E119" s="60"/>
      <c r="F119" s="119"/>
      <c r="G119" s="119"/>
      <c r="H119" s="119"/>
      <c r="I119" s="119"/>
      <c r="J119" s="119"/>
      <c r="K119" s="119"/>
      <c r="L119" s="119"/>
      <c r="M119" s="119"/>
      <c r="N119" s="119"/>
      <c r="O119" s="119"/>
      <c r="P119" s="119"/>
      <c r="Q119" s="60"/>
      <c r="R119" s="60"/>
    </row>
    <row r="120" spans="5:18">
      <c r="E120" s="60"/>
      <c r="F120" s="119"/>
      <c r="G120" s="119"/>
      <c r="H120" s="119"/>
      <c r="I120" s="119"/>
      <c r="J120" s="119"/>
      <c r="K120" s="119"/>
      <c r="L120" s="119"/>
      <c r="M120" s="119"/>
      <c r="N120" s="119"/>
      <c r="O120" s="119"/>
      <c r="P120" s="119"/>
      <c r="Q120" s="60"/>
      <c r="R120" s="60"/>
    </row>
    <row r="121" spans="5:18">
      <c r="E121" s="60"/>
      <c r="F121" s="60"/>
      <c r="G121" s="60"/>
      <c r="H121" s="60"/>
      <c r="I121" s="60"/>
      <c r="J121" s="60"/>
      <c r="K121" s="60"/>
      <c r="L121" s="60"/>
      <c r="M121" s="60"/>
      <c r="N121" s="60"/>
      <c r="O121" s="60"/>
      <c r="P121" s="60"/>
      <c r="Q121" s="60"/>
      <c r="R121" s="60"/>
    </row>
    <row r="122" spans="5:18">
      <c r="E122" s="60"/>
      <c r="F122" s="158"/>
      <c r="G122" s="158"/>
      <c r="H122" s="158"/>
      <c r="I122" s="158"/>
      <c r="J122" s="158"/>
      <c r="K122" s="158"/>
      <c r="L122" s="158"/>
      <c r="M122" s="158"/>
      <c r="N122" s="158"/>
      <c r="O122" s="158"/>
      <c r="P122" s="158"/>
      <c r="Q122" s="60"/>
      <c r="R122" s="60"/>
    </row>
    <row r="123" spans="5:18" ht="26">
      <c r="E123" s="192"/>
      <c r="F123" s="60"/>
      <c r="G123" s="60"/>
      <c r="H123" s="60"/>
      <c r="I123" s="60"/>
      <c r="J123" s="60"/>
      <c r="K123" s="60"/>
      <c r="L123" s="60"/>
      <c r="M123" s="60"/>
      <c r="N123" s="60"/>
      <c r="O123" s="60"/>
      <c r="P123" s="60"/>
      <c r="Q123" s="60"/>
      <c r="R123" s="60"/>
    </row>
    <row r="124" spans="5:18">
      <c r="E124" s="60"/>
      <c r="F124" s="60"/>
      <c r="G124" s="60"/>
      <c r="H124" s="60"/>
      <c r="I124" s="60"/>
      <c r="J124" s="60"/>
      <c r="K124" s="60"/>
      <c r="L124" s="60"/>
      <c r="M124" s="60"/>
      <c r="N124" s="60"/>
      <c r="O124" s="60"/>
      <c r="P124" s="60"/>
      <c r="Q124" s="60"/>
      <c r="R124" s="60"/>
    </row>
    <row r="125" spans="5:18" ht="19">
      <c r="E125" s="193"/>
      <c r="F125" s="194"/>
      <c r="G125" s="194"/>
      <c r="H125" s="194"/>
      <c r="I125" s="194"/>
      <c r="J125" s="194"/>
      <c r="K125" s="194"/>
      <c r="L125" s="194"/>
      <c r="M125" s="194"/>
      <c r="N125" s="194"/>
      <c r="O125" s="194"/>
      <c r="P125" s="194"/>
      <c r="Q125" s="60"/>
      <c r="R125" s="60"/>
    </row>
    <row r="126" spans="5:18">
      <c r="E126" s="162"/>
      <c r="F126" s="119"/>
      <c r="G126" s="119"/>
      <c r="H126" s="119"/>
      <c r="I126" s="119"/>
      <c r="J126" s="119"/>
      <c r="K126" s="119"/>
      <c r="L126" s="119"/>
      <c r="M126" s="119"/>
      <c r="N126" s="119"/>
      <c r="O126" s="119"/>
      <c r="P126" s="119"/>
      <c r="Q126" s="60"/>
      <c r="R126" s="60"/>
    </row>
    <row r="127" spans="5:18">
      <c r="E127" s="162"/>
      <c r="F127" s="119"/>
      <c r="G127" s="119"/>
      <c r="H127" s="119"/>
      <c r="I127" s="119"/>
      <c r="J127" s="119"/>
      <c r="K127" s="119"/>
      <c r="L127" s="119"/>
      <c r="M127" s="119"/>
      <c r="N127" s="119"/>
      <c r="O127" s="119"/>
      <c r="P127" s="119"/>
      <c r="Q127" s="60"/>
      <c r="R127" s="60"/>
    </row>
    <row r="128" spans="5:18">
      <c r="E128" s="60"/>
      <c r="F128" s="119"/>
      <c r="G128" s="119"/>
      <c r="H128" s="119"/>
      <c r="I128" s="119"/>
      <c r="J128" s="119"/>
      <c r="K128" s="119"/>
      <c r="L128" s="119"/>
      <c r="M128" s="119"/>
      <c r="N128" s="119"/>
      <c r="O128" s="119"/>
      <c r="P128" s="119"/>
      <c r="Q128" s="60"/>
      <c r="R128" s="60"/>
    </row>
    <row r="129" spans="5:18">
      <c r="E129" s="60"/>
      <c r="F129" s="119"/>
      <c r="G129" s="119"/>
      <c r="H129" s="119"/>
      <c r="I129" s="119"/>
      <c r="J129" s="119"/>
      <c r="K129" s="119"/>
      <c r="L129" s="119"/>
      <c r="M129" s="119"/>
      <c r="N129" s="119"/>
      <c r="O129" s="119"/>
      <c r="P129" s="119"/>
      <c r="Q129" s="60"/>
      <c r="R129" s="60"/>
    </row>
    <row r="130" spans="5:18">
      <c r="E130" s="60"/>
      <c r="F130" s="60"/>
      <c r="G130" s="60"/>
      <c r="H130" s="60"/>
      <c r="I130" s="60"/>
      <c r="J130" s="60"/>
      <c r="K130" s="60"/>
      <c r="L130" s="60"/>
      <c r="M130" s="60"/>
      <c r="N130" s="60"/>
      <c r="O130" s="60"/>
      <c r="P130" s="60"/>
      <c r="Q130" s="60"/>
      <c r="R130" s="60"/>
    </row>
    <row r="131" spans="5:18">
      <c r="E131" s="60"/>
      <c r="F131" s="60"/>
      <c r="G131" s="60"/>
      <c r="H131" s="60"/>
      <c r="I131" s="60"/>
      <c r="J131" s="60"/>
      <c r="K131" s="60"/>
      <c r="L131" s="60"/>
      <c r="M131" s="60"/>
      <c r="N131" s="60"/>
      <c r="O131" s="60"/>
      <c r="P131" s="60"/>
      <c r="Q131" s="60"/>
      <c r="R131" s="60"/>
    </row>
    <row r="132" spans="5:18">
      <c r="E132" s="60"/>
      <c r="F132" s="60"/>
      <c r="G132" s="60"/>
      <c r="H132" s="60"/>
      <c r="I132" s="60"/>
      <c r="J132" s="60"/>
      <c r="K132" s="60"/>
      <c r="L132" s="60"/>
      <c r="M132" s="60"/>
      <c r="N132" s="60"/>
      <c r="O132" s="60"/>
      <c r="P132" s="60"/>
      <c r="Q132" s="60"/>
      <c r="R132" s="60"/>
    </row>
    <row r="133" spans="5:18">
      <c r="E133" s="60"/>
      <c r="F133" s="60"/>
      <c r="G133" s="60"/>
      <c r="H133" s="60"/>
      <c r="I133" s="60"/>
      <c r="J133" s="60"/>
      <c r="K133" s="60"/>
      <c r="L133" s="60"/>
      <c r="M133" s="60"/>
      <c r="N133" s="60"/>
      <c r="O133" s="60"/>
      <c r="P133" s="60"/>
      <c r="Q133" s="60"/>
      <c r="R133" s="60"/>
    </row>
    <row r="134" spans="5:18">
      <c r="E134" s="60"/>
      <c r="F134" s="60"/>
      <c r="G134" s="60"/>
      <c r="H134" s="60"/>
      <c r="I134" s="60"/>
      <c r="J134" s="60"/>
      <c r="K134" s="60"/>
      <c r="L134" s="60"/>
      <c r="M134" s="60"/>
      <c r="N134" s="60"/>
      <c r="O134" s="60"/>
      <c r="P134" s="60"/>
      <c r="Q134" s="60"/>
      <c r="R134" s="60"/>
    </row>
    <row r="135" spans="5:18">
      <c r="E135" s="60"/>
      <c r="F135" s="60"/>
      <c r="G135" s="60"/>
      <c r="H135" s="60"/>
      <c r="I135" s="60"/>
      <c r="J135" s="60"/>
      <c r="K135" s="60"/>
      <c r="L135" s="60"/>
      <c r="M135" s="60"/>
      <c r="N135" s="60"/>
      <c r="O135" s="60"/>
      <c r="P135" s="60"/>
      <c r="Q135" s="60"/>
      <c r="R135" s="60"/>
    </row>
    <row r="136" spans="5:18">
      <c r="Q136" s="60"/>
      <c r="R136" s="60"/>
    </row>
    <row r="137" spans="5:18">
      <c r="Q137" s="60"/>
      <c r="R137" s="60"/>
    </row>
    <row r="138" spans="5:18">
      <c r="Q138" s="60"/>
      <c r="R138" s="60"/>
    </row>
    <row r="139" spans="5:18">
      <c r="Q139" s="60"/>
      <c r="R139" s="60"/>
    </row>
    <row r="140" spans="5:18">
      <c r="Q140" s="60"/>
      <c r="R140" s="60"/>
    </row>
    <row r="141" spans="5:18">
      <c r="Q141" s="60"/>
      <c r="R141" s="60"/>
    </row>
    <row r="142" spans="5:18">
      <c r="Q142" s="60"/>
      <c r="R142" s="60"/>
    </row>
    <row r="143" spans="5:18">
      <c r="Q143" s="60"/>
      <c r="R143" s="60"/>
    </row>
    <row r="144" spans="5:18">
      <c r="Q144" s="60"/>
      <c r="R144" s="60"/>
    </row>
    <row r="145" spans="5:18" ht="19">
      <c r="E145" s="127"/>
      <c r="F145" s="158"/>
      <c r="G145" s="158"/>
      <c r="H145" s="158"/>
      <c r="I145" s="158"/>
      <c r="J145" s="158"/>
      <c r="K145" s="158"/>
      <c r="L145" s="158"/>
      <c r="M145" s="158"/>
      <c r="N145" s="158"/>
      <c r="O145" s="158"/>
      <c r="P145" s="158"/>
      <c r="Q145" s="60"/>
      <c r="R145" s="60"/>
    </row>
    <row r="146" spans="5:18">
      <c r="E146" s="60"/>
      <c r="F146" s="119"/>
      <c r="G146" s="119"/>
      <c r="H146" s="119"/>
      <c r="I146" s="119"/>
      <c r="J146" s="119"/>
      <c r="K146" s="119"/>
      <c r="L146" s="119"/>
      <c r="M146" s="119"/>
      <c r="N146" s="119"/>
      <c r="O146" s="119"/>
      <c r="P146" s="119"/>
      <c r="Q146" s="60"/>
      <c r="R146" s="60"/>
    </row>
    <row r="147" spans="5:18">
      <c r="E147" s="60"/>
      <c r="F147" s="119"/>
      <c r="G147" s="119"/>
      <c r="H147" s="119"/>
      <c r="I147" s="119"/>
      <c r="J147" s="119"/>
      <c r="K147" s="119"/>
      <c r="L147" s="119"/>
      <c r="M147" s="119"/>
      <c r="N147" s="119"/>
      <c r="O147" s="119"/>
      <c r="P147" s="119"/>
      <c r="Q147" s="60"/>
      <c r="R147" s="60"/>
    </row>
    <row r="148" spans="5:18">
      <c r="E148" s="60"/>
      <c r="F148" s="119"/>
      <c r="G148" s="119"/>
      <c r="H148" s="119"/>
      <c r="I148" s="119"/>
      <c r="J148" s="119"/>
      <c r="K148" s="119"/>
      <c r="L148" s="119"/>
      <c r="M148" s="119"/>
      <c r="N148" s="119"/>
      <c r="O148" s="119"/>
      <c r="P148" s="119"/>
      <c r="Q148" s="60"/>
      <c r="R148" s="60"/>
    </row>
    <row r="149" spans="5:18">
      <c r="E149" s="66"/>
      <c r="F149" s="119"/>
      <c r="G149" s="119"/>
      <c r="H149" s="119"/>
      <c r="I149" s="119"/>
      <c r="J149" s="119"/>
      <c r="K149" s="119"/>
      <c r="L149" s="119"/>
      <c r="M149" s="119"/>
      <c r="N149" s="119"/>
      <c r="O149" s="119"/>
      <c r="P149" s="119"/>
      <c r="Q149" s="60"/>
      <c r="R149" s="60"/>
    </row>
    <row r="150" spans="5:18">
      <c r="E150" s="66"/>
      <c r="F150" s="119"/>
      <c r="G150" s="119"/>
      <c r="H150" s="119"/>
      <c r="I150" s="119"/>
      <c r="J150" s="119"/>
      <c r="K150" s="119"/>
      <c r="L150" s="119"/>
      <c r="M150" s="119"/>
      <c r="N150" s="119"/>
      <c r="O150" s="119"/>
      <c r="P150" s="119"/>
      <c r="Q150" s="60"/>
      <c r="R150" s="60"/>
    </row>
    <row r="151" spans="5:18">
      <c r="E151" s="66"/>
      <c r="F151" s="119"/>
      <c r="G151" s="119"/>
      <c r="H151" s="119"/>
      <c r="I151" s="119"/>
      <c r="J151" s="119"/>
      <c r="K151" s="119"/>
      <c r="L151" s="119"/>
      <c r="M151" s="119"/>
      <c r="N151" s="119"/>
      <c r="O151" s="119"/>
      <c r="P151" s="119"/>
      <c r="Q151" s="60"/>
      <c r="R151" s="60"/>
    </row>
    <row r="152" spans="5:18" ht="19">
      <c r="E152" s="130"/>
      <c r="F152" s="119"/>
      <c r="G152" s="119"/>
      <c r="H152" s="119"/>
      <c r="I152" s="119"/>
      <c r="J152" s="119"/>
      <c r="K152" s="119"/>
      <c r="L152" s="119"/>
      <c r="M152" s="119"/>
      <c r="N152" s="119"/>
      <c r="O152" s="119"/>
      <c r="P152" s="119"/>
      <c r="Q152" s="60"/>
      <c r="R152" s="60"/>
    </row>
    <row r="153" spans="5:18">
      <c r="E153" s="60"/>
      <c r="F153" s="119"/>
      <c r="G153" s="119"/>
      <c r="H153" s="119"/>
      <c r="I153" s="119"/>
      <c r="J153" s="119"/>
      <c r="K153" s="119"/>
      <c r="L153" s="119"/>
      <c r="M153" s="119"/>
      <c r="N153" s="119"/>
      <c r="O153" s="119"/>
      <c r="P153" s="119"/>
      <c r="Q153" s="60"/>
      <c r="R153" s="60"/>
    </row>
    <row r="154" spans="5:18">
      <c r="E154" s="60"/>
      <c r="F154" s="119"/>
      <c r="G154" s="119"/>
      <c r="H154" s="119"/>
      <c r="I154" s="119"/>
      <c r="J154" s="119"/>
      <c r="K154" s="119"/>
      <c r="L154" s="119"/>
      <c r="M154" s="119"/>
      <c r="N154" s="119"/>
      <c r="O154" s="119"/>
      <c r="P154" s="119"/>
      <c r="Q154" s="60"/>
      <c r="R154" s="60"/>
    </row>
    <row r="155" spans="5:18" ht="19">
      <c r="E155" s="97"/>
      <c r="F155" s="160"/>
      <c r="G155" s="160"/>
      <c r="H155" s="160"/>
      <c r="I155" s="160"/>
      <c r="J155" s="160"/>
      <c r="K155" s="160"/>
      <c r="L155" s="160"/>
      <c r="M155" s="160"/>
      <c r="N155" s="160"/>
      <c r="O155" s="160"/>
      <c r="P155" s="160"/>
      <c r="Q155" s="60"/>
      <c r="R155" s="60"/>
    </row>
    <row r="156" spans="5:18">
      <c r="E156" s="66"/>
      <c r="F156" s="119"/>
      <c r="G156" s="119"/>
      <c r="H156" s="119"/>
      <c r="I156" s="119"/>
      <c r="J156" s="119"/>
      <c r="K156" s="119"/>
      <c r="L156" s="119"/>
      <c r="M156" s="119"/>
      <c r="N156" s="119"/>
      <c r="O156" s="119"/>
      <c r="P156" s="119"/>
    </row>
  </sheetData>
  <sheetProtection sheet="1" objects="1" scenarios="1"/>
  <customSheetViews>
    <customSheetView guid="{8967CA62-3554-8A40-ACFF-3515F2B518C8}" showGridLines="0" topLeftCell="F14">
      <selection activeCell="T50" sqref="T50"/>
      <colBreaks count="1" manualBreakCount="1">
        <brk id="28" max="1048575" man="1"/>
      </colBreaks>
      <pageMargins left="0.7" right="0.7" top="0.75" bottom="0.75" header="0.3" footer="0.3"/>
      <pageSetup paperSize="9" orientation="portrait" horizontalDpi="4294967292" verticalDpi="4294967292"/>
    </customSheetView>
    <customSheetView guid="{EB877D66-0749-4C48-89AA-FFA94A34014C}" scale="75" showGridLines="0" topLeftCell="C1">
      <selection activeCell="I21" sqref="I21"/>
      <colBreaks count="1" manualBreakCount="1">
        <brk id="28" max="1048575" man="1"/>
      </colBreaks>
      <pageMargins left="0.7" right="0.7" top="0.75" bottom="0.75" header="0.3" footer="0.3"/>
      <pageSetup paperSize="9" orientation="portrait" horizontalDpi="4294967292" verticalDpi="4294967292"/>
    </customSheetView>
  </customSheetViews>
  <mergeCells count="3">
    <mergeCell ref="E56:P56"/>
    <mergeCell ref="E57:P57"/>
    <mergeCell ref="E58:P58"/>
  </mergeCells>
  <pageMargins left="0.7" right="0.7" top="0.75" bottom="0.75" header="0.3" footer="0.3"/>
  <pageSetup paperSize="9" orientation="portrait" horizontalDpi="4294967292" verticalDpi="4294967292"/>
  <colBreaks count="1" manualBreakCount="1">
    <brk id="28"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0"/>
  <dimension ref="A3:L62"/>
  <sheetViews>
    <sheetView workbookViewId="0">
      <selection activeCell="C28" sqref="C28"/>
    </sheetView>
  </sheetViews>
  <sheetFormatPr baseColWidth="10" defaultColWidth="11" defaultRowHeight="13"/>
  <cols>
    <col min="1" max="1" width="4" style="221" customWidth="1"/>
    <col min="2" max="2" width="18.83203125" style="444" customWidth="1"/>
    <col min="3" max="3" width="13.33203125" style="225" customWidth="1"/>
    <col min="4" max="4" width="2.1640625" style="221" customWidth="1"/>
    <col min="5" max="8" width="11" style="221"/>
    <col min="9" max="9" width="12.1640625" style="221" customWidth="1"/>
    <col min="10" max="16384" width="11" style="221"/>
  </cols>
  <sheetData>
    <row r="3" spans="1:12" ht="39">
      <c r="B3" s="451" t="str">
        <f ca="1">INDIRECT("'"&amp;Cover!$E$4&amp;"'!"&amp;CELL("address",B192))</f>
        <v>Citations</v>
      </c>
    </row>
    <row r="4" spans="1:12" ht="14">
      <c r="B4" s="452"/>
      <c r="C4" s="226"/>
      <c r="D4" s="222"/>
      <c r="E4" s="222"/>
      <c r="F4" s="222"/>
      <c r="G4" s="222"/>
    </row>
    <row r="5" spans="1:12" ht="16">
      <c r="B5" s="442"/>
      <c r="D5" s="224"/>
      <c r="E5" s="222"/>
      <c r="F5" s="222"/>
      <c r="G5" s="222"/>
    </row>
    <row r="6" spans="1:12" ht="19">
      <c r="B6" s="443"/>
      <c r="C6" s="113"/>
      <c r="D6" s="223"/>
      <c r="E6" s="222"/>
      <c r="F6" s="222"/>
      <c r="G6" s="222"/>
    </row>
    <row r="7" spans="1:12" ht="19">
      <c r="B7" s="443"/>
      <c r="C7" s="113"/>
      <c r="D7" s="223"/>
      <c r="E7" s="222"/>
      <c r="F7" s="222"/>
      <c r="G7" s="222"/>
    </row>
    <row r="8" spans="1:12" ht="19">
      <c r="B8" s="443" t="s">
        <v>52</v>
      </c>
      <c r="C8" s="497" t="s">
        <v>64</v>
      </c>
      <c r="D8" s="223"/>
      <c r="E8" s="222"/>
      <c r="F8" s="222"/>
      <c r="G8" s="222"/>
    </row>
    <row r="9" spans="1:12" ht="14">
      <c r="A9" s="225"/>
      <c r="C9" s="243" t="s">
        <v>855</v>
      </c>
      <c r="F9" s="226"/>
      <c r="G9" s="226"/>
      <c r="H9" s="225"/>
    </row>
    <row r="10" spans="1:12" ht="19">
      <c r="A10" s="225"/>
      <c r="B10" s="445"/>
      <c r="C10" s="243"/>
      <c r="D10" s="226"/>
      <c r="E10" s="226"/>
      <c r="F10" s="242"/>
      <c r="G10" s="228"/>
      <c r="H10" s="225"/>
    </row>
    <row r="11" spans="1:12" ht="19">
      <c r="A11" s="225"/>
      <c r="B11" s="446" t="s">
        <v>53</v>
      </c>
      <c r="C11" s="498" t="s">
        <v>51</v>
      </c>
      <c r="D11" s="229"/>
      <c r="E11" s="230"/>
      <c r="F11" s="231"/>
      <c r="G11" s="228"/>
    </row>
    <row r="12" spans="1:12" ht="19">
      <c r="A12" s="225"/>
      <c r="B12" s="447"/>
      <c r="C12" s="229"/>
      <c r="D12" s="229"/>
      <c r="E12" s="231"/>
      <c r="F12" s="233"/>
      <c r="G12" s="233"/>
      <c r="H12" s="225"/>
    </row>
    <row r="13" spans="1:12" ht="19">
      <c r="A13" s="225"/>
      <c r="B13" s="446" t="s">
        <v>56</v>
      </c>
      <c r="C13" s="498" t="s">
        <v>55</v>
      </c>
      <c r="D13" s="227"/>
      <c r="E13" s="228"/>
      <c r="F13" s="251"/>
      <c r="G13" s="251"/>
      <c r="H13" s="251"/>
      <c r="I13" s="251"/>
    </row>
    <row r="14" spans="1:12" ht="19">
      <c r="A14" s="225"/>
      <c r="B14" s="447"/>
      <c r="C14" s="499" t="s">
        <v>67</v>
      </c>
      <c r="D14" s="232"/>
      <c r="E14" s="233"/>
      <c r="F14" s="233"/>
      <c r="G14" s="233"/>
      <c r="H14" s="225"/>
      <c r="I14" s="225"/>
    </row>
    <row r="15" spans="1:12" ht="16">
      <c r="A15" s="225"/>
      <c r="F15" s="233"/>
      <c r="G15" s="233"/>
      <c r="H15" s="225"/>
      <c r="I15" s="225"/>
      <c r="J15" s="251"/>
    </row>
    <row r="16" spans="1:12" ht="17" customHeight="1">
      <c r="B16" s="447" t="s">
        <v>58</v>
      </c>
      <c r="C16" s="234" t="s">
        <v>862</v>
      </c>
      <c r="D16" s="251"/>
      <c r="E16" s="251"/>
      <c r="F16" s="233"/>
      <c r="G16" s="233"/>
      <c r="H16" s="225"/>
      <c r="I16" s="225"/>
      <c r="J16" s="225"/>
      <c r="K16" s="225"/>
      <c r="L16" s="225"/>
    </row>
    <row r="17" spans="2:12" ht="19">
      <c r="B17" s="447"/>
      <c r="C17" s="234"/>
      <c r="D17" s="234"/>
      <c r="E17" s="233"/>
      <c r="F17" s="228"/>
      <c r="G17" s="228"/>
      <c r="H17" s="225"/>
      <c r="I17" s="225"/>
      <c r="J17" s="225"/>
      <c r="K17" s="225"/>
      <c r="L17" s="225"/>
    </row>
    <row r="18" spans="2:12" ht="19">
      <c r="B18" s="443" t="s">
        <v>59</v>
      </c>
      <c r="C18" s="113" t="s">
        <v>863</v>
      </c>
      <c r="D18" s="235"/>
      <c r="E18" s="233"/>
      <c r="F18" s="228"/>
      <c r="G18" s="228"/>
      <c r="H18" s="225"/>
      <c r="I18" s="225"/>
      <c r="J18" s="225"/>
      <c r="K18" s="225"/>
      <c r="L18" s="225"/>
    </row>
    <row r="19" spans="2:12" ht="19">
      <c r="B19" s="447"/>
      <c r="C19" s="254"/>
      <c r="D19" s="235"/>
      <c r="E19" s="233"/>
      <c r="F19" s="228"/>
      <c r="G19" s="228"/>
      <c r="H19" s="225"/>
      <c r="I19" s="225"/>
      <c r="J19" s="225"/>
      <c r="K19" s="225"/>
      <c r="L19" s="225"/>
    </row>
    <row r="20" spans="2:12" ht="19">
      <c r="B20" s="447" t="s">
        <v>60</v>
      </c>
      <c r="C20" s="500" t="s">
        <v>57</v>
      </c>
      <c r="D20" s="227"/>
      <c r="E20" s="228"/>
      <c r="F20" s="225"/>
      <c r="G20" s="225"/>
      <c r="H20" s="225"/>
      <c r="I20" s="225"/>
      <c r="J20" s="240"/>
      <c r="K20" s="225"/>
      <c r="L20" s="225"/>
    </row>
    <row r="21" spans="2:12" ht="19">
      <c r="B21" s="443"/>
      <c r="C21" s="257"/>
      <c r="D21" s="236"/>
      <c r="E21" s="234"/>
      <c r="F21" s="228"/>
      <c r="G21" s="225"/>
      <c r="H21" s="225"/>
      <c r="I21" s="225"/>
      <c r="J21" s="113"/>
      <c r="K21" s="225"/>
      <c r="L21" s="225"/>
    </row>
    <row r="22" spans="2:12" ht="19">
      <c r="B22" s="443" t="s">
        <v>61</v>
      </c>
      <c r="C22" s="498" t="s">
        <v>62</v>
      </c>
      <c r="D22" s="225"/>
      <c r="E22" s="234"/>
      <c r="G22" s="228"/>
      <c r="H22" s="225"/>
      <c r="I22" s="225"/>
      <c r="J22" s="225"/>
      <c r="K22" s="225"/>
      <c r="L22" s="225"/>
    </row>
    <row r="23" spans="2:12" ht="19">
      <c r="B23" s="446"/>
      <c r="C23" s="257"/>
      <c r="D23" s="236"/>
      <c r="E23" s="241"/>
      <c r="F23" s="237"/>
      <c r="J23" s="113"/>
      <c r="K23" s="225"/>
      <c r="L23" s="225"/>
    </row>
    <row r="24" spans="2:12" ht="19">
      <c r="B24" s="446" t="s">
        <v>63</v>
      </c>
      <c r="C24" s="501" t="s">
        <v>154</v>
      </c>
      <c r="F24" s="237"/>
      <c r="G24" s="237"/>
      <c r="H24" s="238"/>
      <c r="I24" s="238"/>
      <c r="J24" s="225"/>
      <c r="K24" s="225"/>
      <c r="L24" s="225"/>
    </row>
    <row r="25" spans="2:12" ht="19">
      <c r="B25" s="443"/>
      <c r="C25" s="499" t="s">
        <v>856</v>
      </c>
      <c r="D25" s="236"/>
      <c r="E25" s="241"/>
      <c r="F25" s="237"/>
      <c r="G25" s="228"/>
      <c r="H25" s="225"/>
      <c r="I25" s="225"/>
      <c r="J25" s="225"/>
      <c r="K25" s="225"/>
      <c r="L25" s="225"/>
    </row>
    <row r="26" spans="2:12" ht="16">
      <c r="D26" s="236"/>
      <c r="E26" s="234"/>
      <c r="F26" s="237"/>
      <c r="G26" s="237"/>
      <c r="H26" s="238"/>
      <c r="I26" s="238"/>
      <c r="J26" s="113"/>
      <c r="K26" s="225"/>
      <c r="L26" s="225"/>
    </row>
    <row r="27" spans="2:12" ht="19">
      <c r="B27" s="448" t="s">
        <v>66</v>
      </c>
      <c r="C27" s="498" t="s">
        <v>65</v>
      </c>
      <c r="D27" s="236"/>
      <c r="E27" s="113"/>
      <c r="F27" s="237"/>
      <c r="G27" s="237"/>
      <c r="H27" s="238"/>
      <c r="I27" s="238"/>
      <c r="J27" s="113"/>
      <c r="K27" s="225"/>
      <c r="L27" s="225"/>
    </row>
    <row r="28" spans="2:12" ht="19">
      <c r="B28" s="449"/>
      <c r="C28" s="499" t="s">
        <v>858</v>
      </c>
      <c r="D28" s="236"/>
      <c r="E28" s="113"/>
      <c r="F28" s="237"/>
      <c r="G28" s="237"/>
      <c r="H28" s="238"/>
      <c r="I28" s="238"/>
      <c r="J28" s="113"/>
      <c r="K28" s="225"/>
      <c r="L28" s="225"/>
    </row>
    <row r="29" spans="2:12" ht="19">
      <c r="B29" s="449"/>
      <c r="C29" s="236"/>
      <c r="D29" s="236"/>
      <c r="E29" s="113"/>
      <c r="F29" s="237"/>
      <c r="G29" s="237"/>
      <c r="H29" s="238"/>
      <c r="I29" s="238"/>
      <c r="J29" s="113"/>
      <c r="K29" s="225"/>
      <c r="L29" s="225"/>
    </row>
    <row r="30" spans="2:12" ht="19">
      <c r="B30" s="449" t="s">
        <v>69</v>
      </c>
      <c r="C30" s="258" t="s">
        <v>68</v>
      </c>
      <c r="D30" s="236"/>
      <c r="E30" s="113"/>
      <c r="F30" s="237"/>
      <c r="G30" s="237"/>
      <c r="H30" s="238"/>
      <c r="I30" s="238"/>
      <c r="J30" s="113"/>
      <c r="K30" s="225"/>
      <c r="L30" s="225"/>
    </row>
    <row r="31" spans="2:12" ht="19">
      <c r="B31" s="449"/>
      <c r="C31" s="257" t="s">
        <v>857</v>
      </c>
      <c r="D31" s="236"/>
      <c r="E31" s="113"/>
      <c r="F31" s="237"/>
      <c r="G31" s="237"/>
      <c r="H31" s="238"/>
      <c r="I31" s="238"/>
      <c r="J31" s="113"/>
      <c r="K31" s="225"/>
      <c r="L31" s="225"/>
    </row>
    <row r="32" spans="2:12" ht="19">
      <c r="B32" s="449"/>
      <c r="C32" s="236"/>
      <c r="D32" s="236"/>
      <c r="E32" s="113"/>
      <c r="F32" s="237"/>
      <c r="G32" s="237"/>
      <c r="H32" s="238"/>
      <c r="I32" s="238"/>
      <c r="J32" s="113"/>
      <c r="K32" s="225"/>
      <c r="L32" s="225"/>
    </row>
    <row r="33" spans="2:11" ht="19">
      <c r="B33" s="449" t="s">
        <v>98</v>
      </c>
      <c r="C33" s="258" t="s">
        <v>99</v>
      </c>
      <c r="D33" s="236"/>
      <c r="E33" s="113"/>
      <c r="F33" s="237"/>
      <c r="G33" s="237"/>
      <c r="H33" s="238"/>
      <c r="I33" s="238"/>
      <c r="J33" s="113"/>
      <c r="K33" s="225"/>
    </row>
    <row r="34" spans="2:11" ht="19">
      <c r="B34" s="449"/>
      <c r="C34" s="236"/>
      <c r="D34" s="236"/>
      <c r="E34" s="113"/>
      <c r="F34" s="237"/>
      <c r="G34" s="237"/>
      <c r="H34" s="238"/>
      <c r="I34" s="238"/>
      <c r="J34" s="113"/>
      <c r="K34" s="225"/>
    </row>
    <row r="35" spans="2:11" ht="19">
      <c r="B35" s="449" t="s">
        <v>119</v>
      </c>
      <c r="C35" s="497" t="s">
        <v>120</v>
      </c>
      <c r="D35" s="236"/>
      <c r="E35" s="113"/>
      <c r="F35" s="237"/>
      <c r="G35" s="237"/>
      <c r="H35" s="238"/>
      <c r="I35" s="238"/>
      <c r="J35" s="113"/>
      <c r="K35" s="225"/>
    </row>
    <row r="36" spans="2:11" ht="19">
      <c r="B36" s="449"/>
      <c r="C36" s="257" t="s">
        <v>860</v>
      </c>
      <c r="D36" s="236"/>
      <c r="E36" s="113"/>
      <c r="F36" s="237"/>
      <c r="G36" s="237"/>
      <c r="H36" s="238"/>
      <c r="I36" s="238"/>
      <c r="J36" s="113"/>
      <c r="K36" s="225"/>
    </row>
    <row r="37" spans="2:11" ht="16">
      <c r="C37" s="243" t="s">
        <v>859</v>
      </c>
      <c r="D37" s="236"/>
      <c r="E37" s="113"/>
      <c r="F37" s="237"/>
      <c r="G37" s="237"/>
      <c r="H37" s="238"/>
      <c r="I37" s="238"/>
      <c r="J37" s="113"/>
      <c r="K37" s="225"/>
    </row>
    <row r="38" spans="2:11" ht="16">
      <c r="D38" s="236"/>
      <c r="E38" s="113"/>
      <c r="F38" s="237"/>
      <c r="G38" s="237"/>
      <c r="H38" s="238"/>
      <c r="I38" s="238"/>
      <c r="J38" s="113"/>
      <c r="K38" s="225"/>
    </row>
    <row r="39" spans="2:11" ht="19">
      <c r="B39" s="449" t="s">
        <v>369</v>
      </c>
      <c r="C39" s="497" t="s">
        <v>370</v>
      </c>
      <c r="D39" s="236"/>
      <c r="E39" s="113"/>
      <c r="F39" s="237"/>
      <c r="G39" s="237"/>
      <c r="H39" s="238"/>
      <c r="I39" s="238"/>
      <c r="J39" s="113"/>
      <c r="K39" s="225"/>
    </row>
    <row r="40" spans="2:11" ht="19">
      <c r="B40" s="449"/>
      <c r="C40" s="236"/>
      <c r="D40" s="236"/>
      <c r="E40" s="113"/>
      <c r="F40" s="237"/>
      <c r="G40" s="237"/>
      <c r="H40" s="238"/>
      <c r="I40" s="238"/>
      <c r="J40" s="113"/>
      <c r="K40" s="225"/>
    </row>
    <row r="41" spans="2:11" ht="16">
      <c r="G41" s="237"/>
      <c r="H41" s="238"/>
      <c r="I41" s="238"/>
      <c r="J41" s="113"/>
      <c r="K41" s="225"/>
    </row>
    <row r="42" spans="2:11" ht="16">
      <c r="G42" s="237"/>
      <c r="H42" s="238"/>
      <c r="I42" s="238"/>
      <c r="J42" s="113"/>
      <c r="K42" s="225"/>
    </row>
    <row r="43" spans="2:11" ht="16">
      <c r="J43" s="113"/>
      <c r="K43" s="225"/>
    </row>
    <row r="44" spans="2:11" ht="19">
      <c r="B44" s="449"/>
      <c r="C44" s="236"/>
      <c r="D44" s="236"/>
      <c r="E44" s="113"/>
      <c r="F44" s="237"/>
      <c r="G44" s="237"/>
      <c r="H44" s="238"/>
      <c r="I44" s="238"/>
      <c r="J44" s="113"/>
      <c r="K44" s="225"/>
    </row>
    <row r="45" spans="2:11" ht="19">
      <c r="B45" s="449"/>
      <c r="C45" s="236"/>
      <c r="D45" s="236"/>
      <c r="E45" s="113"/>
      <c r="F45" s="237"/>
      <c r="G45" s="237"/>
      <c r="H45" s="238"/>
      <c r="I45" s="238"/>
      <c r="J45" s="113"/>
      <c r="K45" s="225"/>
    </row>
    <row r="46" spans="2:11" ht="19">
      <c r="B46" s="449"/>
      <c r="C46" s="236"/>
      <c r="D46" s="236"/>
      <c r="E46" s="113"/>
      <c r="F46" s="237"/>
      <c r="G46" s="237"/>
      <c r="H46" s="238"/>
      <c r="I46" s="238"/>
      <c r="J46" s="113"/>
      <c r="K46" s="225"/>
    </row>
    <row r="47" spans="2:11" ht="19">
      <c r="B47" s="449"/>
      <c r="C47" s="236"/>
      <c r="D47" s="236"/>
      <c r="E47" s="113"/>
      <c r="F47" s="237"/>
      <c r="G47" s="237"/>
      <c r="H47" s="238"/>
      <c r="I47" s="238"/>
      <c r="J47" s="113"/>
      <c r="K47" s="225"/>
    </row>
    <row r="48" spans="2:11" ht="19">
      <c r="B48" s="449"/>
      <c r="C48" s="236"/>
      <c r="D48" s="236"/>
      <c r="E48" s="113"/>
      <c r="F48" s="237"/>
      <c r="G48" s="237"/>
      <c r="H48" s="238"/>
      <c r="I48" s="238"/>
      <c r="J48" s="113"/>
      <c r="K48" s="225"/>
    </row>
    <row r="49" spans="2:11" ht="19">
      <c r="B49" s="449"/>
      <c r="C49" s="236"/>
      <c r="D49" s="236"/>
      <c r="E49" s="113"/>
      <c r="F49" s="237"/>
      <c r="G49" s="237"/>
      <c r="H49" s="238"/>
      <c r="I49" s="238"/>
      <c r="J49" s="113"/>
      <c r="K49" s="225"/>
    </row>
    <row r="50" spans="2:11" ht="19">
      <c r="B50" s="449"/>
      <c r="C50" s="236"/>
      <c r="D50" s="236"/>
      <c r="E50" s="113"/>
      <c r="F50" s="237"/>
      <c r="G50" s="237"/>
      <c r="H50" s="238"/>
      <c r="I50" s="238"/>
      <c r="J50" s="113"/>
      <c r="K50" s="225"/>
    </row>
    <row r="51" spans="2:11" ht="19">
      <c r="B51" s="449"/>
      <c r="C51" s="236"/>
      <c r="D51" s="236"/>
      <c r="E51" s="113"/>
      <c r="F51" s="237"/>
      <c r="G51" s="237"/>
      <c r="H51" s="238"/>
      <c r="I51" s="238"/>
      <c r="J51" s="113"/>
      <c r="K51" s="225"/>
    </row>
    <row r="52" spans="2:11" ht="19">
      <c r="B52" s="449"/>
      <c r="C52" s="236"/>
      <c r="D52" s="236"/>
      <c r="E52" s="113"/>
      <c r="F52" s="237"/>
      <c r="G52" s="237"/>
      <c r="H52" s="238"/>
      <c r="I52" s="238"/>
      <c r="J52" s="113"/>
      <c r="K52" s="225"/>
    </row>
    <row r="53" spans="2:11" ht="19">
      <c r="B53" s="449"/>
      <c r="C53" s="236"/>
      <c r="D53" s="236"/>
      <c r="E53" s="113"/>
      <c r="F53" s="237"/>
      <c r="G53" s="237"/>
      <c r="H53" s="238"/>
      <c r="I53" s="238"/>
      <c r="J53" s="113"/>
      <c r="K53" s="225"/>
    </row>
    <row r="54" spans="2:11" ht="19">
      <c r="B54" s="449"/>
      <c r="C54" s="236"/>
      <c r="D54" s="236"/>
      <c r="E54" s="113"/>
      <c r="F54" s="237"/>
      <c r="G54" s="237"/>
      <c r="H54" s="238"/>
      <c r="I54" s="238"/>
      <c r="J54" s="113"/>
      <c r="K54" s="225"/>
    </row>
    <row r="55" spans="2:11" ht="19">
      <c r="B55" s="449"/>
      <c r="C55" s="236"/>
      <c r="D55" s="236"/>
      <c r="E55" s="113"/>
      <c r="F55" s="237"/>
      <c r="G55" s="237"/>
      <c r="H55" s="238"/>
      <c r="I55" s="238"/>
      <c r="J55" s="113"/>
      <c r="K55" s="225"/>
    </row>
    <row r="56" spans="2:11" ht="19">
      <c r="B56" s="449"/>
      <c r="C56" s="236"/>
      <c r="D56" s="236"/>
      <c r="E56" s="113"/>
      <c r="F56" s="228"/>
      <c r="G56" s="228"/>
      <c r="H56" s="225"/>
      <c r="I56" s="225"/>
      <c r="J56" s="113"/>
      <c r="K56" s="225"/>
    </row>
    <row r="57" spans="2:11" ht="16">
      <c r="B57" s="450"/>
      <c r="C57" s="239"/>
      <c r="D57" s="239"/>
      <c r="E57" s="113"/>
      <c r="F57" s="226"/>
      <c r="G57" s="226"/>
      <c r="H57" s="225"/>
      <c r="I57" s="225"/>
      <c r="J57" s="113"/>
      <c r="K57" s="225"/>
    </row>
    <row r="58" spans="2:11" ht="16">
      <c r="B58" s="450"/>
      <c r="C58" s="239"/>
      <c r="D58" s="239"/>
      <c r="E58" s="113"/>
      <c r="F58" s="226"/>
      <c r="G58" s="226"/>
      <c r="H58" s="225"/>
      <c r="I58" s="225"/>
      <c r="J58" s="113"/>
      <c r="K58" s="225"/>
    </row>
    <row r="59" spans="2:11" ht="16">
      <c r="B59" s="441"/>
      <c r="C59" s="239"/>
      <c r="D59" s="239"/>
      <c r="E59" s="113"/>
      <c r="F59" s="226"/>
      <c r="G59" s="226"/>
      <c r="H59" s="225"/>
      <c r="I59" s="225"/>
      <c r="J59" s="225"/>
      <c r="K59" s="225"/>
    </row>
    <row r="60" spans="2:11" ht="14">
      <c r="B60" s="441"/>
      <c r="C60" s="226"/>
      <c r="D60" s="226"/>
      <c r="E60" s="226"/>
      <c r="F60" s="226"/>
      <c r="G60" s="226"/>
      <c r="H60" s="225"/>
      <c r="I60" s="225"/>
      <c r="J60" s="225"/>
      <c r="K60" s="225"/>
    </row>
    <row r="61" spans="2:11">
      <c r="J61" s="225"/>
      <c r="K61" s="225"/>
    </row>
    <row r="62" spans="2:11">
      <c r="J62" s="225"/>
      <c r="K62" s="225"/>
    </row>
  </sheetData>
  <sheetProtection sheet="1" scenarios="1" selectLockedCells="1" selectUnlockedCells="1"/>
  <customSheetViews>
    <customSheetView guid="{8967CA62-3554-8A40-ACFF-3515F2B518C8}">
      <selection activeCell="C28" sqref="C28"/>
      <pageMargins left="0.7" right="0.7" top="0.75" bottom="0.75" header="0.3" footer="0.3"/>
      <pageSetup paperSize="9" orientation="portrait" horizontalDpi="4294967292" verticalDpi="4294967292"/>
    </customSheetView>
    <customSheetView guid="{EB877D66-0749-4C48-89AA-FFA94A34014C}">
      <selection activeCell="C28" sqref="C28"/>
      <pageMargins left="0.7" right="0.7" top="0.75" bottom="0.75" header="0.3" footer="0.3"/>
      <pageSetup paperSize="9" orientation="portrait" horizontalDpi="4294967292" verticalDpi="4294967292"/>
    </customSheetView>
  </customSheetViews>
  <pageMargins left="0.7" right="0.7" top="0.75" bottom="0.75" header="0.3" footer="0.3"/>
  <pageSetup paperSize="9" orientation="portrait" horizontalDpi="4294967292" verticalDpi="429496729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2:AJ193"/>
  <sheetViews>
    <sheetView showGridLines="0" topLeftCell="M97" zoomScale="85" zoomScaleNormal="85" zoomScalePageLayoutView="85" workbookViewId="0">
      <selection activeCell="N48" sqref="N48"/>
    </sheetView>
  </sheetViews>
  <sheetFormatPr baseColWidth="10" defaultColWidth="10.83203125" defaultRowHeight="16"/>
  <cols>
    <col min="1" max="1" width="3.33203125" style="64" customWidth="1"/>
    <col min="2" max="2" width="8.6640625" style="64" customWidth="1"/>
    <col min="3" max="3" width="3.33203125" style="17" customWidth="1"/>
    <col min="4" max="4" width="2" style="17" customWidth="1"/>
    <col min="5" max="5" width="53.1640625" style="17" customWidth="1"/>
    <col min="6" max="16" width="13.33203125" style="86" customWidth="1"/>
    <col min="17" max="18" width="10.83203125" style="86"/>
    <col min="19" max="19" width="10.83203125" style="360"/>
    <col min="20" max="20" width="11" style="86" bestFit="1" customWidth="1"/>
    <col min="21" max="16384" width="10.83203125" style="17"/>
  </cols>
  <sheetData>
    <row r="2" spans="1:36" ht="39">
      <c r="E2" s="16" t="s">
        <v>8</v>
      </c>
    </row>
    <row r="4" spans="1:36" ht="21">
      <c r="E4" s="35" t="s">
        <v>1</v>
      </c>
      <c r="F4" s="36" t="str">
        <f>'Prediction tool'!G6</f>
        <v>India</v>
      </c>
      <c r="G4" s="36"/>
      <c r="H4" s="36"/>
      <c r="I4" s="36"/>
      <c r="J4" s="36"/>
      <c r="K4" s="36"/>
      <c r="L4" s="36"/>
      <c r="M4" s="36"/>
      <c r="N4" s="36"/>
      <c r="O4" s="36"/>
      <c r="P4" s="36"/>
    </row>
    <row r="6" spans="1:36" s="25" customFormat="1" ht="21">
      <c r="A6" s="324"/>
      <c r="B6" s="324"/>
      <c r="E6" s="24" t="s">
        <v>6</v>
      </c>
      <c r="F6" s="361">
        <v>2003</v>
      </c>
      <c r="G6" s="361">
        <v>2004</v>
      </c>
      <c r="H6" s="361">
        <v>2005</v>
      </c>
      <c r="I6" s="361">
        <v>2006</v>
      </c>
      <c r="J6" s="361">
        <v>2007</v>
      </c>
      <c r="K6" s="361">
        <v>2008</v>
      </c>
      <c r="L6" s="361">
        <v>2009</v>
      </c>
      <c r="M6" s="361">
        <v>2010</v>
      </c>
      <c r="N6" s="361">
        <v>2011</v>
      </c>
      <c r="O6" s="361">
        <v>2012</v>
      </c>
      <c r="P6" s="361">
        <v>2013</v>
      </c>
      <c r="Q6" s="361">
        <v>2014</v>
      </c>
      <c r="R6" s="361">
        <v>2015</v>
      </c>
      <c r="S6" s="361">
        <v>2016</v>
      </c>
      <c r="T6" s="361">
        <v>2017</v>
      </c>
      <c r="U6" s="24">
        <v>2018</v>
      </c>
      <c r="V6" s="24">
        <v>2019</v>
      </c>
      <c r="W6" s="24">
        <v>2020</v>
      </c>
      <c r="X6" s="24">
        <v>2021</v>
      </c>
      <c r="Y6" s="24">
        <v>2022</v>
      </c>
      <c r="Z6" s="24">
        <v>2023</v>
      </c>
      <c r="AA6" s="24">
        <v>2024</v>
      </c>
      <c r="AB6" s="24">
        <v>2025</v>
      </c>
      <c r="AC6" s="24">
        <v>2026</v>
      </c>
      <c r="AD6" s="24">
        <v>2027</v>
      </c>
      <c r="AE6" s="24">
        <v>2028</v>
      </c>
      <c r="AF6" s="24">
        <v>2029</v>
      </c>
      <c r="AG6" s="24">
        <v>2030</v>
      </c>
    </row>
    <row r="7" spans="1:36" s="19" customFormat="1" ht="19">
      <c r="A7" s="325"/>
      <c r="B7" s="325"/>
      <c r="E7" s="22">
        <v>50</v>
      </c>
      <c r="F7" s="362">
        <v>50</v>
      </c>
      <c r="G7" s="362">
        <v>50</v>
      </c>
      <c r="H7" s="362">
        <v>50</v>
      </c>
      <c r="I7" s="362">
        <v>50</v>
      </c>
      <c r="J7" s="362">
        <v>50</v>
      </c>
      <c r="K7" s="362">
        <v>50</v>
      </c>
      <c r="L7" s="362">
        <v>50</v>
      </c>
      <c r="M7" s="362">
        <v>50</v>
      </c>
      <c r="N7" s="362">
        <v>50</v>
      </c>
      <c r="O7" s="362">
        <v>50</v>
      </c>
      <c r="P7" s="362">
        <v>50</v>
      </c>
      <c r="Q7" s="362">
        <v>50</v>
      </c>
      <c r="R7" s="362">
        <v>50</v>
      </c>
      <c r="S7" s="362">
        <v>50</v>
      </c>
      <c r="T7" s="362">
        <v>50</v>
      </c>
      <c r="U7" s="22">
        <v>50</v>
      </c>
      <c r="V7" s="22">
        <v>50</v>
      </c>
      <c r="W7" s="22">
        <v>50</v>
      </c>
      <c r="X7" s="22">
        <v>50</v>
      </c>
      <c r="Y7" s="22">
        <v>50</v>
      </c>
      <c r="Z7" s="22">
        <v>50</v>
      </c>
      <c r="AA7" s="22">
        <v>50</v>
      </c>
      <c r="AB7" s="22">
        <v>50</v>
      </c>
      <c r="AC7" s="22">
        <v>50</v>
      </c>
      <c r="AD7" s="22">
        <v>50</v>
      </c>
      <c r="AE7" s="22">
        <v>50</v>
      </c>
      <c r="AF7" s="22">
        <v>50</v>
      </c>
      <c r="AG7" s="22">
        <v>50</v>
      </c>
      <c r="AH7" s="22">
        <v>50</v>
      </c>
      <c r="AI7" s="22">
        <v>50</v>
      </c>
      <c r="AJ7" s="22">
        <v>50</v>
      </c>
    </row>
    <row r="8" spans="1:36" s="82" customFormat="1" ht="21">
      <c r="A8" s="326"/>
      <c r="B8" s="326"/>
      <c r="E8" s="23" t="s">
        <v>17</v>
      </c>
      <c r="F8" s="80" t="e">
        <f>'Data (Calculations)'!#REF!</f>
        <v>#REF!</v>
      </c>
      <c r="G8" s="80" t="e">
        <f>'Data (Calculations)'!#REF!</f>
        <v>#REF!</v>
      </c>
      <c r="H8" s="80" t="e">
        <f>'Data (Calculations)'!#REF!</f>
        <v>#REF!</v>
      </c>
      <c r="I8" s="80" t="e">
        <f>'Data (Calculations)'!#REF!</f>
        <v>#REF!</v>
      </c>
      <c r="J8" s="80" t="e">
        <f>'Data (Calculations)'!#REF!</f>
        <v>#REF!</v>
      </c>
      <c r="K8" s="80" t="e">
        <f>'Data (Calculations)'!#REF!</f>
        <v>#REF!</v>
      </c>
      <c r="L8" s="80" t="e">
        <f>'Data (Calculations)'!#REF!</f>
        <v>#REF!</v>
      </c>
      <c r="M8" s="80" t="e">
        <f>'Data (Calculations)'!#REF!</f>
        <v>#REF!</v>
      </c>
      <c r="N8" s="80" t="e">
        <f>'Data (Calculations)'!#REF!</f>
        <v>#REF!</v>
      </c>
      <c r="O8" s="80">
        <f>'Data (Calculations)'!H22</f>
        <v>6.4000000000000003E-3</v>
      </c>
      <c r="P8" s="80">
        <f>'Data (Calculations)'!I22</f>
        <v>8.9999999999999998E-4</v>
      </c>
      <c r="Q8" s="80">
        <f>'Data (Calculations)'!J22</f>
        <v>2.3E-3</v>
      </c>
      <c r="R8" s="80">
        <f>'Data (Calculations)'!K22</f>
        <v>2.0999999999999999E-3</v>
      </c>
      <c r="S8" s="80">
        <f>'Data (Calculations)'!L22</f>
        <v>8.9999999999999998E-4</v>
      </c>
      <c r="T8" s="80">
        <f>'Data (Calculations)'!M22</f>
        <v>1E-3</v>
      </c>
      <c r="U8" s="80" t="str">
        <f>'Data (Calculations)'!N22</f>
        <v>NA</v>
      </c>
      <c r="V8" s="80">
        <f>'Data (Calculations)'!O22</f>
        <v>9.6341080571743845E-4</v>
      </c>
      <c r="W8" s="80">
        <f>'Data (Calculations)'!P22</f>
        <v>9.6341080571743845E-4</v>
      </c>
      <c r="X8" s="80">
        <f>'Data (Calculations)'!Q22</f>
        <v>9.6341080571743845E-4</v>
      </c>
      <c r="Y8" s="80">
        <f>'Data (Calculations)'!R22</f>
        <v>9.6341080571743845E-4</v>
      </c>
      <c r="Z8" s="80">
        <f>'Data (Calculations)'!S22</f>
        <v>9.6341080571743845E-4</v>
      </c>
      <c r="AA8" s="80">
        <f>'Data (Calculations)'!T22</f>
        <v>9.6341080571743845E-4</v>
      </c>
      <c r="AB8" s="80">
        <f>'Data (Calculations)'!U22</f>
        <v>9.6341080571743845E-4</v>
      </c>
      <c r="AC8" s="80">
        <f>'Data (Calculations)'!V22</f>
        <v>9.6341080571743845E-4</v>
      </c>
      <c r="AD8" s="80">
        <f>'Data (Calculations)'!W22</f>
        <v>9.6341080571743845E-4</v>
      </c>
      <c r="AE8" s="80">
        <f>'Data (Calculations)'!X22</f>
        <v>9.6341080571743845E-4</v>
      </c>
      <c r="AF8" s="80">
        <f>'Data (Calculations)'!Y22</f>
        <v>9.6341080571743845E-4</v>
      </c>
      <c r="AG8" s="80">
        <f>'Data (Calculations)'!Z22</f>
        <v>9.6341080571743845E-4</v>
      </c>
    </row>
    <row r="9" spans="1:36" s="23" customFormat="1" ht="19">
      <c r="A9" s="327"/>
      <c r="B9" s="327"/>
      <c r="F9" s="102"/>
      <c r="G9" s="102"/>
      <c r="H9" s="102"/>
      <c r="I9" s="102"/>
      <c r="J9" s="102"/>
      <c r="K9" s="102"/>
      <c r="L9" s="102"/>
      <c r="M9" s="102"/>
      <c r="N9" s="102"/>
      <c r="O9" s="102"/>
      <c r="P9" s="102"/>
      <c r="Q9" s="102"/>
      <c r="R9" s="102"/>
      <c r="S9" s="102"/>
      <c r="T9" s="102"/>
      <c r="U9" s="102"/>
      <c r="V9" s="102"/>
      <c r="W9" s="102"/>
      <c r="X9" s="102"/>
      <c r="Y9" s="102"/>
      <c r="Z9" s="102"/>
      <c r="AA9" s="102"/>
      <c r="AB9" s="102"/>
      <c r="AC9" s="102"/>
      <c r="AD9" s="102"/>
      <c r="AE9" s="102"/>
      <c r="AF9" s="102"/>
      <c r="AG9" s="102"/>
    </row>
    <row r="10" spans="1:36" s="23" customFormat="1" ht="19">
      <c r="A10" s="327"/>
      <c r="B10" s="327"/>
      <c r="U10" s="102"/>
      <c r="V10" s="102"/>
      <c r="W10" s="493"/>
      <c r="X10" s="102"/>
      <c r="Y10" s="102"/>
      <c r="Z10" s="102"/>
      <c r="AA10" s="102"/>
      <c r="AB10" s="102"/>
      <c r="AC10" s="102"/>
      <c r="AD10" s="102"/>
      <c r="AE10" s="102"/>
      <c r="AF10" s="102"/>
      <c r="AG10" s="102"/>
    </row>
    <row r="11" spans="1:36" s="23" customFormat="1" ht="19">
      <c r="A11" s="327"/>
      <c r="B11" s="327"/>
      <c r="W11" s="494"/>
    </row>
    <row r="12" spans="1:36" s="23" customFormat="1" ht="27" thickBot="1">
      <c r="A12" s="327"/>
      <c r="B12" s="328"/>
      <c r="E12" s="20" t="s">
        <v>9</v>
      </c>
      <c r="U12" s="18"/>
      <c r="V12" s="18"/>
      <c r="W12" s="495"/>
      <c r="X12" s="18"/>
      <c r="Y12" s="18"/>
      <c r="Z12" s="18"/>
      <c r="AA12" s="18"/>
      <c r="AB12" s="18"/>
      <c r="AC12" s="18"/>
      <c r="AD12" s="18"/>
      <c r="AE12" s="18"/>
      <c r="AF12" s="18"/>
      <c r="AG12" s="18"/>
    </row>
    <row r="13" spans="1:36" s="62" customFormat="1" ht="32" customHeight="1">
      <c r="A13" s="329"/>
      <c r="B13" s="329"/>
      <c r="E13" s="17"/>
      <c r="F13" s="363"/>
      <c r="G13" s="363"/>
      <c r="H13" s="363"/>
      <c r="I13" s="363"/>
      <c r="J13" s="363"/>
      <c r="K13" s="363"/>
      <c r="L13" s="363"/>
      <c r="M13" s="363"/>
      <c r="N13" s="363"/>
      <c r="O13" s="363"/>
      <c r="P13" s="363"/>
      <c r="Q13" s="363"/>
      <c r="R13" s="363"/>
      <c r="S13" s="363"/>
      <c r="T13" s="363"/>
      <c r="U13" s="17"/>
      <c r="V13" s="17"/>
      <c r="W13" s="17"/>
      <c r="X13" s="17"/>
      <c r="Y13" s="17"/>
      <c r="Z13" s="17"/>
      <c r="AA13" s="17"/>
      <c r="AB13" s="17"/>
      <c r="AC13" s="17"/>
      <c r="AD13" s="17"/>
      <c r="AE13" s="17"/>
      <c r="AF13" s="17"/>
      <c r="AG13" s="17"/>
    </row>
    <row r="14" spans="1:36">
      <c r="E14" s="17" t="s">
        <v>15</v>
      </c>
      <c r="F14" s="364" t="e">
        <f>'Data (Calculations)'!#REF!</f>
        <v>#REF!</v>
      </c>
      <c r="G14" s="364" t="e">
        <f>'Data (Calculations)'!#REF!</f>
        <v>#REF!</v>
      </c>
      <c r="H14" s="364" t="e">
        <f>'Data (Calculations)'!#REF!</f>
        <v>#REF!</v>
      </c>
      <c r="I14" s="364" t="e">
        <f>'Data (Calculations)'!#REF!</f>
        <v>#REF!</v>
      </c>
      <c r="J14" s="364" t="e">
        <f>'Data (Calculations)'!#REF!</f>
        <v>#REF!</v>
      </c>
      <c r="K14" s="364" t="e">
        <f>'Data (Calculations)'!#REF!</f>
        <v>#REF!</v>
      </c>
      <c r="L14" s="364" t="e">
        <f>'Data (Calculations)'!#REF!</f>
        <v>#REF!</v>
      </c>
      <c r="M14" s="364" t="e">
        <f>'Data (Calculations)'!#REF!</f>
        <v>#REF!</v>
      </c>
      <c r="N14" s="364" t="e">
        <f>'Data (Calculations)'!#REF!</f>
        <v>#REF!</v>
      </c>
      <c r="O14" s="364">
        <f>'Data (Calculations)'!H19</f>
        <v>26127686</v>
      </c>
      <c r="P14" s="364">
        <f>'Data (Calculations)'!I19</f>
        <v>25970276</v>
      </c>
      <c r="Q14" s="364">
        <f>'Data (Calculations)'!J19</f>
        <v>25860462</v>
      </c>
      <c r="R14" s="364">
        <f>'Data (Calculations)'!K19</f>
        <v>25793674</v>
      </c>
      <c r="S14" s="364">
        <f>'Data (Calculations)'!L19</f>
        <v>25757827</v>
      </c>
      <c r="T14" s="364">
        <f>'Data (Calculations)'!M19</f>
        <v>25732835</v>
      </c>
      <c r="U14" s="364">
        <f>'Data (Calculations)'!N19</f>
        <v>25701683</v>
      </c>
      <c r="V14" s="171">
        <f>'Data (Calculations)'!O19</f>
        <v>25656209</v>
      </c>
      <c r="W14" s="171">
        <f>'Data (Calculations)'!P19</f>
        <v>25592063</v>
      </c>
      <c r="X14" s="171">
        <f>'Data (Calculations)'!Q19</f>
        <v>25509804</v>
      </c>
      <c r="Y14" s="171">
        <f>'Data (Calculations)'!R19</f>
        <v>25415752</v>
      </c>
      <c r="Z14" s="171">
        <f>'Data (Calculations)'!S19</f>
        <v>25314517</v>
      </c>
      <c r="AA14" s="171">
        <f>'Data (Calculations)'!T19</f>
        <v>25205935</v>
      </c>
      <c r="AB14" s="171">
        <f>'Data (Calculations)'!U19</f>
        <v>25089023</v>
      </c>
      <c r="AC14" s="171">
        <f>'Data (Calculations)'!V19</f>
        <v>24962370</v>
      </c>
      <c r="AD14" s="171">
        <f>'Data (Calculations)'!W19</f>
        <v>24824987</v>
      </c>
      <c r="AE14" s="171">
        <f>'Data (Calculations)'!X19</f>
        <v>24676554</v>
      </c>
      <c r="AF14" s="171">
        <f>'Data (Calculations)'!Y19</f>
        <v>24517496</v>
      </c>
      <c r="AG14" s="171">
        <f>'Data (Calculations)'!Z19</f>
        <v>24347619</v>
      </c>
    </row>
    <row r="15" spans="1:36">
      <c r="T15" s="360"/>
      <c r="U15" s="360"/>
      <c r="V15" s="107"/>
      <c r="W15" s="107"/>
      <c r="X15" s="107"/>
      <c r="Y15" s="107"/>
      <c r="Z15" s="107"/>
      <c r="AA15" s="107"/>
      <c r="AB15" s="107"/>
      <c r="AC15" s="107"/>
      <c r="AD15" s="107"/>
      <c r="AE15" s="107"/>
      <c r="AF15" s="107"/>
      <c r="AG15" s="107"/>
    </row>
    <row r="16" spans="1:36" ht="27" thickBot="1">
      <c r="E16" s="20" t="s">
        <v>26</v>
      </c>
      <c r="T16" s="360"/>
      <c r="U16" s="360"/>
    </row>
    <row r="17" spans="2:33" s="17" customFormat="1">
      <c r="B17" s="64"/>
      <c r="F17" s="86"/>
      <c r="G17" s="86"/>
      <c r="H17" s="86"/>
      <c r="I17" s="86"/>
      <c r="J17" s="86"/>
      <c r="K17" s="86"/>
      <c r="L17" s="86"/>
      <c r="M17" s="86"/>
      <c r="N17" s="86"/>
      <c r="O17" s="86"/>
      <c r="P17" s="86"/>
      <c r="Q17" s="86"/>
      <c r="R17" s="86"/>
      <c r="S17" s="86"/>
      <c r="T17" s="86">
        <f>'Data (Calculations)'!M30</f>
        <v>1</v>
      </c>
      <c r="U17" s="86">
        <f>'Data (Calculations)'!$O$30</f>
        <v>1</v>
      </c>
      <c r="V17" s="17">
        <f>'Data (Calculations)'!$O$30</f>
        <v>1</v>
      </c>
    </row>
    <row r="18" spans="2:33" s="17" customFormat="1" ht="19">
      <c r="B18" s="64"/>
      <c r="E18" s="317" t="s">
        <v>191</v>
      </c>
      <c r="F18" s="365"/>
      <c r="G18" s="365"/>
      <c r="H18" s="365"/>
      <c r="I18" s="365"/>
      <c r="J18" s="365"/>
      <c r="K18" s="365"/>
      <c r="L18" s="365"/>
      <c r="M18" s="365"/>
      <c r="N18" s="365"/>
      <c r="O18" s="365"/>
      <c r="P18" s="365"/>
      <c r="Q18" s="365"/>
      <c r="R18" s="365"/>
      <c r="S18" s="365"/>
      <c r="T18" s="365"/>
      <c r="U18" s="365"/>
      <c r="V18" s="314"/>
      <c r="W18" s="314"/>
      <c r="X18" s="314"/>
      <c r="Y18" s="314"/>
      <c r="Z18" s="314"/>
      <c r="AA18" s="314"/>
      <c r="AB18" s="314"/>
      <c r="AC18" s="314"/>
      <c r="AD18" s="314"/>
      <c r="AE18" s="314"/>
      <c r="AF18" s="314"/>
      <c r="AG18" s="314"/>
    </row>
    <row r="19" spans="2:33" s="17" customFormat="1">
      <c r="B19" s="330"/>
      <c r="F19" s="86"/>
      <c r="G19" s="86"/>
      <c r="H19" s="86"/>
      <c r="I19" s="86"/>
      <c r="J19" s="86"/>
      <c r="K19" s="86"/>
      <c r="L19" s="86"/>
      <c r="M19" s="86"/>
      <c r="N19" s="86"/>
      <c r="O19" s="86"/>
      <c r="P19" s="86"/>
      <c r="Q19" s="86"/>
      <c r="R19" s="86"/>
      <c r="S19" s="86"/>
      <c r="T19" s="86"/>
      <c r="U19" s="86"/>
    </row>
    <row r="20" spans="2:33" s="17" customFormat="1">
      <c r="B20" s="64"/>
      <c r="E20" s="17" t="s">
        <v>198</v>
      </c>
      <c r="F20" s="268" t="e">
        <f>'Data (Calculations)'!#REF!*F14</f>
        <v>#REF!</v>
      </c>
      <c r="G20" s="268" t="e">
        <f>'Data (Calculations)'!#REF!*G14</f>
        <v>#REF!</v>
      </c>
      <c r="H20" s="268" t="e">
        <f>'Data (Calculations)'!#REF!*H14</f>
        <v>#REF!</v>
      </c>
      <c r="I20" s="268" t="e">
        <f>'Data (Calculations)'!#REF!*I14</f>
        <v>#REF!</v>
      </c>
      <c r="J20" s="268" t="e">
        <f>'Data (Calculations)'!#REF!*J14</f>
        <v>#REF!</v>
      </c>
      <c r="K20" s="268" t="e">
        <f>'Data (Calculations)'!#REF!*K14</f>
        <v>#REF!</v>
      </c>
      <c r="L20" s="268" t="e">
        <f>'Data (Calculations)'!#REF!*L14</f>
        <v>#REF!</v>
      </c>
      <c r="M20" s="268" t="e">
        <f>'Data (Calculations)'!#REF!*M14</f>
        <v>#REF!</v>
      </c>
      <c r="N20" s="268" t="e">
        <f>'Data (Calculations)'!#REF!*N14</f>
        <v>#REF!</v>
      </c>
      <c r="O20" s="268">
        <f>'Data (Calculations)'!H30*O14</f>
        <v>2806049</v>
      </c>
      <c r="P20" s="268">
        <f>'Data (Calculations)'!I30*P14</f>
        <v>3983661.9999999995</v>
      </c>
      <c r="Q20" s="268">
        <f>'Data (Calculations)'!J30*Q14</f>
        <v>3765416</v>
      </c>
      <c r="R20" s="268">
        <f>'Data (Calculations)'!K30*R14</f>
        <v>3820480</v>
      </c>
      <c r="S20" s="268">
        <f>'Data (Calculations)'!L30*S14</f>
        <v>4339575</v>
      </c>
      <c r="T20" s="268">
        <f>'Data (Calculations)'!M30*T14</f>
        <v>25732835</v>
      </c>
      <c r="U20" s="268" t="e">
        <f>'Data (Calculations)'!N30*U14</f>
        <v>#VALUE!</v>
      </c>
      <c r="V20" s="268">
        <f>'Data (Calculations)'!O30*V14</f>
        <v>25656209</v>
      </c>
      <c r="W20" s="268">
        <f>'Data (Calculations)'!$O$30*W14</f>
        <v>25592063</v>
      </c>
      <c r="X20" s="268">
        <f>'Data (Calculations)'!$O$30*X14</f>
        <v>25509804</v>
      </c>
      <c r="Y20" s="268">
        <f>'Data (Calculations)'!$O$30*Y14</f>
        <v>25415752</v>
      </c>
      <c r="Z20" s="268">
        <f>'Data (Calculations)'!$O$30*Z14</f>
        <v>25314517</v>
      </c>
      <c r="AA20" s="268">
        <f>'Data (Calculations)'!$O$30*AA14</f>
        <v>25205935</v>
      </c>
      <c r="AB20" s="268">
        <f>'Data (Calculations)'!$O$30*AB14</f>
        <v>25089023</v>
      </c>
      <c r="AC20" s="268">
        <f>'Data (Calculations)'!$O$30*AC14</f>
        <v>24962370</v>
      </c>
      <c r="AD20" s="268">
        <f>'Data (Calculations)'!$O$30*AD14</f>
        <v>24824987</v>
      </c>
      <c r="AE20" s="268">
        <f>'Data (Calculations)'!$O$30*AE14</f>
        <v>24676554</v>
      </c>
      <c r="AF20" s="268">
        <f>'Data (Calculations)'!$O$30*AF14</f>
        <v>24517496</v>
      </c>
      <c r="AG20" s="268">
        <f>'Data (Calculations)'!$O$30*AG14</f>
        <v>24347619</v>
      </c>
    </row>
    <row r="21" spans="2:33" s="17" customFormat="1">
      <c r="B21" s="64"/>
      <c r="E21" s="17" t="s">
        <v>205</v>
      </c>
      <c r="F21" s="268" t="e">
        <f>(1-'Data (Calculations)'!#REF!)*F14</f>
        <v>#REF!</v>
      </c>
      <c r="G21" s="268" t="e">
        <f>(1-'Data (Calculations)'!#REF!)*G14</f>
        <v>#REF!</v>
      </c>
      <c r="H21" s="268" t="e">
        <f>(1-'Data (Calculations)'!#REF!)*H14</f>
        <v>#REF!</v>
      </c>
      <c r="I21" s="268" t="e">
        <f>(1-'Data (Calculations)'!#REF!)*I14</f>
        <v>#REF!</v>
      </c>
      <c r="J21" s="268" t="e">
        <f>(1-'Data (Calculations)'!#REF!)*J14</f>
        <v>#REF!</v>
      </c>
      <c r="K21" s="268" t="e">
        <f>(1-'Data (Calculations)'!#REF!)*K14</f>
        <v>#REF!</v>
      </c>
      <c r="L21" s="268" t="e">
        <f>(1-'Data (Calculations)'!#REF!)*L14</f>
        <v>#REF!</v>
      </c>
      <c r="M21" s="268" t="e">
        <f>(1-'Data (Calculations)'!#REF!)*M14</f>
        <v>#REF!</v>
      </c>
      <c r="N21" s="268" t="e">
        <f>(1-'Data (Calculations)'!#REF!)*N14</f>
        <v>#REF!</v>
      </c>
      <c r="O21" s="268">
        <f>(1-'Data (Calculations)'!H30)*O14</f>
        <v>23321637</v>
      </c>
      <c r="P21" s="268">
        <f>(1-'Data (Calculations)'!I30)*P14</f>
        <v>21986614</v>
      </c>
      <c r="Q21" s="268">
        <f>(1-'Data (Calculations)'!J30)*Q14</f>
        <v>22095046</v>
      </c>
      <c r="R21" s="268">
        <f>(1-'Data (Calculations)'!K30)*R14</f>
        <v>21973194</v>
      </c>
      <c r="S21" s="268">
        <f>(1-'Data (Calculations)'!L30)*S14</f>
        <v>21418252</v>
      </c>
      <c r="T21" s="268">
        <f>(1-'Data (Calculations)'!M30)*T14</f>
        <v>0</v>
      </c>
      <c r="U21" s="268" t="e">
        <f>(1-'Data (Calculations)'!N30)*U14</f>
        <v>#VALUE!</v>
      </c>
      <c r="V21" s="268">
        <f>(1-'Data (Calculations)'!O30)*V14</f>
        <v>0</v>
      </c>
      <c r="W21" s="268">
        <f>(1-'Data (Calculations)'!$O$30)*W14</f>
        <v>0</v>
      </c>
      <c r="X21" s="268">
        <f>(1-'Data (Calculations)'!$O$30)*X14</f>
        <v>0</v>
      </c>
      <c r="Y21" s="268">
        <f>(1-'Data (Calculations)'!$O$30)*Y14</f>
        <v>0</v>
      </c>
      <c r="Z21" s="268">
        <f>(1-'Data (Calculations)'!$O$30)*Z14</f>
        <v>0</v>
      </c>
      <c r="AA21" s="268">
        <f>(1-'Data (Calculations)'!$O$30)*AA14</f>
        <v>0</v>
      </c>
      <c r="AB21" s="268">
        <f>(1-'Data (Calculations)'!$O$30)*AB14</f>
        <v>0</v>
      </c>
      <c r="AC21" s="268">
        <f>(1-'Data (Calculations)'!$O$30)*AC14</f>
        <v>0</v>
      </c>
      <c r="AD21" s="268">
        <f>(1-'Data (Calculations)'!$O$30)*AD14</f>
        <v>0</v>
      </c>
      <c r="AE21" s="268">
        <f>(1-'Data (Calculations)'!$O$30)*AE14</f>
        <v>0</v>
      </c>
      <c r="AF21" s="268">
        <f>(1-'Data (Calculations)'!$O$30)*AF14</f>
        <v>0</v>
      </c>
      <c r="AG21" s="268">
        <f>(1-'Data (Calculations)'!$O$30)*AG14</f>
        <v>0</v>
      </c>
    </row>
    <row r="22" spans="2:33" s="17" customFormat="1">
      <c r="B22" s="92"/>
      <c r="F22" s="86"/>
      <c r="G22" s="86"/>
      <c r="H22" s="86"/>
      <c r="I22" s="86"/>
      <c r="J22" s="86"/>
      <c r="K22" s="86"/>
      <c r="L22" s="86"/>
      <c r="M22" s="86"/>
      <c r="N22" s="86"/>
      <c r="O22" s="86"/>
      <c r="P22" s="86"/>
      <c r="Q22" s="86"/>
      <c r="R22" s="86"/>
      <c r="S22" s="86"/>
      <c r="T22" s="86"/>
      <c r="U22" s="86"/>
      <c r="V22" s="86"/>
      <c r="W22" s="86"/>
      <c r="X22" s="86"/>
      <c r="Y22" s="86"/>
      <c r="Z22" s="86"/>
      <c r="AA22" s="86"/>
      <c r="AB22" s="86"/>
      <c r="AC22" s="86"/>
      <c r="AD22" s="86"/>
      <c r="AE22" s="86"/>
      <c r="AF22" s="86"/>
      <c r="AG22" s="86"/>
    </row>
    <row r="23" spans="2:33" s="17" customFormat="1">
      <c r="B23" s="64"/>
      <c r="E23" s="17" t="s">
        <v>207</v>
      </c>
      <c r="F23" s="268" t="e">
        <f t="shared" ref="F23:S23" si="0">F8*F20</f>
        <v>#REF!</v>
      </c>
      <c r="G23" s="268" t="e">
        <f t="shared" si="0"/>
        <v>#REF!</v>
      </c>
      <c r="H23" s="268" t="e">
        <f t="shared" si="0"/>
        <v>#REF!</v>
      </c>
      <c r="I23" s="268" t="e">
        <f t="shared" si="0"/>
        <v>#REF!</v>
      </c>
      <c r="J23" s="268" t="e">
        <f t="shared" si="0"/>
        <v>#REF!</v>
      </c>
      <c r="K23" s="268" t="e">
        <f t="shared" si="0"/>
        <v>#REF!</v>
      </c>
      <c r="L23" s="268" t="e">
        <f t="shared" si="0"/>
        <v>#REF!</v>
      </c>
      <c r="M23" s="268" t="e">
        <f t="shared" si="0"/>
        <v>#REF!</v>
      </c>
      <c r="N23" s="268" t="e">
        <f t="shared" si="0"/>
        <v>#REF!</v>
      </c>
      <c r="O23" s="268">
        <f t="shared" si="0"/>
        <v>17958.713599999999</v>
      </c>
      <c r="P23" s="268">
        <f t="shared" si="0"/>
        <v>3585.2957999999994</v>
      </c>
      <c r="Q23" s="268">
        <f t="shared" si="0"/>
        <v>8660.4567999999999</v>
      </c>
      <c r="R23" s="268">
        <f t="shared" si="0"/>
        <v>8023.0079999999998</v>
      </c>
      <c r="S23" s="268">
        <f t="shared" si="0"/>
        <v>3905.6174999999998</v>
      </c>
      <c r="T23" s="268">
        <f>T8*T20</f>
        <v>25732.834999999999</v>
      </c>
      <c r="U23" s="268" t="e">
        <f>U8*U20</f>
        <v>#VALUE!</v>
      </c>
      <c r="V23" s="268">
        <f>V8*V20</f>
        <v>24717.468984344996</v>
      </c>
      <c r="W23" s="268">
        <f>W8*W20</f>
        <v>24655.670034801446</v>
      </c>
      <c r="X23" s="268">
        <f t="shared" ref="X23:AF23" si="1">X8*X20</f>
        <v>24576.420825333935</v>
      </c>
      <c r="Y23" s="268">
        <f t="shared" si="1"/>
        <v>24485.810112234598</v>
      </c>
      <c r="Z23" s="268">
        <f t="shared" si="1"/>
        <v>24388.279219317792</v>
      </c>
      <c r="AA23" s="268">
        <f t="shared" si="1"/>
        <v>24283.670147211382</v>
      </c>
      <c r="AB23" s="268">
        <f t="shared" si="1"/>
        <v>24171.035863093344</v>
      </c>
      <c r="AC23" s="268">
        <f t="shared" si="1"/>
        <v>24049.016994316815</v>
      </c>
      <c r="AD23" s="268">
        <f t="shared" si="1"/>
        <v>23916.660727594935</v>
      </c>
      <c r="AE23" s="268">
        <f t="shared" si="1"/>
        <v>23773.65877146988</v>
      </c>
      <c r="AF23" s="268">
        <f t="shared" si="1"/>
        <v>23620.420575534074</v>
      </c>
      <c r="AG23" s="268">
        <f>AG8*AG20</f>
        <v>23456.759238091214</v>
      </c>
    </row>
    <row r="24" spans="2:33" s="17" customFormat="1">
      <c r="B24" s="64"/>
      <c r="E24" s="17" t="s">
        <v>206</v>
      </c>
      <c r="F24" s="268" t="e">
        <f t="shared" ref="F24:S24" si="2">F8*F21</f>
        <v>#REF!</v>
      </c>
      <c r="G24" s="268" t="e">
        <f t="shared" si="2"/>
        <v>#REF!</v>
      </c>
      <c r="H24" s="268" t="e">
        <f t="shared" si="2"/>
        <v>#REF!</v>
      </c>
      <c r="I24" s="268" t="e">
        <f t="shared" si="2"/>
        <v>#REF!</v>
      </c>
      <c r="J24" s="268" t="e">
        <f t="shared" si="2"/>
        <v>#REF!</v>
      </c>
      <c r="K24" s="268" t="e">
        <f t="shared" si="2"/>
        <v>#REF!</v>
      </c>
      <c r="L24" s="268" t="e">
        <f t="shared" si="2"/>
        <v>#REF!</v>
      </c>
      <c r="M24" s="268" t="e">
        <f t="shared" si="2"/>
        <v>#REF!</v>
      </c>
      <c r="N24" s="268" t="e">
        <f t="shared" si="2"/>
        <v>#REF!</v>
      </c>
      <c r="O24" s="268">
        <f t="shared" si="2"/>
        <v>149258.4768</v>
      </c>
      <c r="P24" s="268">
        <f t="shared" si="2"/>
        <v>19787.952600000001</v>
      </c>
      <c r="Q24" s="268">
        <f t="shared" si="2"/>
        <v>50818.605799999998</v>
      </c>
      <c r="R24" s="268">
        <f t="shared" si="2"/>
        <v>46143.707399999999</v>
      </c>
      <c r="S24" s="268">
        <f t="shared" si="2"/>
        <v>19276.426800000001</v>
      </c>
      <c r="T24" s="268">
        <f>T8*T21</f>
        <v>0</v>
      </c>
      <c r="U24" s="268" t="e">
        <f>U8*U21</f>
        <v>#VALUE!</v>
      </c>
      <c r="V24" s="268">
        <f>V8*V21</f>
        <v>0</v>
      </c>
      <c r="W24" s="268">
        <f>W8*W21</f>
        <v>0</v>
      </c>
      <c r="X24" s="268">
        <f t="shared" ref="X24:AF24" si="3">X8*X21</f>
        <v>0</v>
      </c>
      <c r="Y24" s="268">
        <f t="shared" si="3"/>
        <v>0</v>
      </c>
      <c r="Z24" s="268">
        <f t="shared" si="3"/>
        <v>0</v>
      </c>
      <c r="AA24" s="268">
        <f t="shared" si="3"/>
        <v>0</v>
      </c>
      <c r="AB24" s="268">
        <f t="shared" si="3"/>
        <v>0</v>
      </c>
      <c r="AC24" s="268">
        <f t="shared" si="3"/>
        <v>0</v>
      </c>
      <c r="AD24" s="268">
        <f t="shared" si="3"/>
        <v>0</v>
      </c>
      <c r="AE24" s="268">
        <f t="shared" si="3"/>
        <v>0</v>
      </c>
      <c r="AF24" s="268">
        <f t="shared" si="3"/>
        <v>0</v>
      </c>
      <c r="AG24" s="268">
        <f>AG8*AG21</f>
        <v>0</v>
      </c>
    </row>
    <row r="25" spans="2:33" s="17" customFormat="1">
      <c r="B25" s="64"/>
      <c r="F25" s="86"/>
      <c r="G25" s="86"/>
      <c r="H25" s="86"/>
      <c r="I25" s="86"/>
      <c r="J25" s="86"/>
      <c r="K25" s="86"/>
      <c r="L25" s="86"/>
      <c r="M25" s="86"/>
      <c r="N25" s="86"/>
      <c r="O25" s="86"/>
      <c r="P25" s="86"/>
      <c r="Q25" s="86"/>
      <c r="R25" s="86"/>
      <c r="S25" s="86"/>
      <c r="T25" s="86"/>
      <c r="U25" s="86"/>
      <c r="V25" s="86"/>
      <c r="W25" s="86"/>
      <c r="X25" s="86"/>
      <c r="Y25" s="86"/>
      <c r="Z25" s="86"/>
      <c r="AA25" s="86"/>
      <c r="AB25" s="86"/>
      <c r="AC25" s="86"/>
      <c r="AD25" s="86"/>
      <c r="AE25" s="86"/>
      <c r="AF25" s="86"/>
      <c r="AG25" s="86"/>
    </row>
    <row r="26" spans="2:33" s="64" customFormat="1">
      <c r="E26" s="64" t="s">
        <v>208</v>
      </c>
      <c r="F26" s="366" t="e">
        <f t="shared" ref="F26:S26" si="4">(1-F8)*F20</f>
        <v>#REF!</v>
      </c>
      <c r="G26" s="366" t="e">
        <f t="shared" si="4"/>
        <v>#REF!</v>
      </c>
      <c r="H26" s="366" t="e">
        <f t="shared" si="4"/>
        <v>#REF!</v>
      </c>
      <c r="I26" s="366" t="e">
        <f t="shared" si="4"/>
        <v>#REF!</v>
      </c>
      <c r="J26" s="366" t="e">
        <f t="shared" si="4"/>
        <v>#REF!</v>
      </c>
      <c r="K26" s="366" t="e">
        <f t="shared" si="4"/>
        <v>#REF!</v>
      </c>
      <c r="L26" s="366" t="e">
        <f t="shared" si="4"/>
        <v>#REF!</v>
      </c>
      <c r="M26" s="366" t="e">
        <f t="shared" si="4"/>
        <v>#REF!</v>
      </c>
      <c r="N26" s="366" t="e">
        <f t="shared" si="4"/>
        <v>#REF!</v>
      </c>
      <c r="O26" s="366">
        <f t="shared" si="4"/>
        <v>2788090.2864000001</v>
      </c>
      <c r="P26" s="366">
        <f t="shared" si="4"/>
        <v>3980076.7041999996</v>
      </c>
      <c r="Q26" s="366">
        <f t="shared" si="4"/>
        <v>3756755.5432000002</v>
      </c>
      <c r="R26" s="366">
        <f t="shared" si="4"/>
        <v>3812456.9920000001</v>
      </c>
      <c r="S26" s="366">
        <f t="shared" si="4"/>
        <v>4335669.3825000003</v>
      </c>
      <c r="T26" s="366">
        <f>(1-T8)*T20</f>
        <v>25707102.164999999</v>
      </c>
      <c r="U26" s="366" t="e">
        <f>(1-U8)*U20</f>
        <v>#VALUE!</v>
      </c>
      <c r="V26" s="366">
        <f>(1-V8)*V20</f>
        <v>25631491.531015653</v>
      </c>
      <c r="W26" s="366">
        <f>(1-W8)*W20</f>
        <v>25567407.329965197</v>
      </c>
      <c r="X26" s="366">
        <f t="shared" ref="X26:AF26" si="5">(1-X8)*X20</f>
        <v>25485227.579174664</v>
      </c>
      <c r="Y26" s="366">
        <f t="shared" si="5"/>
        <v>25391266.189887766</v>
      </c>
      <c r="Z26" s="366">
        <f t="shared" si="5"/>
        <v>25290128.720780682</v>
      </c>
      <c r="AA26" s="366">
        <f t="shared" si="5"/>
        <v>25181651.329852786</v>
      </c>
      <c r="AB26" s="366">
        <f t="shared" si="5"/>
        <v>25064851.964136906</v>
      </c>
      <c r="AC26" s="366">
        <f t="shared" si="5"/>
        <v>24938320.98300568</v>
      </c>
      <c r="AD26" s="366">
        <f t="shared" si="5"/>
        <v>24801070.339272402</v>
      </c>
      <c r="AE26" s="366">
        <f t="shared" si="5"/>
        <v>24652780.34122853</v>
      </c>
      <c r="AF26" s="366">
        <f t="shared" si="5"/>
        <v>24493875.579424463</v>
      </c>
      <c r="AG26" s="366">
        <f>(1-AG8)*AG20</f>
        <v>24324162.240761906</v>
      </c>
    </row>
    <row r="27" spans="2:33" s="64" customFormat="1">
      <c r="E27" s="64" t="s">
        <v>209</v>
      </c>
      <c r="F27" s="366" t="e">
        <f t="shared" ref="F27:S27" si="6">(1-F8)*F21</f>
        <v>#REF!</v>
      </c>
      <c r="G27" s="366" t="e">
        <f t="shared" si="6"/>
        <v>#REF!</v>
      </c>
      <c r="H27" s="366" t="e">
        <f t="shared" si="6"/>
        <v>#REF!</v>
      </c>
      <c r="I27" s="366" t="e">
        <f t="shared" si="6"/>
        <v>#REF!</v>
      </c>
      <c r="J27" s="366" t="e">
        <f t="shared" si="6"/>
        <v>#REF!</v>
      </c>
      <c r="K27" s="366" t="e">
        <f t="shared" si="6"/>
        <v>#REF!</v>
      </c>
      <c r="L27" s="366" t="e">
        <f t="shared" si="6"/>
        <v>#REF!</v>
      </c>
      <c r="M27" s="366" t="e">
        <f t="shared" si="6"/>
        <v>#REF!</v>
      </c>
      <c r="N27" s="366" t="e">
        <f t="shared" si="6"/>
        <v>#REF!</v>
      </c>
      <c r="O27" s="366">
        <f t="shared" si="6"/>
        <v>23172378.523200002</v>
      </c>
      <c r="P27" s="366">
        <f t="shared" si="6"/>
        <v>21966826.047400001</v>
      </c>
      <c r="Q27" s="366">
        <f t="shared" si="6"/>
        <v>22044227.394200001</v>
      </c>
      <c r="R27" s="366">
        <f t="shared" si="6"/>
        <v>21927050.292599998</v>
      </c>
      <c r="S27" s="366">
        <f t="shared" si="6"/>
        <v>21398975.573199999</v>
      </c>
      <c r="T27" s="366">
        <f>(1-T8)*T21</f>
        <v>0</v>
      </c>
      <c r="U27" s="366" t="e">
        <f>(1-U8)*U21</f>
        <v>#VALUE!</v>
      </c>
      <c r="V27" s="366">
        <f>(1-V8)*V21</f>
        <v>0</v>
      </c>
      <c r="W27" s="366">
        <f>(1-W8)*W21</f>
        <v>0</v>
      </c>
      <c r="X27" s="366">
        <f t="shared" ref="X27:AF27" si="7">(1-X8)*X21</f>
        <v>0</v>
      </c>
      <c r="Y27" s="366">
        <f t="shared" si="7"/>
        <v>0</v>
      </c>
      <c r="Z27" s="366">
        <f t="shared" si="7"/>
        <v>0</v>
      </c>
      <c r="AA27" s="366">
        <f t="shared" si="7"/>
        <v>0</v>
      </c>
      <c r="AB27" s="366">
        <f t="shared" si="7"/>
        <v>0</v>
      </c>
      <c r="AC27" s="366">
        <f t="shared" si="7"/>
        <v>0</v>
      </c>
      <c r="AD27" s="366">
        <f t="shared" si="7"/>
        <v>0</v>
      </c>
      <c r="AE27" s="366">
        <f t="shared" si="7"/>
        <v>0</v>
      </c>
      <c r="AF27" s="366">
        <f t="shared" si="7"/>
        <v>0</v>
      </c>
      <c r="AG27" s="366">
        <f>(1-AG8)*AG21</f>
        <v>0</v>
      </c>
    </row>
    <row r="28" spans="2:33" s="17" customFormat="1">
      <c r="B28" s="64"/>
      <c r="F28" s="86"/>
      <c r="G28" s="86"/>
      <c r="H28" s="86"/>
      <c r="I28" s="86"/>
      <c r="J28" s="86"/>
      <c r="K28" s="86"/>
      <c r="L28" s="86"/>
      <c r="M28" s="86"/>
      <c r="N28" s="86"/>
      <c r="O28" s="86"/>
      <c r="P28" s="86"/>
      <c r="Q28" s="86"/>
      <c r="R28" s="86"/>
      <c r="S28" s="86"/>
      <c r="T28" s="86"/>
      <c r="U28" s="86"/>
      <c r="V28" s="86"/>
      <c r="W28" s="86"/>
      <c r="X28" s="86"/>
      <c r="Y28" s="86"/>
      <c r="Z28" s="86"/>
      <c r="AA28" s="86"/>
      <c r="AB28" s="86"/>
      <c r="AC28" s="86"/>
      <c r="AD28" s="86"/>
      <c r="AE28" s="86"/>
      <c r="AF28" s="86"/>
      <c r="AG28" s="86"/>
    </row>
    <row r="29" spans="2:33" s="17" customFormat="1">
      <c r="B29" s="64"/>
      <c r="E29" s="108"/>
      <c r="F29" s="367"/>
      <c r="G29" s="367"/>
      <c r="H29" s="367"/>
      <c r="I29" s="367"/>
      <c r="J29" s="367"/>
      <c r="K29" s="367"/>
      <c r="L29" s="367"/>
      <c r="M29" s="367"/>
      <c r="N29" s="367"/>
      <c r="O29" s="367"/>
      <c r="P29" s="367"/>
      <c r="Q29" s="367"/>
      <c r="R29" s="367"/>
      <c r="S29" s="367"/>
      <c r="T29" s="367"/>
      <c r="U29" s="367"/>
      <c r="V29" s="367"/>
      <c r="W29" s="367"/>
      <c r="X29" s="367"/>
      <c r="Y29" s="367"/>
      <c r="Z29" s="367"/>
      <c r="AA29" s="367"/>
      <c r="AB29" s="367"/>
      <c r="AC29" s="367"/>
      <c r="AD29" s="367"/>
      <c r="AE29" s="367"/>
      <c r="AF29" s="367"/>
      <c r="AG29" s="367"/>
    </row>
    <row r="30" spans="2:33" s="17" customFormat="1">
      <c r="B30" s="92"/>
      <c r="F30" s="86"/>
      <c r="G30" s="86"/>
      <c r="H30" s="86"/>
      <c r="I30" s="86"/>
      <c r="J30" s="86"/>
      <c r="K30" s="86"/>
      <c r="L30" s="86"/>
      <c r="M30" s="86"/>
      <c r="N30" s="86"/>
      <c r="O30" s="86"/>
      <c r="P30" s="86"/>
      <c r="Q30" s="86"/>
      <c r="R30" s="86"/>
      <c r="S30" s="86"/>
      <c r="T30" s="86"/>
      <c r="U30" s="86"/>
      <c r="V30" s="86"/>
      <c r="W30" s="86"/>
      <c r="X30" s="86"/>
      <c r="Y30" s="86"/>
      <c r="Z30" s="86"/>
      <c r="AA30" s="86"/>
      <c r="AB30" s="86"/>
      <c r="AC30" s="86"/>
      <c r="AD30" s="86"/>
      <c r="AE30" s="86"/>
      <c r="AF30" s="86"/>
      <c r="AG30" s="86"/>
    </row>
    <row r="31" spans="2:33" s="17" customFormat="1">
      <c r="B31" s="64"/>
      <c r="E31" s="176" t="s">
        <v>30</v>
      </c>
      <c r="F31" s="176"/>
      <c r="G31" s="176"/>
      <c r="H31" s="176"/>
      <c r="I31" s="176"/>
      <c r="J31" s="176"/>
      <c r="K31" s="176"/>
      <c r="L31" s="176"/>
      <c r="M31" s="176"/>
      <c r="N31" s="176"/>
      <c r="O31" s="176"/>
      <c r="P31" s="176"/>
      <c r="Q31" s="176"/>
      <c r="R31" s="176"/>
      <c r="S31" s="176"/>
      <c r="T31" s="176"/>
      <c r="U31" s="176"/>
      <c r="V31" s="176"/>
      <c r="W31" s="176"/>
      <c r="X31" s="176"/>
      <c r="Y31" s="176"/>
      <c r="Z31" s="176"/>
      <c r="AA31" s="176"/>
      <c r="AB31" s="176"/>
      <c r="AC31" s="176"/>
      <c r="AD31" s="176"/>
      <c r="AE31" s="176"/>
      <c r="AF31" s="176"/>
      <c r="AG31" s="176"/>
    </row>
    <row r="32" spans="2:33" s="17" customFormat="1">
      <c r="B32" s="64"/>
      <c r="F32" s="86"/>
      <c r="G32" s="86"/>
      <c r="H32" s="86"/>
      <c r="I32" s="86"/>
      <c r="J32" s="86"/>
      <c r="K32" s="86"/>
      <c r="L32" s="86"/>
      <c r="M32" s="86"/>
      <c r="N32" s="86"/>
      <c r="O32" s="86"/>
      <c r="P32" s="86"/>
      <c r="Q32" s="86"/>
      <c r="R32" s="86"/>
      <c r="S32" s="86"/>
      <c r="T32" s="86"/>
      <c r="U32" s="86"/>
      <c r="V32" s="86"/>
      <c r="W32" s="86"/>
      <c r="X32" s="86"/>
      <c r="Y32" s="86"/>
      <c r="Z32" s="86"/>
      <c r="AA32" s="86"/>
      <c r="AB32" s="86"/>
      <c r="AC32" s="86"/>
      <c r="AD32" s="86"/>
      <c r="AE32" s="86"/>
      <c r="AF32" s="86"/>
      <c r="AG32" s="86"/>
    </row>
    <row r="33" spans="5:33" s="17" customFormat="1">
      <c r="E33" s="17" t="s">
        <v>210</v>
      </c>
      <c r="F33" s="268" t="e">
        <f>'Data (Calculations)'!#REF!*F23</f>
        <v>#REF!</v>
      </c>
      <c r="G33" s="268" t="e">
        <f>'Data (Calculations)'!#REF!*G23</f>
        <v>#REF!</v>
      </c>
      <c r="H33" s="268" t="e">
        <f>'Data (Calculations)'!#REF!*H23</f>
        <v>#REF!</v>
      </c>
      <c r="I33" s="268" t="e">
        <f>'Data (Calculations)'!#REF!*I23</f>
        <v>#REF!</v>
      </c>
      <c r="J33" s="268" t="e">
        <f>'Data (Calculations)'!#REF!*J23</f>
        <v>#REF!</v>
      </c>
      <c r="K33" s="268" t="e">
        <f>'Data (Calculations)'!#REF!*K23</f>
        <v>#REF!</v>
      </c>
      <c r="L33" s="268" t="e">
        <f>'Data (Calculations)'!#REF!*L23</f>
        <v>#REF!</v>
      </c>
      <c r="M33" s="268" t="e">
        <f>'Data (Calculations)'!#REF!*M23</f>
        <v>#REF!</v>
      </c>
      <c r="N33" s="268" t="e">
        <f>'Data (Calculations)'!#REF!*N23</f>
        <v>#REF!</v>
      </c>
      <c r="O33" s="268">
        <f>'Data (Calculations)'!H35*O23</f>
        <v>12427.429811199998</v>
      </c>
      <c r="P33" s="268">
        <f>'Data (Calculations)'!I35*P23</f>
        <v>2280.2481287999994</v>
      </c>
      <c r="Q33" s="268">
        <f>'Data (Calculations)'!J35*Q23</f>
        <v>5637.9573768</v>
      </c>
      <c r="R33" s="268">
        <f>'Data (Calculations)'!K35*R23</f>
        <v>5239.0242239999998</v>
      </c>
      <c r="S33" s="268">
        <f>'Data (Calculations)'!L35*S23</f>
        <v>3206.5119674999996</v>
      </c>
      <c r="T33" s="268">
        <f>'Data (Calculations)'!M35*T23</f>
        <v>5102.6119043142844</v>
      </c>
      <c r="U33" s="268" t="e">
        <f>'Data (Calculations)'!N35*U23</f>
        <v>#VALUE!</v>
      </c>
      <c r="V33" s="268">
        <f>'Data (Calculations)'!O35*V23</f>
        <v>8366.8632512007825</v>
      </c>
      <c r="W33" s="268">
        <f>'Data (Calculations)'!$O35*W23</f>
        <v>8345.9443067802895</v>
      </c>
      <c r="X33" s="268">
        <f>'Data (Calculations)'!$O35*X23</f>
        <v>8319.1184493755372</v>
      </c>
      <c r="Y33" s="268">
        <f>'Data (Calculations)'!$O35*Y23</f>
        <v>8288.4467229914117</v>
      </c>
      <c r="Z33" s="268">
        <f>'Data (Calculations)'!$O35*Z23</f>
        <v>8255.432515739074</v>
      </c>
      <c r="AA33" s="268">
        <f>'Data (Calculations)'!$O35*AA23</f>
        <v>8220.0223448310535</v>
      </c>
      <c r="AB33" s="268">
        <f>'Data (Calculations)'!$O35*AB23</f>
        <v>8181.8956396570975</v>
      </c>
      <c r="AC33" s="268">
        <f>'Data (Calculations)'!$O35*AC23</f>
        <v>8140.5922525762426</v>
      </c>
      <c r="AD33" s="268">
        <f>'Data (Calculations)'!$O35*AD23</f>
        <v>8095.7896562908863</v>
      </c>
      <c r="AE33" s="268">
        <f>'Data (Calculations)'!$O35*AE23</f>
        <v>8047.3834941425548</v>
      </c>
      <c r="AF33" s="268">
        <f>'Data (Calculations)'!$O35*AF23</f>
        <v>7995.5123648182844</v>
      </c>
      <c r="AG33" s="268">
        <f>'Data (Calculations)'!$O35*AG23</f>
        <v>7940.1130020938763</v>
      </c>
    </row>
    <row r="34" spans="5:33" s="17" customFormat="1">
      <c r="E34" s="17" t="s">
        <v>211</v>
      </c>
      <c r="F34" s="268" t="e">
        <f>(1-'Data (Calculations)'!#REF!)*F23</f>
        <v>#REF!</v>
      </c>
      <c r="G34" s="268" t="e">
        <f>(1-'Data (Calculations)'!#REF!)*G23</f>
        <v>#REF!</v>
      </c>
      <c r="H34" s="268" t="e">
        <f>(1-'Data (Calculations)'!#REF!)*H23</f>
        <v>#REF!</v>
      </c>
      <c r="I34" s="268" t="e">
        <f>(1-'Data (Calculations)'!#REF!)*I23</f>
        <v>#REF!</v>
      </c>
      <c r="J34" s="268" t="e">
        <f>(1-'Data (Calculations)'!#REF!)*J23</f>
        <v>#REF!</v>
      </c>
      <c r="K34" s="268" t="e">
        <f>(1-'Data (Calculations)'!#REF!)*K23</f>
        <v>#REF!</v>
      </c>
      <c r="L34" s="268" t="e">
        <f>(1-'Data (Calculations)'!#REF!)*L23</f>
        <v>#REF!</v>
      </c>
      <c r="M34" s="268" t="e">
        <f>(1-'Data (Calculations)'!#REF!)*M23</f>
        <v>#REF!</v>
      </c>
      <c r="N34" s="268" t="e">
        <f>(1-'Data (Calculations)'!#REF!)*N23</f>
        <v>#REF!</v>
      </c>
      <c r="O34" s="268">
        <f>(1-'Data (Calculations)'!H35)*O23</f>
        <v>5531.2837888000004</v>
      </c>
      <c r="P34" s="268">
        <f>(1-'Data (Calculations)'!I35)*P23</f>
        <v>1305.0476711999997</v>
      </c>
      <c r="Q34" s="268">
        <f>(1-'Data (Calculations)'!J35)*Q23</f>
        <v>3022.4994231999999</v>
      </c>
      <c r="R34" s="268">
        <f>(1-'Data (Calculations)'!K35)*R23</f>
        <v>2783.9837759999996</v>
      </c>
      <c r="S34" s="268">
        <f>(1-'Data (Calculations)'!L35)*S23</f>
        <v>699.10553250000021</v>
      </c>
      <c r="T34" s="268">
        <f>(1-'Data (Calculations)'!M35)*T23</f>
        <v>20630.223095685713</v>
      </c>
      <c r="U34" s="268" t="e">
        <f>(1-'Data (Calculations)'!N35)*U23</f>
        <v>#VALUE!</v>
      </c>
      <c r="V34" s="268">
        <f>(1-'Data (Calculations)'!O35)*V23</f>
        <v>16350.605733144213</v>
      </c>
      <c r="W34" s="268">
        <f>(1-'Data (Calculations)'!$O35)*W23</f>
        <v>16309.725728021156</v>
      </c>
      <c r="X34" s="268">
        <f>(1-'Data (Calculations)'!$O35)*X23</f>
        <v>16257.302375958398</v>
      </c>
      <c r="Y34" s="268">
        <f>(1-'Data (Calculations)'!$O35)*Y23</f>
        <v>16197.363389243186</v>
      </c>
      <c r="Z34" s="268">
        <f>(1-'Data (Calculations)'!$O35)*Z23</f>
        <v>16132.846703578718</v>
      </c>
      <c r="AA34" s="268">
        <f>(1-'Data (Calculations)'!$O35)*AA23</f>
        <v>16063.647802380328</v>
      </c>
      <c r="AB34" s="268">
        <f>(1-'Data (Calculations)'!$O35)*AB23</f>
        <v>15989.140223436247</v>
      </c>
      <c r="AC34" s="268">
        <f>(1-'Data (Calculations)'!$O35)*AC23</f>
        <v>15908.424741740573</v>
      </c>
      <c r="AD34" s="268">
        <f>(1-'Data (Calculations)'!$O35)*AD23</f>
        <v>15820.871071304049</v>
      </c>
      <c r="AE34" s="268">
        <f>(1-'Data (Calculations)'!$O35)*AE23</f>
        <v>15726.275277327324</v>
      </c>
      <c r="AF34" s="268">
        <f>(1-'Data (Calculations)'!$O35)*AF23</f>
        <v>15624.908210715788</v>
      </c>
      <c r="AG34" s="268">
        <f>(1-'Data (Calculations)'!$O35)*AG23</f>
        <v>15516.646235997337</v>
      </c>
    </row>
    <row r="35" spans="5:33" s="17" customFormat="1">
      <c r="F35" s="86"/>
      <c r="G35" s="86"/>
      <c r="H35" s="86"/>
      <c r="I35" s="86"/>
      <c r="J35" s="86"/>
      <c r="K35" s="86"/>
      <c r="L35" s="86"/>
      <c r="M35" s="86"/>
      <c r="N35" s="86"/>
      <c r="O35" s="86"/>
      <c r="P35" s="86"/>
      <c r="Q35" s="86"/>
      <c r="R35" s="86"/>
      <c r="S35" s="86"/>
      <c r="T35" s="86"/>
      <c r="U35" s="86"/>
      <c r="V35" s="86"/>
      <c r="W35" s="86"/>
      <c r="X35" s="86"/>
      <c r="Y35" s="86"/>
      <c r="Z35" s="86"/>
      <c r="AA35" s="86"/>
      <c r="AB35" s="86"/>
      <c r="AC35" s="86"/>
      <c r="AD35" s="86"/>
      <c r="AE35" s="86"/>
      <c r="AF35" s="86"/>
      <c r="AG35" s="86"/>
    </row>
    <row r="36" spans="5:33" s="17" customFormat="1">
      <c r="E36" s="17" t="s">
        <v>108</v>
      </c>
      <c r="F36" s="268" t="e">
        <f>'Data (Calculations)'!#REF!*F33</f>
        <v>#REF!</v>
      </c>
      <c r="G36" s="268" t="e">
        <f>'Data (Calculations)'!#REF!*G33</f>
        <v>#REF!</v>
      </c>
      <c r="H36" s="268" t="e">
        <f>'Data (Calculations)'!#REF!*H33</f>
        <v>#REF!</v>
      </c>
      <c r="I36" s="268" t="e">
        <f>'Data (Calculations)'!#REF!*I33</f>
        <v>#REF!</v>
      </c>
      <c r="J36" s="268" t="e">
        <f>'Data (Calculations)'!#REF!*J33</f>
        <v>#REF!</v>
      </c>
      <c r="K36" s="268" t="e">
        <f>'Data (Calculations)'!#REF!*K33</f>
        <v>#REF!</v>
      </c>
      <c r="L36" s="268" t="e">
        <f>'Data (Calculations)'!#REF!*L33</f>
        <v>#REF!</v>
      </c>
      <c r="M36" s="268" t="e">
        <f>'Data (Calculations)'!#REF!*M33</f>
        <v>#REF!</v>
      </c>
      <c r="N36" s="268" t="e">
        <f>'Data (Calculations)'!#REF!*N33</f>
        <v>#REF!</v>
      </c>
      <c r="O36" s="268">
        <f>'Data (Calculations)'!H40*O33</f>
        <v>11507.800005171199</v>
      </c>
      <c r="P36" s="268">
        <f>'Data (Calculations)'!I40*P33</f>
        <v>2111.5097672687998</v>
      </c>
      <c r="Q36" s="268">
        <f>'Data (Calculations)'!J40*Q33</f>
        <v>1178.3330917511998</v>
      </c>
      <c r="R36" s="268">
        <f>'Data (Calculations)'!K40*R33</f>
        <v>1241.648741088</v>
      </c>
      <c r="S36" s="268">
        <f>'Data (Calculations)'!L40*S33</f>
        <v>2395.2644397224999</v>
      </c>
      <c r="T36" s="268">
        <f>'Data (Calculations)'!M40*T33</f>
        <v>2428.8432664535994</v>
      </c>
      <c r="U36" s="268" t="e">
        <f>'Data (Calculations)'!N40*U33</f>
        <v>#VALUE!</v>
      </c>
      <c r="V36" s="268">
        <f>'Data (Calculations)'!O40*V33</f>
        <v>5851.1721315428067</v>
      </c>
      <c r="W36" s="268">
        <f>'Data (Calculations)'!$O40*W33</f>
        <v>5836.5429520116459</v>
      </c>
      <c r="X36" s="268">
        <f>'Data (Calculations)'!$O40*X33</f>
        <v>5817.7829096231326</v>
      </c>
      <c r="Y36" s="268">
        <f>'Data (Calculations)'!$O40*Y33</f>
        <v>5796.333347791302</v>
      </c>
      <c r="Z36" s="268">
        <f>'Data (Calculations)'!$O40*Z33</f>
        <v>5773.2456261900033</v>
      </c>
      <c r="AA36" s="268">
        <f>'Data (Calculations)'!$O40*AA33</f>
        <v>5748.4823428698846</v>
      </c>
      <c r="AB36" s="268">
        <f>'Data (Calculations)'!$O40*AB33</f>
        <v>5721.8193141955026</v>
      </c>
      <c r="AC36" s="268">
        <f>'Data (Calculations)'!$O40*AC33</f>
        <v>5692.9347465660339</v>
      </c>
      <c r="AD36" s="268">
        <f>'Data (Calculations)'!$O40*AD33</f>
        <v>5661.6030879820337</v>
      </c>
      <c r="AE36" s="268">
        <f>'Data (Calculations)'!$O40*AE33</f>
        <v>5627.7513590301342</v>
      </c>
      <c r="AF36" s="268">
        <f>'Data (Calculations)'!$O40*AF33</f>
        <v>5591.4764854937148</v>
      </c>
      <c r="AG36" s="268">
        <f>'Data (Calculations)'!$O40*AG33</f>
        <v>5552.7342236034219</v>
      </c>
    </row>
    <row r="37" spans="5:33" s="17" customFormat="1">
      <c r="E37" s="17" t="s">
        <v>109</v>
      </c>
      <c r="F37" s="268" t="e">
        <f>(1-'Data (Calculations)'!#REF!)*F33</f>
        <v>#REF!</v>
      </c>
      <c r="G37" s="268" t="e">
        <f>(1-'Data (Calculations)'!#REF!)*G33</f>
        <v>#REF!</v>
      </c>
      <c r="H37" s="268" t="e">
        <f>(1-'Data (Calculations)'!#REF!)*H33</f>
        <v>#REF!</v>
      </c>
      <c r="I37" s="268" t="e">
        <f>(1-'Data (Calculations)'!#REF!)*I33</f>
        <v>#REF!</v>
      </c>
      <c r="J37" s="268" t="e">
        <f>(1-'Data (Calculations)'!#REF!)*J33</f>
        <v>#REF!</v>
      </c>
      <c r="K37" s="268" t="e">
        <f>(1-'Data (Calculations)'!#REF!)*K33</f>
        <v>#REF!</v>
      </c>
      <c r="L37" s="268" t="e">
        <f>(1-'Data (Calculations)'!#REF!)*L33</f>
        <v>#REF!</v>
      </c>
      <c r="M37" s="268" t="e">
        <f>(1-'Data (Calculations)'!#REF!)*M33</f>
        <v>#REF!</v>
      </c>
      <c r="N37" s="268" t="e">
        <f>(1-'Data (Calculations)'!#REF!)*N33</f>
        <v>#REF!</v>
      </c>
      <c r="O37" s="268">
        <f>(1-'Data (Calculations)'!H40)*O33</f>
        <v>919.62980602879929</v>
      </c>
      <c r="P37" s="268">
        <f>(1-'Data (Calculations)'!I40)*P33</f>
        <v>168.73836153119984</v>
      </c>
      <c r="Q37" s="268">
        <f>(1-'Data (Calculations)'!J40)*Q33</f>
        <v>4459.6242850488006</v>
      </c>
      <c r="R37" s="268">
        <f>(1-'Data (Calculations)'!K40)*R33</f>
        <v>3997.3754829119998</v>
      </c>
      <c r="S37" s="268">
        <f>(1-'Data (Calculations)'!L40)*S33</f>
        <v>811.24752777749995</v>
      </c>
      <c r="T37" s="268">
        <f>(1-'Data (Calculations)'!M40)*T33</f>
        <v>2673.768637860685</v>
      </c>
      <c r="U37" s="268" t="e">
        <f>(1-'Data (Calculations)'!N40)*U33</f>
        <v>#VALUE!</v>
      </c>
      <c r="V37" s="268">
        <f>(1-'Data (Calculations)'!O40)*V33</f>
        <v>2515.6911196579763</v>
      </c>
      <c r="W37" s="268">
        <f>(1-'Data (Calculations)'!$O40)*W33</f>
        <v>2509.4013547686432</v>
      </c>
      <c r="X37" s="268">
        <f>(1-'Data (Calculations)'!$O40)*X33</f>
        <v>2501.3355397524051</v>
      </c>
      <c r="Y37" s="268">
        <f>(1-'Data (Calculations)'!$O40)*Y33</f>
        <v>2492.1133752001101</v>
      </c>
      <c r="Z37" s="268">
        <f>(1-'Data (Calculations)'!$O40)*Z33</f>
        <v>2482.1868895490707</v>
      </c>
      <c r="AA37" s="268">
        <f>(1-'Data (Calculations)'!$O40)*AA33</f>
        <v>2471.5400019611693</v>
      </c>
      <c r="AB37" s="268">
        <f>(1-'Data (Calculations)'!$O40)*AB33</f>
        <v>2460.0763254615954</v>
      </c>
      <c r="AC37" s="268">
        <f>(1-'Data (Calculations)'!$O40)*AC33</f>
        <v>2447.6575060102086</v>
      </c>
      <c r="AD37" s="268">
        <f>(1-'Data (Calculations)'!$O40)*AD33</f>
        <v>2434.1865683088527</v>
      </c>
      <c r="AE37" s="268">
        <f>(1-'Data (Calculations)'!$O40)*AE33</f>
        <v>2419.6321351124207</v>
      </c>
      <c r="AF37" s="268">
        <f>(1-'Data (Calculations)'!$O40)*AF33</f>
        <v>2404.03587932457</v>
      </c>
      <c r="AG37" s="268">
        <f>(1-'Data (Calculations)'!$O40)*AG33</f>
        <v>2387.3787784904548</v>
      </c>
    </row>
    <row r="38" spans="5:33" s="17" customFormat="1">
      <c r="F38" s="86"/>
      <c r="G38" s="86"/>
      <c r="H38" s="86"/>
      <c r="I38" s="86"/>
      <c r="J38" s="86"/>
      <c r="K38" s="86"/>
      <c r="L38" s="86"/>
      <c r="M38" s="86"/>
      <c r="N38" s="86"/>
      <c r="O38" s="86"/>
      <c r="P38" s="86"/>
      <c r="Q38" s="86"/>
      <c r="R38" s="86"/>
      <c r="S38" s="86"/>
      <c r="T38" s="86"/>
      <c r="U38" s="86"/>
      <c r="V38" s="86"/>
      <c r="W38" s="86"/>
      <c r="X38" s="86"/>
      <c r="Y38" s="86"/>
      <c r="Z38" s="86"/>
      <c r="AA38" s="86"/>
      <c r="AB38" s="86"/>
      <c r="AC38" s="86"/>
      <c r="AD38" s="86"/>
      <c r="AE38" s="86"/>
      <c r="AF38" s="86"/>
      <c r="AG38" s="86"/>
    </row>
    <row r="39" spans="5:33" s="17" customFormat="1">
      <c r="E39" s="17" t="s">
        <v>251</v>
      </c>
      <c r="F39" s="268" t="e">
        <f>'Data (Calculations)'!#REF!*F36</f>
        <v>#REF!</v>
      </c>
      <c r="G39" s="268" t="e">
        <f>'Data (Calculations)'!#REF!*G36</f>
        <v>#REF!</v>
      </c>
      <c r="H39" s="268" t="e">
        <f>'Data (Calculations)'!#REF!*H36</f>
        <v>#REF!</v>
      </c>
      <c r="I39" s="268" t="e">
        <f>'Data (Calculations)'!#REF!*I36</f>
        <v>#REF!</v>
      </c>
      <c r="J39" s="268" t="e">
        <f>'Data (Calculations)'!#REF!*J36</f>
        <v>#REF!</v>
      </c>
      <c r="K39" s="268" t="e">
        <f>'Data (Calculations)'!#REF!*K36</f>
        <v>#REF!</v>
      </c>
      <c r="L39" s="268" t="e">
        <f>'Data (Calculations)'!#REF!*L36</f>
        <v>#REF!</v>
      </c>
      <c r="M39" s="268" t="e">
        <f>'Data (Calculations)'!#REF!*M36</f>
        <v>#REF!</v>
      </c>
      <c r="N39" s="268" t="e">
        <f>'Data (Calculations)'!#REF!*N36</f>
        <v>#REF!</v>
      </c>
      <c r="O39" s="268">
        <f>'Data (Calculations)'!H47*O36</f>
        <v>7894.3508035474433</v>
      </c>
      <c r="P39" s="268">
        <f>'Data (Calculations)'!I47*P36</f>
        <v>1448.4957003463967</v>
      </c>
      <c r="Q39" s="268">
        <f>'Data (Calculations)'!J47*Q36</f>
        <v>808.33650094132315</v>
      </c>
      <c r="R39" s="268">
        <f>'Data (Calculations)'!K47*R36</f>
        <v>851.771036386368</v>
      </c>
      <c r="S39" s="268">
        <f>'Data (Calculations)'!L47*S36</f>
        <v>1643.1514056496351</v>
      </c>
      <c r="T39" s="268">
        <f>'Data (Calculations)'!M47*T36</f>
        <v>1666.1864807871693</v>
      </c>
      <c r="U39" s="268" t="e">
        <f>'Data (Calculations)'!N47*U36</f>
        <v>#VALUE!</v>
      </c>
      <c r="V39" s="268">
        <f>'Data (Calculations)'!O47*V36</f>
        <v>4013.9040822383658</v>
      </c>
      <c r="W39" s="268">
        <f>'Data (Calculations)'!P47*W36</f>
        <v>4003.8684650799892</v>
      </c>
      <c r="X39" s="268">
        <f>'Data (Calculations)'!Q47*X36</f>
        <v>3990.9990760014693</v>
      </c>
      <c r="Y39" s="268">
        <f>'Data (Calculations)'!R47*Y36</f>
        <v>3976.2846765848335</v>
      </c>
      <c r="Z39" s="268">
        <f>'Data (Calculations)'!S47*Z36</f>
        <v>3960.4464995663425</v>
      </c>
      <c r="AA39" s="268">
        <f>'Data (Calculations)'!T47*AA36</f>
        <v>3943.4588872087411</v>
      </c>
      <c r="AB39" s="268">
        <f>'Data (Calculations)'!U47*AB36</f>
        <v>3925.1680495381152</v>
      </c>
      <c r="AC39" s="268">
        <f>'Data (Calculations)'!V47*AC36</f>
        <v>3905.3532361442994</v>
      </c>
      <c r="AD39" s="268">
        <f>'Data (Calculations)'!W47*AD36</f>
        <v>3883.8597183556753</v>
      </c>
      <c r="AE39" s="268">
        <f>'Data (Calculations)'!X47*AE36</f>
        <v>3860.6374322946722</v>
      </c>
      <c r="AF39" s="268">
        <f>'Data (Calculations)'!Y47*AF36</f>
        <v>3835.7528690486888</v>
      </c>
      <c r="AG39" s="268">
        <f>'Data (Calculations)'!Z47*AG36</f>
        <v>3809.1756773919478</v>
      </c>
    </row>
    <row r="40" spans="5:33" s="17" customFormat="1">
      <c r="E40" s="17" t="s">
        <v>244</v>
      </c>
      <c r="F40" s="268" t="e">
        <f>(1-'Data (Calculations)'!#REF!)*F36</f>
        <v>#REF!</v>
      </c>
      <c r="G40" s="268" t="e">
        <f>(1-'Data (Calculations)'!#REF!)*G36</f>
        <v>#REF!</v>
      </c>
      <c r="H40" s="268" t="e">
        <f>(1-'Data (Calculations)'!#REF!)*H36</f>
        <v>#REF!</v>
      </c>
      <c r="I40" s="268" t="e">
        <f>(1-'Data (Calculations)'!#REF!)*I36</f>
        <v>#REF!</v>
      </c>
      <c r="J40" s="268" t="e">
        <f>(1-'Data (Calculations)'!#REF!)*J36</f>
        <v>#REF!</v>
      </c>
      <c r="K40" s="268" t="e">
        <f>(1-'Data (Calculations)'!#REF!)*K36</f>
        <v>#REF!</v>
      </c>
      <c r="L40" s="268" t="e">
        <f>(1-'Data (Calculations)'!#REF!)*L36</f>
        <v>#REF!</v>
      </c>
      <c r="M40" s="268" t="e">
        <f>(1-'Data (Calculations)'!#REF!)*M36</f>
        <v>#REF!</v>
      </c>
      <c r="N40" s="268" t="e">
        <f>(1-'Data (Calculations)'!#REF!)*N36</f>
        <v>#REF!</v>
      </c>
      <c r="O40" s="268">
        <f>(1-'Data (Calculations)'!H47)*O36</f>
        <v>3613.4492016237559</v>
      </c>
      <c r="P40" s="268">
        <f>(1-'Data (Calculations)'!I47)*P36</f>
        <v>663.014066922403</v>
      </c>
      <c r="Q40" s="268">
        <f>(1-'Data (Calculations)'!J47)*Q36</f>
        <v>369.99659080987669</v>
      </c>
      <c r="R40" s="268">
        <f>(1-'Data (Calculations)'!K47)*R36</f>
        <v>389.8777047016319</v>
      </c>
      <c r="S40" s="268">
        <f>(1-'Data (Calculations)'!L47)*S36</f>
        <v>752.11303407286482</v>
      </c>
      <c r="T40" s="268">
        <f>(1-'Data (Calculations)'!M47)*T36</f>
        <v>762.6567856664301</v>
      </c>
      <c r="U40" s="268" t="e">
        <f>(1-'Data (Calculations)'!N47)*U36</f>
        <v>#VALUE!</v>
      </c>
      <c r="V40" s="268">
        <f>(1-'Data (Calculations)'!O47)*V36</f>
        <v>1837.2680493044411</v>
      </c>
      <c r="W40" s="268">
        <f>(1-'Data (Calculations)'!P47)*W36</f>
        <v>1832.6744869316565</v>
      </c>
      <c r="X40" s="268">
        <f>(1-'Data (Calculations)'!Q47)*X36</f>
        <v>1826.7838336216632</v>
      </c>
      <c r="Y40" s="268">
        <f>(1-'Data (Calculations)'!R47)*Y36</f>
        <v>1820.0486712064685</v>
      </c>
      <c r="Z40" s="268">
        <f>(1-'Data (Calculations)'!S47)*Z36</f>
        <v>1812.7991266236606</v>
      </c>
      <c r="AA40" s="268">
        <f>(1-'Data (Calculations)'!T47)*AA36</f>
        <v>1805.0234556611435</v>
      </c>
      <c r="AB40" s="268">
        <f>(1-'Data (Calculations)'!U47)*AB36</f>
        <v>1796.6512646573874</v>
      </c>
      <c r="AC40" s="268">
        <f>(1-'Data (Calculations)'!V47)*AC36</f>
        <v>1787.5815104217343</v>
      </c>
      <c r="AD40" s="268">
        <f>(1-'Data (Calculations)'!W47)*AD36</f>
        <v>1777.7433696263583</v>
      </c>
      <c r="AE40" s="268">
        <f>(1-'Data (Calculations)'!X47)*AE36</f>
        <v>1767.1139267354617</v>
      </c>
      <c r="AF40" s="268">
        <f>(1-'Data (Calculations)'!Y47)*AF36</f>
        <v>1755.7236164450262</v>
      </c>
      <c r="AG40" s="268">
        <f>(1-'Data (Calculations)'!Z47)*AG36</f>
        <v>1743.5585462114741</v>
      </c>
    </row>
    <row r="41" spans="5:33" s="17" customFormat="1">
      <c r="F41" s="86"/>
      <c r="G41" s="86"/>
      <c r="H41" s="86"/>
      <c r="I41" s="86"/>
      <c r="J41" s="86"/>
      <c r="K41" s="86"/>
      <c r="L41" s="86"/>
      <c r="M41" s="86"/>
      <c r="N41" s="86"/>
      <c r="O41" s="86"/>
      <c r="P41" s="86"/>
      <c r="Q41" s="86"/>
      <c r="R41" s="86"/>
      <c r="S41" s="86"/>
      <c r="T41" s="86"/>
      <c r="U41" s="86"/>
      <c r="V41" s="86"/>
      <c r="W41" s="86"/>
      <c r="X41" s="86"/>
      <c r="Y41" s="86"/>
      <c r="Z41" s="86"/>
      <c r="AA41" s="86"/>
      <c r="AB41" s="86"/>
      <c r="AC41" s="86"/>
      <c r="AD41" s="86"/>
      <c r="AE41" s="86"/>
      <c r="AF41" s="86"/>
      <c r="AG41" s="86"/>
    </row>
    <row r="42" spans="5:33" s="17" customFormat="1">
      <c r="E42" s="17" t="s">
        <v>252</v>
      </c>
      <c r="F42" s="268" t="e">
        <f>'Data (Calculations)'!#REF!*F37</f>
        <v>#REF!</v>
      </c>
      <c r="G42" s="268" t="e">
        <f>'Data (Calculations)'!#REF!*G37</f>
        <v>#REF!</v>
      </c>
      <c r="H42" s="268" t="e">
        <f>'Data (Calculations)'!#REF!*H37</f>
        <v>#REF!</v>
      </c>
      <c r="I42" s="268" t="e">
        <f>'Data (Calculations)'!#REF!*I37</f>
        <v>#REF!</v>
      </c>
      <c r="J42" s="268" t="e">
        <f>'Data (Calculations)'!#REF!*J37</f>
        <v>#REF!</v>
      </c>
      <c r="K42" s="268" t="e">
        <f>'Data (Calculations)'!#REF!*K37</f>
        <v>#REF!</v>
      </c>
      <c r="L42" s="268" t="e">
        <f>'Data (Calculations)'!#REF!*L37</f>
        <v>#REF!</v>
      </c>
      <c r="M42" s="268" t="e">
        <f>'Data (Calculations)'!#REF!*M37</f>
        <v>#REF!</v>
      </c>
      <c r="N42" s="268" t="e">
        <f>'Data (Calculations)'!#REF!*N37</f>
        <v>#REF!</v>
      </c>
      <c r="O42" s="268">
        <f>'Data (Calculations)'!H47*O37</f>
        <v>630.86604693575634</v>
      </c>
      <c r="P42" s="268">
        <f>'Data (Calculations)'!I47*P37</f>
        <v>115.75451601040309</v>
      </c>
      <c r="Q42" s="268">
        <f>'Data (Calculations)'!J47*Q37</f>
        <v>3059.3022595434772</v>
      </c>
      <c r="R42" s="268">
        <f>'Data (Calculations)'!K47*R37</f>
        <v>2742.1995812776322</v>
      </c>
      <c r="S42" s="268">
        <f>'Data (Calculations)'!L47*S37</f>
        <v>556.51580405536504</v>
      </c>
      <c r="T42" s="268">
        <f>'Data (Calculations)'!M47*T37</f>
        <v>1834.2052855724301</v>
      </c>
      <c r="U42" s="268" t="e">
        <f>'Data (Calculations)'!N47*U37</f>
        <v>#VALUE!</v>
      </c>
      <c r="V42" s="268">
        <f>'Data (Calculations)'!O47*V37</f>
        <v>1725.7641080853718</v>
      </c>
      <c r="W42" s="268">
        <f>'Data (Calculations)'!P47*W37</f>
        <v>1721.4493293712894</v>
      </c>
      <c r="X42" s="268">
        <f>'Data (Calculations)'!Q47*X37</f>
        <v>1715.9161802701501</v>
      </c>
      <c r="Y42" s="268">
        <f>'Data (Calculations)'!R47*Y37</f>
        <v>1709.5897753872757</v>
      </c>
      <c r="Z42" s="268">
        <f>'Data (Calculations)'!S47*Z37</f>
        <v>1702.7802062306625</v>
      </c>
      <c r="AA42" s="268">
        <f>'Data (Calculations)'!T47*AA37</f>
        <v>1695.4764413453622</v>
      </c>
      <c r="AB42" s="268">
        <f>'Data (Calculations)'!U47*AB37</f>
        <v>1687.6123592666545</v>
      </c>
      <c r="AC42" s="268">
        <f>'Data (Calculations)'!V47*AC37</f>
        <v>1679.0930491230033</v>
      </c>
      <c r="AD42" s="268">
        <f>'Data (Calculations)'!W47*AD37</f>
        <v>1669.8519858598731</v>
      </c>
      <c r="AE42" s="268">
        <f>'Data (Calculations)'!X47*AE37</f>
        <v>1659.8676446871207</v>
      </c>
      <c r="AF42" s="268">
        <f>'Data (Calculations)'!Y47*AF37</f>
        <v>1649.1686132166551</v>
      </c>
      <c r="AG42" s="268">
        <f>'Data (Calculations)'!Z47*AG37</f>
        <v>1637.7418420444521</v>
      </c>
    </row>
    <row r="43" spans="5:33" s="17" customFormat="1">
      <c r="E43" s="17" t="s">
        <v>245</v>
      </c>
      <c r="F43" s="268" t="e">
        <f>(1-'Data (Calculations)'!#REF!)*F37</f>
        <v>#REF!</v>
      </c>
      <c r="G43" s="268" t="e">
        <f>(1-'Data (Calculations)'!#REF!)*G37</f>
        <v>#REF!</v>
      </c>
      <c r="H43" s="268" t="e">
        <f>(1-'Data (Calculations)'!#REF!)*H37</f>
        <v>#REF!</v>
      </c>
      <c r="I43" s="268" t="e">
        <f>(1-'Data (Calculations)'!#REF!)*I37</f>
        <v>#REF!</v>
      </c>
      <c r="J43" s="268" t="e">
        <f>(1-'Data (Calculations)'!#REF!)*J37</f>
        <v>#REF!</v>
      </c>
      <c r="K43" s="268" t="e">
        <f>(1-'Data (Calculations)'!#REF!)*K37</f>
        <v>#REF!</v>
      </c>
      <c r="L43" s="268" t="e">
        <f>(1-'Data (Calculations)'!#REF!)*L37</f>
        <v>#REF!</v>
      </c>
      <c r="M43" s="268" t="e">
        <f>(1-'Data (Calculations)'!#REF!)*M37</f>
        <v>#REF!</v>
      </c>
      <c r="N43" s="268" t="e">
        <f>(1-'Data (Calculations)'!#REF!)*N37</f>
        <v>#REF!</v>
      </c>
      <c r="O43" s="268">
        <f>(1-'Data (Calculations)'!H47)*O37</f>
        <v>288.76375909304295</v>
      </c>
      <c r="P43" s="268">
        <f>(1-'Data (Calculations)'!I47)*P37</f>
        <v>52.983845520796741</v>
      </c>
      <c r="Q43" s="268">
        <f>(1-'Data (Calculations)'!J47)*Q37</f>
        <v>1400.3220255053232</v>
      </c>
      <c r="R43" s="268">
        <f>(1-'Data (Calculations)'!K47)*R37</f>
        <v>1255.1759016343676</v>
      </c>
      <c r="S43" s="268">
        <f>(1-'Data (Calculations)'!L47)*S37</f>
        <v>254.73172372213494</v>
      </c>
      <c r="T43" s="268">
        <f>(1-'Data (Calculations)'!M47)*T37</f>
        <v>839.56335228825492</v>
      </c>
      <c r="U43" s="268" t="e">
        <f>(1-'Data (Calculations)'!N47)*U37</f>
        <v>#VALUE!</v>
      </c>
      <c r="V43" s="268">
        <f>(1-'Data (Calculations)'!O47)*V37</f>
        <v>789.92701157260444</v>
      </c>
      <c r="W43" s="268">
        <f>(1-'Data (Calculations)'!P47)*W37</f>
        <v>787.95202539735385</v>
      </c>
      <c r="X43" s="268">
        <f>(1-'Data (Calculations)'!Q47)*X37</f>
        <v>785.41935948225512</v>
      </c>
      <c r="Y43" s="268">
        <f>(1-'Data (Calculations)'!R47)*Y37</f>
        <v>782.52359981283439</v>
      </c>
      <c r="Z43" s="268">
        <f>(1-'Data (Calculations)'!S47)*Z37</f>
        <v>779.406683318408</v>
      </c>
      <c r="AA43" s="268">
        <f>(1-'Data (Calculations)'!T47)*AA37</f>
        <v>776.06356061580698</v>
      </c>
      <c r="AB43" s="268">
        <f>(1-'Data (Calculations)'!U47)*AB37</f>
        <v>772.46396619494078</v>
      </c>
      <c r="AC43" s="268">
        <f>(1-'Data (Calculations)'!V47)*AC37</f>
        <v>768.56445688720532</v>
      </c>
      <c r="AD43" s="268">
        <f>(1-'Data (Calculations)'!W47)*AD37</f>
        <v>764.33458244897963</v>
      </c>
      <c r="AE43" s="268">
        <f>(1-'Data (Calculations)'!X47)*AE37</f>
        <v>759.76449042529998</v>
      </c>
      <c r="AF43" s="268">
        <f>(1-'Data (Calculations)'!Y47)*AF37</f>
        <v>754.86726610791482</v>
      </c>
      <c r="AG43" s="268">
        <f>(1-'Data (Calculations)'!Z47)*AG37</f>
        <v>749.63693644600266</v>
      </c>
    </row>
    <row r="44" spans="5:33" s="17" customFormat="1">
      <c r="F44" s="86"/>
      <c r="G44" s="86"/>
      <c r="H44" s="86"/>
      <c r="I44" s="86"/>
      <c r="J44" s="86"/>
      <c r="K44" s="86"/>
      <c r="L44" s="86"/>
      <c r="M44" s="86"/>
      <c r="N44" s="86"/>
      <c r="O44" s="86"/>
      <c r="P44" s="86"/>
      <c r="Q44" s="86"/>
      <c r="R44" s="86"/>
      <c r="S44" s="86"/>
      <c r="T44" s="86"/>
      <c r="U44" s="86"/>
      <c r="V44" s="86"/>
      <c r="W44" s="86"/>
      <c r="X44" s="86"/>
      <c r="Y44" s="86"/>
      <c r="Z44" s="86"/>
      <c r="AA44" s="86"/>
      <c r="AB44" s="86"/>
      <c r="AC44" s="86"/>
      <c r="AD44" s="86"/>
      <c r="AE44" s="86"/>
      <c r="AF44" s="86"/>
      <c r="AG44" s="86"/>
    </row>
    <row r="45" spans="5:33" s="17" customFormat="1">
      <c r="E45" s="17" t="s">
        <v>253</v>
      </c>
      <c r="F45" s="268" t="e">
        <f>'Data (Calculations)'!#REF!*F34</f>
        <v>#REF!</v>
      </c>
      <c r="G45" s="268" t="e">
        <f>'Data (Calculations)'!#REF!*G34</f>
        <v>#REF!</v>
      </c>
      <c r="H45" s="268" t="e">
        <f>'Data (Calculations)'!#REF!*H34</f>
        <v>#REF!</v>
      </c>
      <c r="I45" s="268" t="e">
        <f>'Data (Calculations)'!#REF!*I34</f>
        <v>#REF!</v>
      </c>
      <c r="J45" s="268" t="e">
        <f>'Data (Calculations)'!#REF!*J34</f>
        <v>#REF!</v>
      </c>
      <c r="K45" s="268" t="e">
        <f>'Data (Calculations)'!#REF!*K34</f>
        <v>#REF!</v>
      </c>
      <c r="L45" s="268" t="e">
        <f>'Data (Calculations)'!#REF!*L34</f>
        <v>#REF!</v>
      </c>
      <c r="M45" s="268" t="e">
        <f>'Data (Calculations)'!#REF!*M34</f>
        <v>#REF!</v>
      </c>
      <c r="N45" s="268" t="e">
        <f>'Data (Calculations)'!#REF!*N34</f>
        <v>#REF!</v>
      </c>
      <c r="O45" s="268">
        <f>'Data (Calculations)'!H47*O34</f>
        <v>3794.4606791168007</v>
      </c>
      <c r="P45" s="268">
        <f>'Data (Calculations)'!I47*P34</f>
        <v>895.26270244319994</v>
      </c>
      <c r="Q45" s="268">
        <f>'Data (Calculations)'!J47*Q34</f>
        <v>2073.4346043152</v>
      </c>
      <c r="R45" s="268">
        <f>'Data (Calculations)'!K47*R34</f>
        <v>1909.8128703359998</v>
      </c>
      <c r="S45" s="268">
        <f>'Data (Calculations)'!L47*S34</f>
        <v>479.58639529500016</v>
      </c>
      <c r="T45" s="268">
        <f>'Data (Calculations)'!M47*T34</f>
        <v>14152.333043640399</v>
      </c>
      <c r="U45" s="268" t="e">
        <f>'Data (Calculations)'!N47*U34</f>
        <v>#VALUE!</v>
      </c>
      <c r="V45" s="268">
        <f>'Data (Calculations)'!O47*V34</f>
        <v>11216.515532936932</v>
      </c>
      <c r="W45" s="268">
        <f>'Data (Calculations)'!P47*W34</f>
        <v>11188.471849422514</v>
      </c>
      <c r="X45" s="268">
        <f>'Data (Calculations)'!Q47*X34</f>
        <v>11152.509429907461</v>
      </c>
      <c r="Y45" s="268">
        <f>'Data (Calculations)'!R47*Y34</f>
        <v>11111.391285020827</v>
      </c>
      <c r="Z45" s="268">
        <f>'Data (Calculations)'!S47*Z34</f>
        <v>11067.132838655001</v>
      </c>
      <c r="AA45" s="268">
        <f>'Data (Calculations)'!T47*AA34</f>
        <v>11019.662392432907</v>
      </c>
      <c r="AB45" s="268">
        <f>'Data (Calculations)'!U47*AB34</f>
        <v>10968.550193277266</v>
      </c>
      <c r="AC45" s="268">
        <f>'Data (Calculations)'!V47*AC34</f>
        <v>10913.179372834034</v>
      </c>
      <c r="AD45" s="268">
        <f>'Data (Calculations)'!W47*AD34</f>
        <v>10853.117554914579</v>
      </c>
      <c r="AE45" s="268">
        <f>'Data (Calculations)'!X47*AE34</f>
        <v>10788.224840246545</v>
      </c>
      <c r="AF45" s="268">
        <f>'Data (Calculations)'!Y47*AF34</f>
        <v>10718.687032551032</v>
      </c>
      <c r="AG45" s="268">
        <f>'Data (Calculations)'!Z47*AG34</f>
        <v>10644.419317894175</v>
      </c>
    </row>
    <row r="46" spans="5:33" s="17" customFormat="1">
      <c r="E46" s="17" t="s">
        <v>246</v>
      </c>
      <c r="F46" s="268" t="e">
        <f>(1-'Data (Calculations)'!#REF!)*F34</f>
        <v>#REF!</v>
      </c>
      <c r="G46" s="268" t="e">
        <f>(1-'Data (Calculations)'!#REF!)*G34</f>
        <v>#REF!</v>
      </c>
      <c r="H46" s="268" t="e">
        <f>(1-'Data (Calculations)'!#REF!)*H34</f>
        <v>#REF!</v>
      </c>
      <c r="I46" s="268" t="e">
        <f>(1-'Data (Calculations)'!#REF!)*I34</f>
        <v>#REF!</v>
      </c>
      <c r="J46" s="268" t="e">
        <f>(1-'Data (Calculations)'!#REF!)*J34</f>
        <v>#REF!</v>
      </c>
      <c r="K46" s="268" t="e">
        <f>(1-'Data (Calculations)'!#REF!)*K34</f>
        <v>#REF!</v>
      </c>
      <c r="L46" s="268" t="e">
        <f>(1-'Data (Calculations)'!#REF!)*L34</f>
        <v>#REF!</v>
      </c>
      <c r="M46" s="268" t="e">
        <f>(1-'Data (Calculations)'!#REF!)*M34</f>
        <v>#REF!</v>
      </c>
      <c r="N46" s="268" t="e">
        <f>(1-'Data (Calculations)'!#REF!)*N34</f>
        <v>#REF!</v>
      </c>
      <c r="O46" s="268">
        <f>(1-'Data (Calculations)'!H47)*O34</f>
        <v>1736.8231096831998</v>
      </c>
      <c r="P46" s="268">
        <f>(1-'Data (Calculations)'!I47)*P34</f>
        <v>409.78496875679986</v>
      </c>
      <c r="Q46" s="268">
        <f>(1-'Data (Calculations)'!J47)*Q34</f>
        <v>949.06481888479982</v>
      </c>
      <c r="R46" s="268">
        <f>(1-'Data (Calculations)'!K47)*R34</f>
        <v>874.17090566399975</v>
      </c>
      <c r="S46" s="268">
        <f>(1-'Data (Calculations)'!L47)*S34</f>
        <v>219.51913720500002</v>
      </c>
      <c r="T46" s="268">
        <f>(1-'Data (Calculations)'!M47)*T34</f>
        <v>6477.8900520453126</v>
      </c>
      <c r="U46" s="268" t="e">
        <f>(1-'Data (Calculations)'!N47)*U34</f>
        <v>#VALUE!</v>
      </c>
      <c r="V46" s="268">
        <f>(1-'Data (Calculations)'!O47)*V34</f>
        <v>5134.0902002072826</v>
      </c>
      <c r="W46" s="268">
        <f>(1-'Data (Calculations)'!P47)*W34</f>
        <v>5121.2538785986426</v>
      </c>
      <c r="X46" s="268">
        <f>(1-'Data (Calculations)'!Q47)*X34</f>
        <v>5104.7929460509358</v>
      </c>
      <c r="Y46" s="268">
        <f>(1-'Data (Calculations)'!R47)*Y34</f>
        <v>5085.97210422236</v>
      </c>
      <c r="Z46" s="268">
        <f>(1-'Data (Calculations)'!S47)*Z34</f>
        <v>5065.7138649237168</v>
      </c>
      <c r="AA46" s="268">
        <f>(1-'Data (Calculations)'!T47)*AA34</f>
        <v>5043.9854099474223</v>
      </c>
      <c r="AB46" s="268">
        <f>(1-'Data (Calculations)'!U47)*AB34</f>
        <v>5020.5900301589809</v>
      </c>
      <c r="AC46" s="268">
        <f>(1-'Data (Calculations)'!V47)*AC34</f>
        <v>4995.2453689065387</v>
      </c>
      <c r="AD46" s="268">
        <f>(1-'Data (Calculations)'!W47)*AD34</f>
        <v>4967.7535163894709</v>
      </c>
      <c r="AE46" s="268">
        <f>(1-'Data (Calculations)'!X47)*AE34</f>
        <v>4938.0504370807794</v>
      </c>
      <c r="AF46" s="268">
        <f>(1-'Data (Calculations)'!Y47)*AF34</f>
        <v>4906.2211781647566</v>
      </c>
      <c r="AG46" s="268">
        <f>(1-'Data (Calculations)'!Z47)*AG34</f>
        <v>4872.2269181031634</v>
      </c>
    </row>
    <row r="47" spans="5:33" s="17" customFormat="1" ht="20" customHeight="1">
      <c r="F47" s="86"/>
      <c r="G47" s="86"/>
      <c r="H47" s="86"/>
      <c r="I47" s="86"/>
      <c r="J47" s="86"/>
      <c r="K47" s="86"/>
      <c r="L47" s="86"/>
      <c r="M47" s="86"/>
      <c r="N47" s="86"/>
      <c r="O47" s="86"/>
      <c r="P47" s="86"/>
      <c r="Q47" s="86"/>
      <c r="R47" s="86"/>
      <c r="S47" s="86"/>
      <c r="T47" s="86"/>
      <c r="U47" s="86"/>
      <c r="V47" s="86"/>
      <c r="W47" s="86"/>
      <c r="X47" s="86"/>
      <c r="Y47" s="86"/>
      <c r="Z47" s="86"/>
      <c r="AA47" s="86"/>
      <c r="AB47" s="86"/>
      <c r="AC47" s="86"/>
      <c r="AD47" s="86"/>
      <c r="AE47" s="86"/>
      <c r="AF47" s="86"/>
      <c r="AG47" s="86"/>
    </row>
    <row r="48" spans="5:33" s="17" customFormat="1">
      <c r="E48" s="176" t="s">
        <v>31</v>
      </c>
      <c r="F48" s="176"/>
      <c r="G48" s="176"/>
      <c r="H48" s="176"/>
      <c r="I48" s="176"/>
      <c r="J48" s="176"/>
      <c r="K48" s="176"/>
      <c r="L48" s="176"/>
      <c r="M48" s="176"/>
      <c r="N48" s="176"/>
      <c r="O48" s="176"/>
      <c r="P48" s="176"/>
      <c r="Q48" s="176"/>
      <c r="R48" s="176"/>
      <c r="S48" s="176"/>
      <c r="T48" s="176"/>
      <c r="U48" s="176"/>
      <c r="V48" s="176"/>
      <c r="W48" s="176"/>
      <c r="X48" s="176"/>
      <c r="Y48" s="176"/>
      <c r="Z48" s="176"/>
      <c r="AA48" s="176"/>
      <c r="AB48" s="176"/>
      <c r="AC48" s="176"/>
      <c r="AD48" s="176"/>
      <c r="AE48" s="176"/>
      <c r="AF48" s="176"/>
      <c r="AG48" s="176"/>
    </row>
    <row r="49" spans="1:33">
      <c r="S49" s="86"/>
      <c r="U49" s="86"/>
      <c r="V49" s="86"/>
      <c r="W49" s="86"/>
      <c r="X49" s="86"/>
      <c r="Y49" s="86"/>
      <c r="Z49" s="86"/>
      <c r="AA49" s="86"/>
      <c r="AB49" s="86"/>
      <c r="AC49" s="86"/>
      <c r="AD49" s="86"/>
      <c r="AE49" s="86"/>
      <c r="AF49" s="86"/>
      <c r="AG49" s="86"/>
    </row>
    <row r="50" spans="1:33">
      <c r="A50" s="88"/>
      <c r="B50" s="88"/>
      <c r="C50" s="90"/>
      <c r="E50" s="17" t="s">
        <v>215</v>
      </c>
      <c r="F50" s="268" t="e">
        <f>'Data (Calculations)'!#REF!*F26</f>
        <v>#REF!</v>
      </c>
      <c r="G50" s="268" t="e">
        <f>'Data (Calculations)'!#REF!*G26</f>
        <v>#REF!</v>
      </c>
      <c r="H50" s="268" t="e">
        <f>'Data (Calculations)'!#REF!*H26</f>
        <v>#REF!</v>
      </c>
      <c r="I50" s="268" t="e">
        <f>'Data (Calculations)'!#REF!*I26</f>
        <v>#REF!</v>
      </c>
      <c r="J50" s="268" t="e">
        <f>'Data (Calculations)'!#REF!*J26</f>
        <v>#REF!</v>
      </c>
      <c r="K50" s="268" t="e">
        <f>'Data (Calculations)'!#REF!*K26</f>
        <v>#REF!</v>
      </c>
      <c r="L50" s="268" t="e">
        <f>'Data (Calculations)'!#REF!*L26</f>
        <v>#REF!</v>
      </c>
      <c r="M50" s="268" t="e">
        <f>'Data (Calculations)'!#REF!*M26</f>
        <v>#REF!</v>
      </c>
      <c r="N50" s="268" t="e">
        <f>'Data (Calculations)'!#REF!*N26</f>
        <v>#REF!</v>
      </c>
      <c r="O50" s="268">
        <f>'Data (Calculations)'!H35*O26</f>
        <v>1929358.4781887999</v>
      </c>
      <c r="P50" s="268">
        <f>'Data (Calculations)'!I35*P26</f>
        <v>2531328.7838711999</v>
      </c>
      <c r="Q50" s="268">
        <f>'Data (Calculations)'!J35*Q26</f>
        <v>2445647.8586232001</v>
      </c>
      <c r="R50" s="268">
        <f>'Data (Calculations)'!K35*R26</f>
        <v>2489534.4157760004</v>
      </c>
      <c r="S50" s="268">
        <f>'Data (Calculations)'!L35*S26</f>
        <v>3559584.5630325</v>
      </c>
      <c r="T50" s="268">
        <f>'Data (Calculations)'!M35*T26</f>
        <v>5097509.2924099704</v>
      </c>
      <c r="U50" s="268" t="e">
        <f>'Data (Calculations)'!N35*U26</f>
        <v>#VALUE!</v>
      </c>
      <c r="V50" s="268">
        <f>'Data (Calculations)'!O35*V26</f>
        <v>8676259.8832487985</v>
      </c>
      <c r="W50" s="268">
        <f>'Data (Calculations)'!$O35*W26</f>
        <v>8654567.3811932188</v>
      </c>
      <c r="X50" s="268">
        <f>'Data (Calculations)'!$O35*X26</f>
        <v>8626749.5355506241</v>
      </c>
      <c r="Y50" s="268">
        <f>'Data (Calculations)'!$O35*Y26</f>
        <v>8594943.6052770093</v>
      </c>
      <c r="Z50" s="268">
        <f>'Data (Calculations)'!$O35*Z26</f>
        <v>8560708.5719842613</v>
      </c>
      <c r="AA50" s="268">
        <f>'Data (Calculations)'!$O35*AA26</f>
        <v>8523988.9751551691</v>
      </c>
      <c r="AB50" s="268">
        <f>'Data (Calculations)'!$O35*AB26</f>
        <v>8484452.3898603432</v>
      </c>
      <c r="AC50" s="268">
        <f>'Data (Calculations)'!$O35*AC26</f>
        <v>8441621.6527474225</v>
      </c>
      <c r="AD50" s="268">
        <f>'Data (Calculations)'!$O35*AD26</f>
        <v>8395162.3098437078</v>
      </c>
      <c r="AE50" s="268">
        <f>'Data (Calculations)'!$O35*AE26</f>
        <v>8344966.1455058577</v>
      </c>
      <c r="AF50" s="268">
        <f>'Data (Calculations)'!$O35*AF26</f>
        <v>8291176.883635181</v>
      </c>
      <c r="AG50" s="268">
        <f>'Data (Calculations)'!$O35*AG26</f>
        <v>8233728.9184979061</v>
      </c>
    </row>
    <row r="51" spans="1:33">
      <c r="E51" s="17" t="s">
        <v>216</v>
      </c>
      <c r="F51" s="268" t="e">
        <f>((1-'Data (Calculations)'!#REF!)*F26)</f>
        <v>#REF!</v>
      </c>
      <c r="G51" s="268" t="e">
        <f>((1-'Data (Calculations)'!#REF!)*G26)</f>
        <v>#REF!</v>
      </c>
      <c r="H51" s="268" t="e">
        <f>((1-'Data (Calculations)'!#REF!)*H26)</f>
        <v>#REF!</v>
      </c>
      <c r="I51" s="268" t="e">
        <f>((1-'Data (Calculations)'!#REF!)*I26)</f>
        <v>#REF!</v>
      </c>
      <c r="J51" s="268" t="e">
        <f>((1-'Data (Calculations)'!#REF!)*J26)</f>
        <v>#REF!</v>
      </c>
      <c r="K51" s="268" t="e">
        <f>((1-'Data (Calculations)'!#REF!)*K26)</f>
        <v>#REF!</v>
      </c>
      <c r="L51" s="268" t="e">
        <f>((1-'Data (Calculations)'!#REF!)*L26)</f>
        <v>#REF!</v>
      </c>
      <c r="M51" s="268" t="e">
        <f>((1-'Data (Calculations)'!#REF!)*M26)</f>
        <v>#REF!</v>
      </c>
      <c r="N51" s="268" t="e">
        <f>((1-'Data (Calculations)'!#REF!)*N26)</f>
        <v>#REF!</v>
      </c>
      <c r="O51" s="268">
        <f>((1-'Data (Calculations)'!H35)*O26)</f>
        <v>858731.80821120017</v>
      </c>
      <c r="P51" s="268">
        <f>((1-'Data (Calculations)'!I35)*P26)</f>
        <v>1448747.9203287999</v>
      </c>
      <c r="Q51" s="268">
        <f>((1-'Data (Calculations)'!J35)*Q26)</f>
        <v>1311107.6845768001</v>
      </c>
      <c r="R51" s="268">
        <f>((1-'Data (Calculations)'!K35)*R26)</f>
        <v>1322922.576224</v>
      </c>
      <c r="S51" s="268">
        <f>((1-'Data (Calculations)'!L35)*S26)</f>
        <v>776084.81946750032</v>
      </c>
      <c r="T51" s="268">
        <f>((1-'Data (Calculations)'!M35)*T26)</f>
        <v>20609592.872590028</v>
      </c>
      <c r="U51" s="268" t="e">
        <f>((1-'Data (Calculations)'!N35)*U26)</f>
        <v>#VALUE!</v>
      </c>
      <c r="V51" s="268">
        <f>((1-'Data (Calculations)'!O35)*V26)</f>
        <v>16955231.647766855</v>
      </c>
      <c r="W51" s="268">
        <f>((1-'Data (Calculations)'!$O35)*W26)</f>
        <v>16912839.948771976</v>
      </c>
      <c r="X51" s="268">
        <f>((1-'Data (Calculations)'!$O35)*X26)</f>
        <v>16858478.04362404</v>
      </c>
      <c r="Y51" s="268">
        <f>((1-'Data (Calculations)'!$O35)*Y26)</f>
        <v>16796322.584610756</v>
      </c>
      <c r="Z51" s="268">
        <f>((1-'Data (Calculations)'!$O35)*Z26)</f>
        <v>16729420.148796421</v>
      </c>
      <c r="AA51" s="268">
        <f>((1-'Data (Calculations)'!$O35)*AA26)</f>
        <v>16657662.354697617</v>
      </c>
      <c r="AB51" s="268">
        <f>((1-'Data (Calculations)'!$O35)*AB26)</f>
        <v>16580399.574276563</v>
      </c>
      <c r="AC51" s="268">
        <f>((1-'Data (Calculations)'!$O35)*AC26)</f>
        <v>16496699.330258258</v>
      </c>
      <c r="AD51" s="268">
        <f>((1-'Data (Calculations)'!$O35)*AD26)</f>
        <v>16405908.029428694</v>
      </c>
      <c r="AE51" s="268">
        <f>((1-'Data (Calculations)'!$O35)*AE26)</f>
        <v>16307814.195722671</v>
      </c>
      <c r="AF51" s="268">
        <f>((1-'Data (Calculations)'!$O35)*AF26)</f>
        <v>16202698.695789281</v>
      </c>
      <c r="AG51" s="268">
        <f>((1-'Data (Calculations)'!$O35)*AG26)</f>
        <v>16090433.322264001</v>
      </c>
    </row>
    <row r="52" spans="1:33">
      <c r="S52" s="86"/>
      <c r="U52" s="86"/>
      <c r="V52" s="86"/>
      <c r="W52" s="86"/>
      <c r="X52" s="86"/>
      <c r="Y52" s="86"/>
      <c r="Z52" s="86"/>
      <c r="AA52" s="86"/>
      <c r="AB52" s="86"/>
      <c r="AC52" s="86"/>
      <c r="AD52" s="86"/>
      <c r="AE52" s="86"/>
      <c r="AF52" s="86"/>
      <c r="AG52" s="86"/>
    </row>
    <row r="53" spans="1:33">
      <c r="S53" s="86"/>
      <c r="U53" s="86"/>
      <c r="V53" s="86"/>
      <c r="W53" s="86"/>
      <c r="X53" s="86"/>
      <c r="Y53" s="86"/>
      <c r="Z53" s="86"/>
      <c r="AA53" s="86"/>
      <c r="AB53" s="86"/>
      <c r="AC53" s="86"/>
      <c r="AD53" s="86"/>
      <c r="AE53" s="86"/>
      <c r="AF53" s="86"/>
      <c r="AG53" s="86"/>
    </row>
    <row r="54" spans="1:33" ht="19">
      <c r="E54" s="21" t="s">
        <v>212</v>
      </c>
      <c r="F54" s="367"/>
      <c r="G54" s="367"/>
      <c r="H54" s="367"/>
      <c r="I54" s="367"/>
      <c r="J54" s="367"/>
      <c r="K54" s="367"/>
      <c r="L54" s="367"/>
      <c r="M54" s="367"/>
      <c r="N54" s="367"/>
      <c r="O54" s="367"/>
      <c r="P54" s="367"/>
      <c r="Q54" s="367"/>
      <c r="R54" s="367"/>
      <c r="S54" s="367"/>
      <c r="T54" s="367"/>
      <c r="U54" s="367"/>
      <c r="V54" s="367"/>
      <c r="W54" s="367"/>
      <c r="X54" s="367"/>
      <c r="Y54" s="367"/>
      <c r="Z54" s="367"/>
      <c r="AA54" s="367"/>
      <c r="AB54" s="367"/>
      <c r="AC54" s="367"/>
      <c r="AD54" s="367"/>
      <c r="AE54" s="367"/>
      <c r="AF54" s="367"/>
      <c r="AG54" s="367"/>
    </row>
    <row r="55" spans="1:33">
      <c r="S55" s="86"/>
      <c r="U55" s="86"/>
      <c r="V55" s="86"/>
      <c r="W55" s="86"/>
      <c r="X55" s="86"/>
      <c r="Y55" s="86"/>
      <c r="Z55" s="86"/>
      <c r="AA55" s="86"/>
      <c r="AB55" s="86"/>
      <c r="AC55" s="86"/>
      <c r="AD55" s="86"/>
      <c r="AE55" s="86"/>
      <c r="AF55" s="86"/>
      <c r="AG55" s="86"/>
    </row>
    <row r="56" spans="1:33">
      <c r="E56" s="17" t="s">
        <v>213</v>
      </c>
      <c r="F56" s="268" t="e">
        <f>F24</f>
        <v>#REF!</v>
      </c>
      <c r="G56" s="268" t="e">
        <f t="shared" ref="G56:W56" si="8">G24</f>
        <v>#REF!</v>
      </c>
      <c r="H56" s="268" t="e">
        <f t="shared" si="8"/>
        <v>#REF!</v>
      </c>
      <c r="I56" s="268" t="e">
        <f t="shared" si="8"/>
        <v>#REF!</v>
      </c>
      <c r="J56" s="268" t="e">
        <f t="shared" si="8"/>
        <v>#REF!</v>
      </c>
      <c r="K56" s="268" t="e">
        <f t="shared" si="8"/>
        <v>#REF!</v>
      </c>
      <c r="L56" s="268" t="e">
        <f t="shared" si="8"/>
        <v>#REF!</v>
      </c>
      <c r="M56" s="268" t="e">
        <f t="shared" si="8"/>
        <v>#REF!</v>
      </c>
      <c r="N56" s="268" t="e">
        <f t="shared" si="8"/>
        <v>#REF!</v>
      </c>
      <c r="O56" s="268">
        <f t="shared" si="8"/>
        <v>149258.4768</v>
      </c>
      <c r="P56" s="268">
        <f t="shared" si="8"/>
        <v>19787.952600000001</v>
      </c>
      <c r="Q56" s="268">
        <f t="shared" si="8"/>
        <v>50818.605799999998</v>
      </c>
      <c r="R56" s="268">
        <f t="shared" si="8"/>
        <v>46143.707399999999</v>
      </c>
      <c r="S56" s="268">
        <f t="shared" si="8"/>
        <v>19276.426800000001</v>
      </c>
      <c r="T56" s="268">
        <f t="shared" si="8"/>
        <v>0</v>
      </c>
      <c r="U56" s="268" t="e">
        <f t="shared" si="8"/>
        <v>#VALUE!</v>
      </c>
      <c r="V56" s="268">
        <f t="shared" si="8"/>
        <v>0</v>
      </c>
      <c r="W56" s="268">
        <f t="shared" si="8"/>
        <v>0</v>
      </c>
      <c r="X56" s="268">
        <f t="shared" ref="X56:AF56" si="9">X24</f>
        <v>0</v>
      </c>
      <c r="Y56" s="268">
        <f t="shared" si="9"/>
        <v>0</v>
      </c>
      <c r="Z56" s="268">
        <f t="shared" si="9"/>
        <v>0</v>
      </c>
      <c r="AA56" s="268">
        <f t="shared" si="9"/>
        <v>0</v>
      </c>
      <c r="AB56" s="268">
        <f t="shared" si="9"/>
        <v>0</v>
      </c>
      <c r="AC56" s="268">
        <f t="shared" si="9"/>
        <v>0</v>
      </c>
      <c r="AD56" s="268">
        <f t="shared" si="9"/>
        <v>0</v>
      </c>
      <c r="AE56" s="268">
        <f t="shared" si="9"/>
        <v>0</v>
      </c>
      <c r="AF56" s="268">
        <f t="shared" si="9"/>
        <v>0</v>
      </c>
      <c r="AG56" s="268">
        <f>AG24</f>
        <v>0</v>
      </c>
    </row>
    <row r="57" spans="1:33">
      <c r="E57" s="17" t="s">
        <v>214</v>
      </c>
      <c r="F57" s="268" t="e">
        <f>F27</f>
        <v>#REF!</v>
      </c>
      <c r="G57" s="268" t="e">
        <f t="shared" ref="G57:W57" si="10">G27</f>
        <v>#REF!</v>
      </c>
      <c r="H57" s="268" t="e">
        <f t="shared" si="10"/>
        <v>#REF!</v>
      </c>
      <c r="I57" s="268" t="e">
        <f t="shared" si="10"/>
        <v>#REF!</v>
      </c>
      <c r="J57" s="268" t="e">
        <f t="shared" si="10"/>
        <v>#REF!</v>
      </c>
      <c r="K57" s="268" t="e">
        <f t="shared" si="10"/>
        <v>#REF!</v>
      </c>
      <c r="L57" s="268" t="e">
        <f t="shared" si="10"/>
        <v>#REF!</v>
      </c>
      <c r="M57" s="268" t="e">
        <f t="shared" si="10"/>
        <v>#REF!</v>
      </c>
      <c r="N57" s="268" t="e">
        <f t="shared" si="10"/>
        <v>#REF!</v>
      </c>
      <c r="O57" s="268">
        <f t="shared" si="10"/>
        <v>23172378.523200002</v>
      </c>
      <c r="P57" s="268">
        <f t="shared" si="10"/>
        <v>21966826.047400001</v>
      </c>
      <c r="Q57" s="268">
        <f t="shared" si="10"/>
        <v>22044227.394200001</v>
      </c>
      <c r="R57" s="268">
        <f t="shared" si="10"/>
        <v>21927050.292599998</v>
      </c>
      <c r="S57" s="268">
        <f t="shared" si="10"/>
        <v>21398975.573199999</v>
      </c>
      <c r="T57" s="268">
        <f t="shared" si="10"/>
        <v>0</v>
      </c>
      <c r="U57" s="268" t="e">
        <f t="shared" si="10"/>
        <v>#VALUE!</v>
      </c>
      <c r="V57" s="268">
        <f t="shared" si="10"/>
        <v>0</v>
      </c>
      <c r="W57" s="268">
        <f t="shared" si="10"/>
        <v>0</v>
      </c>
      <c r="X57" s="268">
        <f t="shared" ref="X57:AF57" si="11">X27</f>
        <v>0</v>
      </c>
      <c r="Y57" s="268">
        <f t="shared" si="11"/>
        <v>0</v>
      </c>
      <c r="Z57" s="268">
        <f t="shared" si="11"/>
        <v>0</v>
      </c>
      <c r="AA57" s="268">
        <f t="shared" si="11"/>
        <v>0</v>
      </c>
      <c r="AB57" s="268">
        <f t="shared" si="11"/>
        <v>0</v>
      </c>
      <c r="AC57" s="268">
        <f t="shared" si="11"/>
        <v>0</v>
      </c>
      <c r="AD57" s="268">
        <f t="shared" si="11"/>
        <v>0</v>
      </c>
      <c r="AE57" s="268">
        <f t="shared" si="11"/>
        <v>0</v>
      </c>
      <c r="AF57" s="268">
        <f t="shared" si="11"/>
        <v>0</v>
      </c>
      <c r="AG57" s="268">
        <f>AG27</f>
        <v>0</v>
      </c>
    </row>
    <row r="58" spans="1:33">
      <c r="F58" s="268"/>
      <c r="G58" s="268"/>
      <c r="H58" s="268"/>
      <c r="I58" s="268"/>
      <c r="J58" s="268"/>
      <c r="K58" s="268"/>
      <c r="L58" s="268"/>
      <c r="M58" s="268"/>
      <c r="N58" s="268"/>
      <c r="O58" s="268"/>
      <c r="P58" s="268"/>
      <c r="Q58" s="268"/>
      <c r="R58" s="268"/>
      <c r="S58" s="268"/>
      <c r="T58" s="268"/>
      <c r="U58" s="268"/>
      <c r="V58" s="268"/>
      <c r="W58" s="268"/>
      <c r="X58" s="268"/>
      <c r="Y58" s="268"/>
      <c r="Z58" s="268"/>
      <c r="AA58" s="268"/>
      <c r="AB58" s="268"/>
      <c r="AC58" s="268"/>
      <c r="AD58" s="268"/>
      <c r="AE58" s="268"/>
      <c r="AF58" s="268"/>
      <c r="AG58" s="268"/>
    </row>
    <row r="59" spans="1:33">
      <c r="E59" s="17" t="s">
        <v>254</v>
      </c>
      <c r="F59" s="268" t="e">
        <f>'Data (Calculations)'!#REF!*F56</f>
        <v>#REF!</v>
      </c>
      <c r="G59" s="268" t="e">
        <f>'Data (Calculations)'!#REF!*G56</f>
        <v>#REF!</v>
      </c>
      <c r="H59" s="268" t="e">
        <f>'Data (Calculations)'!#REF!*H56</f>
        <v>#REF!</v>
      </c>
      <c r="I59" s="268" t="e">
        <f>'Data (Calculations)'!#REF!*I56</f>
        <v>#REF!</v>
      </c>
      <c r="J59" s="268" t="e">
        <f>'Data (Calculations)'!#REF!*J56</f>
        <v>#REF!</v>
      </c>
      <c r="K59" s="268" t="e">
        <f>'Data (Calculations)'!#REF!*K56</f>
        <v>#REF!</v>
      </c>
      <c r="L59" s="268" t="e">
        <f>'Data (Calculations)'!#REF!*L56</f>
        <v>#REF!</v>
      </c>
      <c r="M59" s="268" t="e">
        <f>'Data (Calculations)'!#REF!*M56</f>
        <v>#REF!</v>
      </c>
      <c r="N59" s="268" t="e">
        <f>'Data (Calculations)'!#REF!*N56</f>
        <v>#REF!</v>
      </c>
      <c r="O59" s="268">
        <f>'Data (Calculations)'!H47*O56</f>
        <v>102391.31508480001</v>
      </c>
      <c r="P59" s="268">
        <f>'Data (Calculations)'!I47*P56</f>
        <v>13574.535483600001</v>
      </c>
      <c r="Q59" s="268">
        <f>'Data (Calculations)'!J47*Q56</f>
        <v>34861.5635788</v>
      </c>
      <c r="R59" s="268">
        <f>'Data (Calculations)'!K47*R56</f>
        <v>31654.583276400001</v>
      </c>
      <c r="S59" s="268">
        <f>'Data (Calculations)'!L47*S56</f>
        <v>13223.628784800001</v>
      </c>
      <c r="T59" s="268">
        <f>'Data (Calculations)'!M47*T56</f>
        <v>0</v>
      </c>
      <c r="U59" s="268" t="e">
        <f>'Data (Calculations)'!N47*U56</f>
        <v>#VALUE!</v>
      </c>
      <c r="V59" s="268">
        <f>'Data (Calculations)'!O47*V56</f>
        <v>0</v>
      </c>
      <c r="W59" s="268">
        <f>'Data (Calculations)'!P47*W56</f>
        <v>0</v>
      </c>
      <c r="X59" s="268">
        <f>'Data (Calculations)'!Q47*X56</f>
        <v>0</v>
      </c>
      <c r="Y59" s="268">
        <f>'Data (Calculations)'!R47*Y56</f>
        <v>0</v>
      </c>
      <c r="Z59" s="268">
        <f>'Data (Calculations)'!S47*Z56</f>
        <v>0</v>
      </c>
      <c r="AA59" s="268">
        <f>'Data (Calculations)'!T47*AA56</f>
        <v>0</v>
      </c>
      <c r="AB59" s="268">
        <f>'Data (Calculations)'!U47*AB56</f>
        <v>0</v>
      </c>
      <c r="AC59" s="268">
        <f>'Data (Calculations)'!V47*AC56</f>
        <v>0</v>
      </c>
      <c r="AD59" s="268">
        <f>'Data (Calculations)'!W47*AD56</f>
        <v>0</v>
      </c>
      <c r="AE59" s="268">
        <f>'Data (Calculations)'!X47*AE56</f>
        <v>0</v>
      </c>
      <c r="AF59" s="268">
        <f>'Data (Calculations)'!Y47*AF56</f>
        <v>0</v>
      </c>
      <c r="AG59" s="268">
        <f>'Data (Calculations)'!Z47*AG56</f>
        <v>0</v>
      </c>
    </row>
    <row r="60" spans="1:33">
      <c r="E60" s="17" t="s">
        <v>247</v>
      </c>
      <c r="F60" s="268" t="e">
        <f>(1-'Data (Calculations)'!#REF!)*F56</f>
        <v>#REF!</v>
      </c>
      <c r="G60" s="268" t="e">
        <f>(1-'Data (Calculations)'!#REF!)*G56</f>
        <v>#REF!</v>
      </c>
      <c r="H60" s="268" t="e">
        <f>(1-'Data (Calculations)'!#REF!)*H56</f>
        <v>#REF!</v>
      </c>
      <c r="I60" s="268" t="e">
        <f>(1-'Data (Calculations)'!#REF!)*I56</f>
        <v>#REF!</v>
      </c>
      <c r="J60" s="268" t="e">
        <f>(1-'Data (Calculations)'!#REF!)*J56</f>
        <v>#REF!</v>
      </c>
      <c r="K60" s="268" t="e">
        <f>(1-'Data (Calculations)'!#REF!)*K56</f>
        <v>#REF!</v>
      </c>
      <c r="L60" s="268" t="e">
        <f>(1-'Data (Calculations)'!#REF!)*L56</f>
        <v>#REF!</v>
      </c>
      <c r="M60" s="268" t="e">
        <f>(1-'Data (Calculations)'!#REF!)*M56</f>
        <v>#REF!</v>
      </c>
      <c r="N60" s="268" t="e">
        <f>(1-'Data (Calculations)'!#REF!)*N56</f>
        <v>#REF!</v>
      </c>
      <c r="O60" s="268">
        <f>(1-'Data (Calculations)'!H47)*O56</f>
        <v>46867.161715199996</v>
      </c>
      <c r="P60" s="268">
        <f>(1-'Data (Calculations)'!I47)*P56</f>
        <v>6213.417116399999</v>
      </c>
      <c r="Q60" s="268">
        <f>(1-'Data (Calculations)'!J47)*Q56</f>
        <v>15957.042221199996</v>
      </c>
      <c r="R60" s="268">
        <f>(1-'Data (Calculations)'!K47)*R56</f>
        <v>14489.124123599997</v>
      </c>
      <c r="S60" s="268">
        <f>(1-'Data (Calculations)'!L47)*S56</f>
        <v>6052.7980151999991</v>
      </c>
      <c r="T60" s="268">
        <f>(1-'Data (Calculations)'!M47)*T56</f>
        <v>0</v>
      </c>
      <c r="U60" s="268" t="e">
        <f>(1-'Data (Calculations)'!N47)*U56</f>
        <v>#VALUE!</v>
      </c>
      <c r="V60" s="268">
        <f>(1-'Data (Calculations)'!O47)*V56</f>
        <v>0</v>
      </c>
      <c r="W60" s="268">
        <f>(1-'Data (Calculations)'!P47)*W56</f>
        <v>0</v>
      </c>
      <c r="X60" s="268">
        <f>(1-'Data (Calculations)'!Q47)*X56</f>
        <v>0</v>
      </c>
      <c r="Y60" s="268">
        <f>(1-'Data (Calculations)'!R47)*Y56</f>
        <v>0</v>
      </c>
      <c r="Z60" s="268">
        <f>(1-'Data (Calculations)'!S47)*Z56</f>
        <v>0</v>
      </c>
      <c r="AA60" s="268">
        <f>(1-'Data (Calculations)'!T47)*AA56</f>
        <v>0</v>
      </c>
      <c r="AB60" s="268">
        <f>(1-'Data (Calculations)'!U47)*AB56</f>
        <v>0</v>
      </c>
      <c r="AC60" s="268">
        <f>(1-'Data (Calculations)'!V47)*AC56</f>
        <v>0</v>
      </c>
      <c r="AD60" s="268">
        <f>(1-'Data (Calculations)'!W47)*AD56</f>
        <v>0</v>
      </c>
      <c r="AE60" s="268">
        <f>(1-'Data (Calculations)'!X47)*AE56</f>
        <v>0</v>
      </c>
      <c r="AF60" s="268">
        <f>(1-'Data (Calculations)'!Y47)*AF56</f>
        <v>0</v>
      </c>
      <c r="AG60" s="268">
        <f>(1-'Data (Calculations)'!Z47)*AG56</f>
        <v>0</v>
      </c>
    </row>
    <row r="61" spans="1:33">
      <c r="F61" s="268"/>
      <c r="G61" s="268"/>
      <c r="H61" s="268"/>
      <c r="I61" s="268"/>
      <c r="J61" s="268"/>
      <c r="K61" s="268"/>
      <c r="L61" s="268"/>
      <c r="M61" s="268"/>
      <c r="N61" s="268"/>
      <c r="O61" s="268"/>
      <c r="P61" s="268"/>
      <c r="Q61" s="268"/>
      <c r="R61" s="268"/>
      <c r="S61" s="268"/>
      <c r="T61" s="268"/>
      <c r="U61" s="268"/>
      <c r="V61" s="268"/>
      <c r="W61" s="268"/>
      <c r="X61" s="268"/>
      <c r="Y61" s="268"/>
      <c r="Z61" s="268"/>
      <c r="AA61" s="268"/>
      <c r="AB61" s="268"/>
      <c r="AC61" s="268"/>
      <c r="AD61" s="268"/>
      <c r="AE61" s="268"/>
      <c r="AF61" s="268"/>
      <c r="AG61" s="268"/>
    </row>
    <row r="62" spans="1:33" s="64" customFormat="1" ht="15" customHeight="1">
      <c r="B62" s="88"/>
      <c r="D62" s="17"/>
      <c r="E62" s="17"/>
      <c r="F62" s="320"/>
      <c r="G62" s="320"/>
      <c r="H62" s="320"/>
      <c r="I62" s="320"/>
      <c r="J62" s="320"/>
      <c r="K62" s="320"/>
      <c r="L62" s="320"/>
      <c r="M62" s="320"/>
      <c r="N62" s="320"/>
      <c r="O62" s="320"/>
      <c r="P62" s="320"/>
      <c r="Q62" s="320"/>
      <c r="R62" s="320"/>
      <c r="S62" s="320"/>
      <c r="T62" s="320"/>
      <c r="U62" s="320"/>
      <c r="V62" s="320"/>
      <c r="W62" s="320"/>
      <c r="X62" s="320"/>
      <c r="Y62" s="320"/>
      <c r="Z62" s="320"/>
      <c r="AA62" s="320"/>
      <c r="AB62" s="320"/>
      <c r="AC62" s="320"/>
      <c r="AD62" s="320"/>
      <c r="AE62" s="320"/>
      <c r="AF62" s="320"/>
      <c r="AG62" s="320"/>
    </row>
    <row r="63" spans="1:33" ht="19">
      <c r="C63" s="90"/>
      <c r="E63" s="178" t="s">
        <v>223</v>
      </c>
      <c r="F63" s="368"/>
      <c r="G63" s="368"/>
      <c r="H63" s="368"/>
      <c r="I63" s="368"/>
      <c r="J63" s="368"/>
      <c r="K63" s="368"/>
      <c r="L63" s="368"/>
      <c r="M63" s="368"/>
      <c r="N63" s="368"/>
      <c r="O63" s="368"/>
      <c r="P63" s="368"/>
      <c r="Q63" s="368"/>
      <c r="R63" s="368"/>
      <c r="S63" s="368"/>
      <c r="T63" s="368"/>
      <c r="U63" s="368"/>
      <c r="V63" s="368"/>
      <c r="W63" s="368"/>
      <c r="X63" s="368"/>
      <c r="Y63" s="368"/>
      <c r="Z63" s="368"/>
      <c r="AA63" s="368"/>
      <c r="AB63" s="368"/>
      <c r="AC63" s="368"/>
      <c r="AD63" s="368"/>
      <c r="AE63" s="368"/>
      <c r="AF63" s="368"/>
      <c r="AG63" s="368"/>
    </row>
    <row r="64" spans="1:33">
      <c r="S64" s="86"/>
      <c r="U64" s="86"/>
      <c r="V64" s="86"/>
      <c r="W64" s="86"/>
      <c r="X64" s="86"/>
      <c r="Y64" s="86"/>
      <c r="Z64" s="86"/>
      <c r="AA64" s="86"/>
      <c r="AB64" s="86"/>
      <c r="AC64" s="86"/>
      <c r="AD64" s="86"/>
      <c r="AE64" s="86"/>
      <c r="AF64" s="86"/>
      <c r="AG64" s="86"/>
    </row>
    <row r="65" spans="2:33" s="17" customFormat="1">
      <c r="B65" s="64"/>
      <c r="E65" s="176" t="s">
        <v>217</v>
      </c>
      <c r="F65" s="176"/>
      <c r="G65" s="176"/>
      <c r="H65" s="176"/>
      <c r="I65" s="176"/>
      <c r="J65" s="176"/>
      <c r="K65" s="176"/>
      <c r="L65" s="176"/>
      <c r="M65" s="176"/>
      <c r="N65" s="176"/>
      <c r="O65" s="176"/>
      <c r="P65" s="176"/>
      <c r="Q65" s="176"/>
      <c r="R65" s="176"/>
      <c r="S65" s="176"/>
      <c r="T65" s="176"/>
      <c r="U65" s="176"/>
      <c r="V65" s="176"/>
      <c r="W65" s="176"/>
      <c r="X65" s="176"/>
      <c r="Y65" s="176"/>
      <c r="Z65" s="176"/>
      <c r="AA65" s="176"/>
      <c r="AB65" s="176"/>
      <c r="AC65" s="176"/>
      <c r="AD65" s="176"/>
      <c r="AE65" s="176"/>
      <c r="AF65" s="176"/>
      <c r="AG65" s="176"/>
    </row>
    <row r="66" spans="2:33" s="64" customFormat="1">
      <c r="E66" s="320"/>
      <c r="F66" s="320"/>
      <c r="G66" s="320"/>
      <c r="H66" s="320"/>
      <c r="I66" s="320"/>
      <c r="J66" s="320"/>
      <c r="K66" s="320"/>
      <c r="L66" s="320"/>
      <c r="M66" s="320"/>
      <c r="N66" s="320"/>
      <c r="O66" s="320"/>
      <c r="P66" s="320"/>
      <c r="Q66" s="320"/>
      <c r="R66" s="320"/>
      <c r="S66" s="320"/>
      <c r="T66" s="320"/>
      <c r="U66" s="320"/>
      <c r="V66" s="320"/>
      <c r="W66" s="320"/>
      <c r="X66" s="320"/>
      <c r="Y66" s="320"/>
      <c r="Z66" s="320"/>
      <c r="AA66" s="320"/>
      <c r="AB66" s="320"/>
      <c r="AC66" s="320"/>
      <c r="AD66" s="320"/>
      <c r="AE66" s="320"/>
      <c r="AF66" s="320"/>
      <c r="AG66" s="320"/>
    </row>
    <row r="67" spans="2:33" s="17" customFormat="1">
      <c r="B67" s="64"/>
      <c r="E67" s="17" t="s">
        <v>255</v>
      </c>
      <c r="F67" s="268" t="e">
        <f t="shared" ref="F67:AG68" si="12">F39</f>
        <v>#REF!</v>
      </c>
      <c r="G67" s="268" t="e">
        <f t="shared" si="12"/>
        <v>#REF!</v>
      </c>
      <c r="H67" s="268" t="e">
        <f t="shared" si="12"/>
        <v>#REF!</v>
      </c>
      <c r="I67" s="268" t="e">
        <f t="shared" si="12"/>
        <v>#REF!</v>
      </c>
      <c r="J67" s="268" t="e">
        <f t="shared" si="12"/>
        <v>#REF!</v>
      </c>
      <c r="K67" s="268" t="e">
        <f t="shared" si="12"/>
        <v>#REF!</v>
      </c>
      <c r="L67" s="268" t="e">
        <f t="shared" si="12"/>
        <v>#REF!</v>
      </c>
      <c r="M67" s="268" t="e">
        <f t="shared" si="12"/>
        <v>#REF!</v>
      </c>
      <c r="N67" s="268" t="e">
        <f t="shared" si="12"/>
        <v>#REF!</v>
      </c>
      <c r="O67" s="268">
        <f t="shared" si="12"/>
        <v>7894.3508035474433</v>
      </c>
      <c r="P67" s="268">
        <f t="shared" si="12"/>
        <v>1448.4957003463967</v>
      </c>
      <c r="Q67" s="268">
        <f t="shared" si="12"/>
        <v>808.33650094132315</v>
      </c>
      <c r="R67" s="268">
        <f t="shared" si="12"/>
        <v>851.771036386368</v>
      </c>
      <c r="S67" s="268">
        <f t="shared" si="12"/>
        <v>1643.1514056496351</v>
      </c>
      <c r="T67" s="268">
        <f>T39</f>
        <v>1666.1864807871693</v>
      </c>
      <c r="U67" s="268" t="e">
        <f>U39</f>
        <v>#VALUE!</v>
      </c>
      <c r="V67" s="268">
        <f t="shared" si="12"/>
        <v>4013.9040822383658</v>
      </c>
      <c r="W67" s="268">
        <f t="shared" si="12"/>
        <v>4003.8684650799892</v>
      </c>
      <c r="X67" s="268">
        <f t="shared" si="12"/>
        <v>3990.9990760014693</v>
      </c>
      <c r="Y67" s="268">
        <f t="shared" si="12"/>
        <v>3976.2846765848335</v>
      </c>
      <c r="Z67" s="268">
        <f t="shared" si="12"/>
        <v>3960.4464995663425</v>
      </c>
      <c r="AA67" s="268">
        <f t="shared" si="12"/>
        <v>3943.4588872087411</v>
      </c>
      <c r="AB67" s="268">
        <f t="shared" si="12"/>
        <v>3925.1680495381152</v>
      </c>
      <c r="AC67" s="268">
        <f t="shared" si="12"/>
        <v>3905.3532361442994</v>
      </c>
      <c r="AD67" s="268">
        <f t="shared" si="12"/>
        <v>3883.8597183556753</v>
      </c>
      <c r="AE67" s="268">
        <f t="shared" si="12"/>
        <v>3860.6374322946722</v>
      </c>
      <c r="AF67" s="268">
        <f t="shared" si="12"/>
        <v>3835.7528690486888</v>
      </c>
      <c r="AG67" s="268">
        <f t="shared" si="12"/>
        <v>3809.1756773919478</v>
      </c>
    </row>
    <row r="68" spans="2:33" s="17" customFormat="1">
      <c r="B68" s="64"/>
      <c r="E68" s="17" t="s">
        <v>248</v>
      </c>
      <c r="F68" s="268" t="e">
        <f t="shared" si="12"/>
        <v>#REF!</v>
      </c>
      <c r="G68" s="268" t="e">
        <f t="shared" si="12"/>
        <v>#REF!</v>
      </c>
      <c r="H68" s="268" t="e">
        <f t="shared" si="12"/>
        <v>#REF!</v>
      </c>
      <c r="I68" s="268" t="e">
        <f t="shared" si="12"/>
        <v>#REF!</v>
      </c>
      <c r="J68" s="268" t="e">
        <f t="shared" si="12"/>
        <v>#REF!</v>
      </c>
      <c r="K68" s="268" t="e">
        <f t="shared" si="12"/>
        <v>#REF!</v>
      </c>
      <c r="L68" s="268" t="e">
        <f t="shared" si="12"/>
        <v>#REF!</v>
      </c>
      <c r="M68" s="268" t="e">
        <f t="shared" si="12"/>
        <v>#REF!</v>
      </c>
      <c r="N68" s="268" t="e">
        <f t="shared" si="12"/>
        <v>#REF!</v>
      </c>
      <c r="O68" s="268">
        <f t="shared" si="12"/>
        <v>3613.4492016237559</v>
      </c>
      <c r="P68" s="268">
        <f t="shared" si="12"/>
        <v>663.014066922403</v>
      </c>
      <c r="Q68" s="268">
        <f t="shared" si="12"/>
        <v>369.99659080987669</v>
      </c>
      <c r="R68" s="268">
        <f t="shared" si="12"/>
        <v>389.8777047016319</v>
      </c>
      <c r="S68" s="268">
        <f t="shared" si="12"/>
        <v>752.11303407286482</v>
      </c>
      <c r="T68" s="268">
        <f>T40</f>
        <v>762.6567856664301</v>
      </c>
      <c r="U68" s="268" t="e">
        <f>U40</f>
        <v>#VALUE!</v>
      </c>
      <c r="V68" s="268">
        <f t="shared" si="12"/>
        <v>1837.2680493044411</v>
      </c>
      <c r="W68" s="268">
        <f t="shared" si="12"/>
        <v>1832.6744869316565</v>
      </c>
      <c r="X68" s="268">
        <f t="shared" si="12"/>
        <v>1826.7838336216632</v>
      </c>
      <c r="Y68" s="268">
        <f t="shared" si="12"/>
        <v>1820.0486712064685</v>
      </c>
      <c r="Z68" s="268">
        <f t="shared" si="12"/>
        <v>1812.7991266236606</v>
      </c>
      <c r="AA68" s="268">
        <f t="shared" si="12"/>
        <v>1805.0234556611435</v>
      </c>
      <c r="AB68" s="268">
        <f t="shared" si="12"/>
        <v>1796.6512646573874</v>
      </c>
      <c r="AC68" s="268">
        <f t="shared" si="12"/>
        <v>1787.5815104217343</v>
      </c>
      <c r="AD68" s="268">
        <f t="shared" si="12"/>
        <v>1777.7433696263583</v>
      </c>
      <c r="AE68" s="268">
        <f t="shared" si="12"/>
        <v>1767.1139267354617</v>
      </c>
      <c r="AF68" s="268">
        <f t="shared" si="12"/>
        <v>1755.7236164450262</v>
      </c>
      <c r="AG68" s="268">
        <f t="shared" si="12"/>
        <v>1743.5585462114741</v>
      </c>
    </row>
    <row r="69" spans="2:33" s="17" customFormat="1">
      <c r="B69" s="331"/>
      <c r="E69" s="17" t="s">
        <v>256</v>
      </c>
      <c r="F69" s="268" t="e">
        <f t="shared" ref="F69:AG70" si="13">F42</f>
        <v>#REF!</v>
      </c>
      <c r="G69" s="268" t="e">
        <f t="shared" si="13"/>
        <v>#REF!</v>
      </c>
      <c r="H69" s="268" t="e">
        <f t="shared" si="13"/>
        <v>#REF!</v>
      </c>
      <c r="I69" s="268" t="e">
        <f t="shared" si="13"/>
        <v>#REF!</v>
      </c>
      <c r="J69" s="268" t="e">
        <f t="shared" si="13"/>
        <v>#REF!</v>
      </c>
      <c r="K69" s="268" t="e">
        <f t="shared" si="13"/>
        <v>#REF!</v>
      </c>
      <c r="L69" s="268" t="e">
        <f t="shared" si="13"/>
        <v>#REF!</v>
      </c>
      <c r="M69" s="268" t="e">
        <f t="shared" si="13"/>
        <v>#REF!</v>
      </c>
      <c r="N69" s="268" t="e">
        <f t="shared" si="13"/>
        <v>#REF!</v>
      </c>
      <c r="O69" s="268">
        <f t="shared" si="13"/>
        <v>630.86604693575634</v>
      </c>
      <c r="P69" s="268">
        <f t="shared" si="13"/>
        <v>115.75451601040309</v>
      </c>
      <c r="Q69" s="268">
        <f t="shared" si="13"/>
        <v>3059.3022595434772</v>
      </c>
      <c r="R69" s="268">
        <f t="shared" si="13"/>
        <v>2742.1995812776322</v>
      </c>
      <c r="S69" s="268">
        <f t="shared" si="13"/>
        <v>556.51580405536504</v>
      </c>
      <c r="T69" s="268">
        <f>T42</f>
        <v>1834.2052855724301</v>
      </c>
      <c r="U69" s="268" t="e">
        <f>U42</f>
        <v>#VALUE!</v>
      </c>
      <c r="V69" s="268">
        <f t="shared" si="13"/>
        <v>1725.7641080853718</v>
      </c>
      <c r="W69" s="268">
        <f t="shared" si="13"/>
        <v>1721.4493293712894</v>
      </c>
      <c r="X69" s="268">
        <f t="shared" si="13"/>
        <v>1715.9161802701501</v>
      </c>
      <c r="Y69" s="268">
        <f t="shared" si="13"/>
        <v>1709.5897753872757</v>
      </c>
      <c r="Z69" s="268">
        <f t="shared" si="13"/>
        <v>1702.7802062306625</v>
      </c>
      <c r="AA69" s="268">
        <f t="shared" si="13"/>
        <v>1695.4764413453622</v>
      </c>
      <c r="AB69" s="268">
        <f t="shared" si="13"/>
        <v>1687.6123592666545</v>
      </c>
      <c r="AC69" s="268">
        <f t="shared" si="13"/>
        <v>1679.0930491230033</v>
      </c>
      <c r="AD69" s="268">
        <f t="shared" si="13"/>
        <v>1669.8519858598731</v>
      </c>
      <c r="AE69" s="268">
        <f t="shared" si="13"/>
        <v>1659.8676446871207</v>
      </c>
      <c r="AF69" s="268">
        <f t="shared" si="13"/>
        <v>1649.1686132166551</v>
      </c>
      <c r="AG69" s="268">
        <f t="shared" si="13"/>
        <v>1637.7418420444521</v>
      </c>
    </row>
    <row r="70" spans="2:33" s="17" customFormat="1">
      <c r="B70" s="64"/>
      <c r="E70" s="17" t="s">
        <v>249</v>
      </c>
      <c r="F70" s="268" t="e">
        <f t="shared" si="13"/>
        <v>#REF!</v>
      </c>
      <c r="G70" s="268" t="e">
        <f t="shared" si="13"/>
        <v>#REF!</v>
      </c>
      <c r="H70" s="268" t="e">
        <f t="shared" si="13"/>
        <v>#REF!</v>
      </c>
      <c r="I70" s="268" t="e">
        <f t="shared" si="13"/>
        <v>#REF!</v>
      </c>
      <c r="J70" s="268" t="e">
        <f t="shared" si="13"/>
        <v>#REF!</v>
      </c>
      <c r="K70" s="268" t="e">
        <f t="shared" si="13"/>
        <v>#REF!</v>
      </c>
      <c r="L70" s="268" t="e">
        <f t="shared" si="13"/>
        <v>#REF!</v>
      </c>
      <c r="M70" s="268" t="e">
        <f t="shared" si="13"/>
        <v>#REF!</v>
      </c>
      <c r="N70" s="268" t="e">
        <f t="shared" si="13"/>
        <v>#REF!</v>
      </c>
      <c r="O70" s="268">
        <f t="shared" si="13"/>
        <v>288.76375909304295</v>
      </c>
      <c r="P70" s="268">
        <f t="shared" si="13"/>
        <v>52.983845520796741</v>
      </c>
      <c r="Q70" s="268">
        <f t="shared" si="13"/>
        <v>1400.3220255053232</v>
      </c>
      <c r="R70" s="268">
        <f t="shared" si="13"/>
        <v>1255.1759016343676</v>
      </c>
      <c r="S70" s="268">
        <f t="shared" si="13"/>
        <v>254.73172372213494</v>
      </c>
      <c r="T70" s="268">
        <f>T43</f>
        <v>839.56335228825492</v>
      </c>
      <c r="U70" s="268" t="e">
        <f>U43</f>
        <v>#VALUE!</v>
      </c>
      <c r="V70" s="268">
        <f t="shared" si="13"/>
        <v>789.92701157260444</v>
      </c>
      <c r="W70" s="268">
        <f t="shared" si="13"/>
        <v>787.95202539735385</v>
      </c>
      <c r="X70" s="268">
        <f t="shared" si="13"/>
        <v>785.41935948225512</v>
      </c>
      <c r="Y70" s="268">
        <f t="shared" si="13"/>
        <v>782.52359981283439</v>
      </c>
      <c r="Z70" s="268">
        <f t="shared" si="13"/>
        <v>779.406683318408</v>
      </c>
      <c r="AA70" s="268">
        <f t="shared" si="13"/>
        <v>776.06356061580698</v>
      </c>
      <c r="AB70" s="268">
        <f t="shared" si="13"/>
        <v>772.46396619494078</v>
      </c>
      <c r="AC70" s="268">
        <f t="shared" si="13"/>
        <v>768.56445688720532</v>
      </c>
      <c r="AD70" s="268">
        <f t="shared" si="13"/>
        <v>764.33458244897963</v>
      </c>
      <c r="AE70" s="268">
        <f t="shared" si="13"/>
        <v>759.76449042529998</v>
      </c>
      <c r="AF70" s="268">
        <f t="shared" si="13"/>
        <v>754.86726610791482</v>
      </c>
      <c r="AG70" s="268">
        <f t="shared" si="13"/>
        <v>749.63693644600266</v>
      </c>
    </row>
    <row r="71" spans="2:33" s="17" customFormat="1">
      <c r="B71" s="64"/>
      <c r="E71" s="17" t="s">
        <v>257</v>
      </c>
      <c r="F71" s="268" t="e">
        <f t="shared" ref="F71:AG72" si="14">F45+F59</f>
        <v>#REF!</v>
      </c>
      <c r="G71" s="268" t="e">
        <f t="shared" si="14"/>
        <v>#REF!</v>
      </c>
      <c r="H71" s="268" t="e">
        <f t="shared" si="14"/>
        <v>#REF!</v>
      </c>
      <c r="I71" s="268" t="e">
        <f t="shared" si="14"/>
        <v>#REF!</v>
      </c>
      <c r="J71" s="268" t="e">
        <f t="shared" si="14"/>
        <v>#REF!</v>
      </c>
      <c r="K71" s="268" t="e">
        <f t="shared" si="14"/>
        <v>#REF!</v>
      </c>
      <c r="L71" s="268" t="e">
        <f t="shared" si="14"/>
        <v>#REF!</v>
      </c>
      <c r="M71" s="268" t="e">
        <f t="shared" si="14"/>
        <v>#REF!</v>
      </c>
      <c r="N71" s="268" t="e">
        <f t="shared" si="14"/>
        <v>#REF!</v>
      </c>
      <c r="O71" s="268">
        <f t="shared" si="14"/>
        <v>106185.77576391681</v>
      </c>
      <c r="P71" s="268">
        <f t="shared" si="14"/>
        <v>14469.798186043201</v>
      </c>
      <c r="Q71" s="268">
        <f t="shared" si="14"/>
        <v>36934.998183115196</v>
      </c>
      <c r="R71" s="268">
        <f t="shared" si="14"/>
        <v>33564.396146735999</v>
      </c>
      <c r="S71" s="268">
        <f t="shared" si="14"/>
        <v>13703.215180095001</v>
      </c>
      <c r="T71" s="268">
        <f>T45+T59</f>
        <v>14152.333043640399</v>
      </c>
      <c r="U71" s="268" t="e">
        <f>U45+U59</f>
        <v>#VALUE!</v>
      </c>
      <c r="V71" s="268">
        <f t="shared" si="14"/>
        <v>11216.515532936932</v>
      </c>
      <c r="W71" s="268">
        <f t="shared" si="14"/>
        <v>11188.471849422514</v>
      </c>
      <c r="X71" s="268">
        <f t="shared" si="14"/>
        <v>11152.509429907461</v>
      </c>
      <c r="Y71" s="268">
        <f t="shared" si="14"/>
        <v>11111.391285020827</v>
      </c>
      <c r="Z71" s="268">
        <f t="shared" si="14"/>
        <v>11067.132838655001</v>
      </c>
      <c r="AA71" s="268">
        <f t="shared" si="14"/>
        <v>11019.662392432907</v>
      </c>
      <c r="AB71" s="268">
        <f t="shared" si="14"/>
        <v>10968.550193277266</v>
      </c>
      <c r="AC71" s="268">
        <f t="shared" si="14"/>
        <v>10913.179372834034</v>
      </c>
      <c r="AD71" s="268">
        <f t="shared" si="14"/>
        <v>10853.117554914579</v>
      </c>
      <c r="AE71" s="268">
        <f t="shared" si="14"/>
        <v>10788.224840246545</v>
      </c>
      <c r="AF71" s="268">
        <f t="shared" si="14"/>
        <v>10718.687032551032</v>
      </c>
      <c r="AG71" s="268">
        <f t="shared" si="14"/>
        <v>10644.419317894175</v>
      </c>
    </row>
    <row r="72" spans="2:33" s="17" customFormat="1">
      <c r="B72" s="64"/>
      <c r="E72" s="17" t="s">
        <v>250</v>
      </c>
      <c r="F72" s="268" t="e">
        <f t="shared" si="14"/>
        <v>#REF!</v>
      </c>
      <c r="G72" s="268" t="e">
        <f t="shared" si="14"/>
        <v>#REF!</v>
      </c>
      <c r="H72" s="268" t="e">
        <f t="shared" si="14"/>
        <v>#REF!</v>
      </c>
      <c r="I72" s="268" t="e">
        <f t="shared" si="14"/>
        <v>#REF!</v>
      </c>
      <c r="J72" s="268" t="e">
        <f t="shared" si="14"/>
        <v>#REF!</v>
      </c>
      <c r="K72" s="268" t="e">
        <f t="shared" si="14"/>
        <v>#REF!</v>
      </c>
      <c r="L72" s="268" t="e">
        <f t="shared" si="14"/>
        <v>#REF!</v>
      </c>
      <c r="M72" s="268" t="e">
        <f t="shared" si="14"/>
        <v>#REF!</v>
      </c>
      <c r="N72" s="268" t="e">
        <f t="shared" si="14"/>
        <v>#REF!</v>
      </c>
      <c r="O72" s="268">
        <f t="shared" si="14"/>
        <v>48603.984824883199</v>
      </c>
      <c r="P72" s="268">
        <f t="shared" si="14"/>
        <v>6623.2020851567986</v>
      </c>
      <c r="Q72" s="268">
        <f t="shared" si="14"/>
        <v>16906.107040084797</v>
      </c>
      <c r="R72" s="268">
        <f t="shared" si="14"/>
        <v>15363.295029263996</v>
      </c>
      <c r="S72" s="268">
        <f t="shared" si="14"/>
        <v>6272.3171524049994</v>
      </c>
      <c r="T72" s="268">
        <f>T46+T60</f>
        <v>6477.8900520453126</v>
      </c>
      <c r="U72" s="268" t="e">
        <f>U46+U60</f>
        <v>#VALUE!</v>
      </c>
      <c r="V72" s="268">
        <f t="shared" si="14"/>
        <v>5134.0902002072826</v>
      </c>
      <c r="W72" s="268">
        <f t="shared" si="14"/>
        <v>5121.2538785986426</v>
      </c>
      <c r="X72" s="268">
        <f t="shared" si="14"/>
        <v>5104.7929460509358</v>
      </c>
      <c r="Y72" s="268">
        <f t="shared" si="14"/>
        <v>5085.97210422236</v>
      </c>
      <c r="Z72" s="268">
        <f t="shared" si="14"/>
        <v>5065.7138649237168</v>
      </c>
      <c r="AA72" s="268">
        <f t="shared" si="14"/>
        <v>5043.9854099474223</v>
      </c>
      <c r="AB72" s="268">
        <f t="shared" si="14"/>
        <v>5020.5900301589809</v>
      </c>
      <c r="AC72" s="268">
        <f t="shared" si="14"/>
        <v>4995.2453689065387</v>
      </c>
      <c r="AD72" s="268">
        <f t="shared" si="14"/>
        <v>4967.7535163894709</v>
      </c>
      <c r="AE72" s="268">
        <f t="shared" si="14"/>
        <v>4938.0504370807794</v>
      </c>
      <c r="AF72" s="268">
        <f t="shared" si="14"/>
        <v>4906.2211781647566</v>
      </c>
      <c r="AG72" s="268">
        <f t="shared" si="14"/>
        <v>4872.2269181031634</v>
      </c>
    </row>
    <row r="73" spans="2:33" s="17" customFormat="1">
      <c r="B73" s="64"/>
      <c r="E73" s="17" t="s">
        <v>243</v>
      </c>
      <c r="F73" s="268" t="e">
        <f t="shared" ref="F73:AG73" si="15">F50+F51+F57</f>
        <v>#REF!</v>
      </c>
      <c r="G73" s="268" t="e">
        <f t="shared" si="15"/>
        <v>#REF!</v>
      </c>
      <c r="H73" s="268" t="e">
        <f t="shared" si="15"/>
        <v>#REF!</v>
      </c>
      <c r="I73" s="268" t="e">
        <f t="shared" si="15"/>
        <v>#REF!</v>
      </c>
      <c r="J73" s="268" t="e">
        <f t="shared" si="15"/>
        <v>#REF!</v>
      </c>
      <c r="K73" s="268" t="e">
        <f t="shared" si="15"/>
        <v>#REF!</v>
      </c>
      <c r="L73" s="268" t="e">
        <f t="shared" si="15"/>
        <v>#REF!</v>
      </c>
      <c r="M73" s="268" t="e">
        <f t="shared" si="15"/>
        <v>#REF!</v>
      </c>
      <c r="N73" s="268" t="e">
        <f t="shared" si="15"/>
        <v>#REF!</v>
      </c>
      <c r="O73" s="268">
        <f t="shared" si="15"/>
        <v>25960468.809600003</v>
      </c>
      <c r="P73" s="268">
        <f t="shared" si="15"/>
        <v>25946902.751600001</v>
      </c>
      <c r="Q73" s="268">
        <f t="shared" si="15"/>
        <v>25800982.937400002</v>
      </c>
      <c r="R73" s="268">
        <f t="shared" si="15"/>
        <v>25739507.284599997</v>
      </c>
      <c r="S73" s="268">
        <f t="shared" si="15"/>
        <v>25734644.955699999</v>
      </c>
      <c r="T73" s="268">
        <f>T50+T51+T57</f>
        <v>25707102.164999999</v>
      </c>
      <c r="U73" s="268" t="e">
        <f>U50+U51+U57</f>
        <v>#VALUE!</v>
      </c>
      <c r="V73" s="268">
        <f t="shared" si="15"/>
        <v>25631491.531015653</v>
      </c>
      <c r="W73" s="268">
        <f t="shared" si="15"/>
        <v>25567407.329965197</v>
      </c>
      <c r="X73" s="268">
        <f t="shared" si="15"/>
        <v>25485227.579174664</v>
      </c>
      <c r="Y73" s="268">
        <f t="shared" si="15"/>
        <v>25391266.189887766</v>
      </c>
      <c r="Z73" s="268">
        <f t="shared" si="15"/>
        <v>25290128.720780682</v>
      </c>
      <c r="AA73" s="268">
        <f t="shared" si="15"/>
        <v>25181651.329852786</v>
      </c>
      <c r="AB73" s="268">
        <f t="shared" si="15"/>
        <v>25064851.964136906</v>
      </c>
      <c r="AC73" s="268">
        <f t="shared" si="15"/>
        <v>24938320.98300568</v>
      </c>
      <c r="AD73" s="268">
        <f t="shared" si="15"/>
        <v>24801070.339272402</v>
      </c>
      <c r="AE73" s="268">
        <f t="shared" si="15"/>
        <v>24652780.34122853</v>
      </c>
      <c r="AF73" s="268">
        <f t="shared" si="15"/>
        <v>24493875.579424463</v>
      </c>
      <c r="AG73" s="268">
        <f t="shared" si="15"/>
        <v>24324162.240761906</v>
      </c>
    </row>
    <row r="74" spans="2:33" s="17" customFormat="1">
      <c r="B74" s="64"/>
      <c r="F74" s="268"/>
      <c r="G74" s="268"/>
      <c r="H74" s="268"/>
      <c r="I74" s="268"/>
      <c r="J74" s="268"/>
      <c r="K74" s="268"/>
      <c r="L74" s="268"/>
      <c r="M74" s="268"/>
      <c r="N74" s="268"/>
      <c r="O74" s="268"/>
      <c r="P74" s="268"/>
      <c r="Q74" s="268"/>
      <c r="R74" s="268"/>
      <c r="S74" s="268"/>
      <c r="T74" s="268"/>
      <c r="U74" s="268"/>
      <c r="V74" s="268"/>
      <c r="W74" s="268"/>
      <c r="X74" s="268"/>
      <c r="Y74" s="268"/>
      <c r="Z74" s="268"/>
      <c r="AA74" s="268"/>
      <c r="AB74" s="268"/>
      <c r="AC74" s="268"/>
      <c r="AD74" s="268"/>
      <c r="AE74" s="268"/>
      <c r="AF74" s="268"/>
      <c r="AG74" s="268"/>
    </row>
    <row r="75" spans="2:33" s="17" customFormat="1">
      <c r="B75" s="64"/>
      <c r="E75" s="86" t="s">
        <v>110</v>
      </c>
      <c r="F75" s="268" t="e">
        <f t="shared" ref="F75:AG75" si="16">IF(SUM(F67:F73)=F14, "Correct","Wrong")</f>
        <v>#REF!</v>
      </c>
      <c r="G75" s="268" t="e">
        <f t="shared" si="16"/>
        <v>#REF!</v>
      </c>
      <c r="H75" s="268" t="e">
        <f t="shared" si="16"/>
        <v>#REF!</v>
      </c>
      <c r="I75" s="268" t="e">
        <f t="shared" si="16"/>
        <v>#REF!</v>
      </c>
      <c r="J75" s="268" t="e">
        <f t="shared" si="16"/>
        <v>#REF!</v>
      </c>
      <c r="K75" s="268" t="e">
        <f t="shared" si="16"/>
        <v>#REF!</v>
      </c>
      <c r="L75" s="268" t="e">
        <f t="shared" si="16"/>
        <v>#REF!</v>
      </c>
      <c r="M75" s="268" t="e">
        <f t="shared" si="16"/>
        <v>#REF!</v>
      </c>
      <c r="N75" s="268" t="e">
        <f t="shared" si="16"/>
        <v>#REF!</v>
      </c>
      <c r="O75" s="268" t="str">
        <f t="shared" si="16"/>
        <v>Correct</v>
      </c>
      <c r="P75" s="268" t="str">
        <f t="shared" si="16"/>
        <v>Correct</v>
      </c>
      <c r="Q75" s="268" t="str">
        <f t="shared" si="16"/>
        <v>Correct</v>
      </c>
      <c r="R75" s="268" t="str">
        <f t="shared" si="16"/>
        <v>Correct</v>
      </c>
      <c r="S75" s="268" t="str">
        <f t="shared" si="16"/>
        <v>Correct</v>
      </c>
      <c r="T75" s="268" t="str">
        <f t="shared" si="16"/>
        <v>Correct</v>
      </c>
      <c r="U75" s="268" t="e">
        <f t="shared" si="16"/>
        <v>#VALUE!</v>
      </c>
      <c r="V75" s="268" t="str">
        <f t="shared" si="16"/>
        <v>Correct</v>
      </c>
      <c r="W75" s="268" t="str">
        <f t="shared" si="16"/>
        <v>Correct</v>
      </c>
      <c r="X75" s="268" t="str">
        <f t="shared" si="16"/>
        <v>Correct</v>
      </c>
      <c r="Y75" s="268" t="str">
        <f t="shared" si="16"/>
        <v>Correct</v>
      </c>
      <c r="Z75" s="268" t="str">
        <f t="shared" si="16"/>
        <v>Correct</v>
      </c>
      <c r="AA75" s="268" t="str">
        <f t="shared" si="16"/>
        <v>Correct</v>
      </c>
      <c r="AB75" s="268" t="str">
        <f t="shared" si="16"/>
        <v>Correct</v>
      </c>
      <c r="AC75" s="268" t="str">
        <f t="shared" si="16"/>
        <v>Correct</v>
      </c>
      <c r="AD75" s="268" t="str">
        <f t="shared" si="16"/>
        <v>Correct</v>
      </c>
      <c r="AE75" s="268" t="str">
        <f t="shared" si="16"/>
        <v>Correct</v>
      </c>
      <c r="AF75" s="268" t="str">
        <f t="shared" si="16"/>
        <v>Correct</v>
      </c>
      <c r="AG75" s="268" t="str">
        <f t="shared" si="16"/>
        <v>Correct</v>
      </c>
    </row>
    <row r="76" spans="2:33" s="17" customFormat="1">
      <c r="B76" s="64"/>
      <c r="F76" s="86"/>
      <c r="G76" s="86"/>
      <c r="H76" s="86"/>
      <c r="I76" s="86"/>
      <c r="J76" s="86"/>
      <c r="K76" s="86"/>
      <c r="L76" s="86"/>
      <c r="M76" s="86"/>
      <c r="N76" s="86"/>
      <c r="O76" s="86"/>
      <c r="P76" s="86"/>
      <c r="Q76" s="86"/>
      <c r="R76" s="86"/>
      <c r="S76" s="86"/>
      <c r="T76" s="86"/>
      <c r="U76" s="86"/>
      <c r="V76" s="86"/>
      <c r="W76" s="86"/>
      <c r="X76" s="86"/>
      <c r="Y76" s="86"/>
      <c r="Z76" s="86"/>
      <c r="AA76" s="86"/>
      <c r="AB76" s="86"/>
      <c r="AC76" s="86"/>
      <c r="AD76" s="86"/>
      <c r="AE76" s="86"/>
      <c r="AF76" s="86"/>
      <c r="AG76" s="86"/>
    </row>
    <row r="77" spans="2:33" s="17" customFormat="1">
      <c r="B77" s="64"/>
      <c r="E77" s="176" t="s">
        <v>218</v>
      </c>
      <c r="F77" s="176"/>
      <c r="G77" s="176"/>
      <c r="H77" s="176"/>
      <c r="I77" s="176"/>
      <c r="J77" s="176"/>
      <c r="K77" s="176"/>
      <c r="L77" s="176"/>
      <c r="M77" s="176"/>
      <c r="N77" s="176"/>
      <c r="O77" s="176"/>
      <c r="P77" s="176"/>
      <c r="Q77" s="176"/>
      <c r="R77" s="176"/>
      <c r="S77" s="176"/>
      <c r="T77" s="176"/>
      <c r="U77" s="176"/>
      <c r="V77" s="176"/>
      <c r="W77" s="176"/>
      <c r="X77" s="176"/>
      <c r="Y77" s="176"/>
      <c r="Z77" s="176"/>
      <c r="AA77" s="176"/>
      <c r="AB77" s="176"/>
      <c r="AC77" s="176"/>
      <c r="AD77" s="176"/>
      <c r="AE77" s="176"/>
      <c r="AF77" s="176"/>
      <c r="AG77" s="176"/>
    </row>
    <row r="78" spans="2:33" s="64" customFormat="1">
      <c r="E78" s="320"/>
      <c r="F78" s="320"/>
      <c r="G78" s="320"/>
      <c r="H78" s="320"/>
      <c r="I78" s="320"/>
      <c r="J78" s="320"/>
      <c r="K78" s="320"/>
      <c r="L78" s="320"/>
      <c r="M78" s="320"/>
      <c r="N78" s="320"/>
      <c r="O78" s="320"/>
      <c r="P78" s="320"/>
      <c r="Q78" s="320"/>
      <c r="R78" s="320"/>
      <c r="S78" s="320"/>
      <c r="T78" s="320"/>
      <c r="U78" s="320"/>
      <c r="V78" s="320"/>
      <c r="W78" s="320"/>
      <c r="X78" s="320"/>
      <c r="Y78" s="320"/>
      <c r="Z78" s="320"/>
      <c r="AA78" s="320"/>
      <c r="AB78" s="320"/>
      <c r="AC78" s="320"/>
      <c r="AD78" s="320"/>
      <c r="AE78" s="320"/>
      <c r="AF78" s="320"/>
      <c r="AG78" s="320"/>
    </row>
    <row r="79" spans="2:33" s="64" customFormat="1">
      <c r="E79" s="64" t="s">
        <v>219</v>
      </c>
      <c r="F79" s="366" t="e">
        <f t="shared" ref="F79:AG79" si="17">F67</f>
        <v>#REF!</v>
      </c>
      <c r="G79" s="366" t="e">
        <f t="shared" si="17"/>
        <v>#REF!</v>
      </c>
      <c r="H79" s="366" t="e">
        <f t="shared" si="17"/>
        <v>#REF!</v>
      </c>
      <c r="I79" s="366" t="e">
        <f t="shared" si="17"/>
        <v>#REF!</v>
      </c>
      <c r="J79" s="366" t="e">
        <f t="shared" si="17"/>
        <v>#REF!</v>
      </c>
      <c r="K79" s="366" t="e">
        <f t="shared" si="17"/>
        <v>#REF!</v>
      </c>
      <c r="L79" s="366" t="e">
        <f t="shared" si="17"/>
        <v>#REF!</v>
      </c>
      <c r="M79" s="366" t="e">
        <f t="shared" si="17"/>
        <v>#REF!</v>
      </c>
      <c r="N79" s="366" t="e">
        <f t="shared" si="17"/>
        <v>#REF!</v>
      </c>
      <c r="O79" s="366">
        <f t="shared" si="17"/>
        <v>7894.3508035474433</v>
      </c>
      <c r="P79" s="366">
        <f t="shared" si="17"/>
        <v>1448.4957003463967</v>
      </c>
      <c r="Q79" s="366">
        <f t="shared" si="17"/>
        <v>808.33650094132315</v>
      </c>
      <c r="R79" s="366">
        <f t="shared" si="17"/>
        <v>851.771036386368</v>
      </c>
      <c r="S79" s="366">
        <f t="shared" si="17"/>
        <v>1643.1514056496351</v>
      </c>
      <c r="T79" s="366">
        <f t="shared" si="17"/>
        <v>1666.1864807871693</v>
      </c>
      <c r="U79" s="366" t="e">
        <f t="shared" si="17"/>
        <v>#VALUE!</v>
      </c>
      <c r="V79" s="366">
        <f t="shared" si="17"/>
        <v>4013.9040822383658</v>
      </c>
      <c r="W79" s="366">
        <f t="shared" si="17"/>
        <v>4003.8684650799892</v>
      </c>
      <c r="X79" s="366">
        <f t="shared" si="17"/>
        <v>3990.9990760014693</v>
      </c>
      <c r="Y79" s="366">
        <f t="shared" si="17"/>
        <v>3976.2846765848335</v>
      </c>
      <c r="Z79" s="366">
        <f t="shared" si="17"/>
        <v>3960.4464995663425</v>
      </c>
      <c r="AA79" s="366">
        <f t="shared" si="17"/>
        <v>3943.4588872087411</v>
      </c>
      <c r="AB79" s="366">
        <f t="shared" si="17"/>
        <v>3925.1680495381152</v>
      </c>
      <c r="AC79" s="366">
        <f t="shared" si="17"/>
        <v>3905.3532361442994</v>
      </c>
      <c r="AD79" s="366">
        <f t="shared" si="17"/>
        <v>3883.8597183556753</v>
      </c>
      <c r="AE79" s="366">
        <f t="shared" si="17"/>
        <v>3860.6374322946722</v>
      </c>
      <c r="AF79" s="366">
        <f t="shared" si="17"/>
        <v>3835.7528690486888</v>
      </c>
      <c r="AG79" s="366">
        <f t="shared" si="17"/>
        <v>3809.1756773919478</v>
      </c>
    </row>
    <row r="80" spans="2:33" s="64" customFormat="1">
      <c r="B80" s="92"/>
      <c r="E80" s="64" t="s">
        <v>220</v>
      </c>
      <c r="F80" s="366" t="e">
        <f t="shared" ref="F80:AG80" si="18">F69+F71</f>
        <v>#REF!</v>
      </c>
      <c r="G80" s="366" t="e">
        <f t="shared" si="18"/>
        <v>#REF!</v>
      </c>
      <c r="H80" s="366" t="e">
        <f t="shared" si="18"/>
        <v>#REF!</v>
      </c>
      <c r="I80" s="366" t="e">
        <f t="shared" si="18"/>
        <v>#REF!</v>
      </c>
      <c r="J80" s="366" t="e">
        <f t="shared" si="18"/>
        <v>#REF!</v>
      </c>
      <c r="K80" s="366" t="e">
        <f t="shared" si="18"/>
        <v>#REF!</v>
      </c>
      <c r="L80" s="366" t="e">
        <f t="shared" si="18"/>
        <v>#REF!</v>
      </c>
      <c r="M80" s="366" t="e">
        <f t="shared" si="18"/>
        <v>#REF!</v>
      </c>
      <c r="N80" s="366" t="e">
        <f t="shared" si="18"/>
        <v>#REF!</v>
      </c>
      <c r="O80" s="366">
        <f t="shared" si="18"/>
        <v>106816.64181085257</v>
      </c>
      <c r="P80" s="366">
        <f t="shared" si="18"/>
        <v>14585.552702053605</v>
      </c>
      <c r="Q80" s="366">
        <f t="shared" si="18"/>
        <v>39994.30044265867</v>
      </c>
      <c r="R80" s="366">
        <f t="shared" si="18"/>
        <v>36306.595728013628</v>
      </c>
      <c r="S80" s="366">
        <f t="shared" si="18"/>
        <v>14259.730984150367</v>
      </c>
      <c r="T80" s="366">
        <f t="shared" si="18"/>
        <v>15986.53832921283</v>
      </c>
      <c r="U80" s="366" t="e">
        <f t="shared" si="18"/>
        <v>#VALUE!</v>
      </c>
      <c r="V80" s="366">
        <f t="shared" si="18"/>
        <v>12942.279641022304</v>
      </c>
      <c r="W80" s="366">
        <f t="shared" si="18"/>
        <v>12909.921178793804</v>
      </c>
      <c r="X80" s="366">
        <f t="shared" si="18"/>
        <v>12868.425610177612</v>
      </c>
      <c r="Y80" s="366">
        <f t="shared" si="18"/>
        <v>12820.981060408103</v>
      </c>
      <c r="Z80" s="366">
        <f t="shared" si="18"/>
        <v>12769.913044885663</v>
      </c>
      <c r="AA80" s="366">
        <f t="shared" si="18"/>
        <v>12715.13883377827</v>
      </c>
      <c r="AB80" s="366">
        <f t="shared" si="18"/>
        <v>12656.162552543919</v>
      </c>
      <c r="AC80" s="366">
        <f t="shared" si="18"/>
        <v>12592.272421957037</v>
      </c>
      <c r="AD80" s="366">
        <f t="shared" si="18"/>
        <v>12522.969540774453</v>
      </c>
      <c r="AE80" s="366">
        <f t="shared" si="18"/>
        <v>12448.092484933666</v>
      </c>
      <c r="AF80" s="366">
        <f t="shared" si="18"/>
        <v>12367.855645767686</v>
      </c>
      <c r="AG80" s="366">
        <f t="shared" si="18"/>
        <v>12282.161159938627</v>
      </c>
    </row>
    <row r="81" spans="1:33" s="64" customFormat="1">
      <c r="E81" s="64" t="s">
        <v>258</v>
      </c>
      <c r="F81" s="366" t="e">
        <f t="shared" ref="F81:AG81" si="19">F68+F70+F72</f>
        <v>#REF!</v>
      </c>
      <c r="G81" s="366" t="e">
        <f t="shared" si="19"/>
        <v>#REF!</v>
      </c>
      <c r="H81" s="366" t="e">
        <f t="shared" si="19"/>
        <v>#REF!</v>
      </c>
      <c r="I81" s="366" t="e">
        <f t="shared" si="19"/>
        <v>#REF!</v>
      </c>
      <c r="J81" s="366" t="e">
        <f t="shared" si="19"/>
        <v>#REF!</v>
      </c>
      <c r="K81" s="366" t="e">
        <f t="shared" si="19"/>
        <v>#REF!</v>
      </c>
      <c r="L81" s="366" t="e">
        <f t="shared" si="19"/>
        <v>#REF!</v>
      </c>
      <c r="M81" s="366" t="e">
        <f t="shared" si="19"/>
        <v>#REF!</v>
      </c>
      <c r="N81" s="366" t="e">
        <f t="shared" si="19"/>
        <v>#REF!</v>
      </c>
      <c r="O81" s="366">
        <f t="shared" si="19"/>
        <v>52506.197785600001</v>
      </c>
      <c r="P81" s="366">
        <f t="shared" si="19"/>
        <v>7339.1999975999988</v>
      </c>
      <c r="Q81" s="366">
        <f t="shared" si="19"/>
        <v>18676.425656399995</v>
      </c>
      <c r="R81" s="366">
        <f t="shared" si="19"/>
        <v>17008.348635599996</v>
      </c>
      <c r="S81" s="366">
        <f t="shared" si="19"/>
        <v>7279.1619101999995</v>
      </c>
      <c r="T81" s="366">
        <f t="shared" si="19"/>
        <v>8080.1101899999976</v>
      </c>
      <c r="U81" s="366" t="e">
        <f t="shared" si="19"/>
        <v>#VALUE!</v>
      </c>
      <c r="V81" s="366">
        <f t="shared" si="19"/>
        <v>7761.2852610843283</v>
      </c>
      <c r="W81" s="366">
        <f t="shared" si="19"/>
        <v>7741.880390927653</v>
      </c>
      <c r="X81" s="366">
        <f t="shared" si="19"/>
        <v>7716.9961391548541</v>
      </c>
      <c r="Y81" s="366">
        <f t="shared" si="19"/>
        <v>7688.5443752416631</v>
      </c>
      <c r="Z81" s="366">
        <f t="shared" si="19"/>
        <v>7657.9196748657851</v>
      </c>
      <c r="AA81" s="366">
        <f t="shared" si="19"/>
        <v>7625.072426224373</v>
      </c>
      <c r="AB81" s="366">
        <f t="shared" si="19"/>
        <v>7589.7052610113096</v>
      </c>
      <c r="AC81" s="366">
        <f t="shared" si="19"/>
        <v>7551.3913362154781</v>
      </c>
      <c r="AD81" s="366">
        <f t="shared" si="19"/>
        <v>7509.8314684648085</v>
      </c>
      <c r="AE81" s="366">
        <f t="shared" si="19"/>
        <v>7464.9288542415416</v>
      </c>
      <c r="AF81" s="366">
        <f t="shared" si="19"/>
        <v>7416.812060717697</v>
      </c>
      <c r="AG81" s="366">
        <f t="shared" si="19"/>
        <v>7365.4224007606399</v>
      </c>
    </row>
    <row r="82" spans="1:33" s="64" customFormat="1">
      <c r="E82" s="64" t="s">
        <v>221</v>
      </c>
      <c r="F82" s="366" t="e">
        <f t="shared" ref="F82:AG82" si="20">F73</f>
        <v>#REF!</v>
      </c>
      <c r="G82" s="366" t="e">
        <f t="shared" si="20"/>
        <v>#REF!</v>
      </c>
      <c r="H82" s="366" t="e">
        <f t="shared" si="20"/>
        <v>#REF!</v>
      </c>
      <c r="I82" s="366" t="e">
        <f t="shared" si="20"/>
        <v>#REF!</v>
      </c>
      <c r="J82" s="366" t="e">
        <f t="shared" si="20"/>
        <v>#REF!</v>
      </c>
      <c r="K82" s="366" t="e">
        <f t="shared" si="20"/>
        <v>#REF!</v>
      </c>
      <c r="L82" s="366" t="e">
        <f t="shared" si="20"/>
        <v>#REF!</v>
      </c>
      <c r="M82" s="366" t="e">
        <f t="shared" si="20"/>
        <v>#REF!</v>
      </c>
      <c r="N82" s="366" t="e">
        <f t="shared" si="20"/>
        <v>#REF!</v>
      </c>
      <c r="O82" s="366">
        <f t="shared" si="20"/>
        <v>25960468.809600003</v>
      </c>
      <c r="P82" s="366">
        <f t="shared" si="20"/>
        <v>25946902.751600001</v>
      </c>
      <c r="Q82" s="366">
        <f t="shared" si="20"/>
        <v>25800982.937400002</v>
      </c>
      <c r="R82" s="366">
        <f t="shared" si="20"/>
        <v>25739507.284599997</v>
      </c>
      <c r="S82" s="366">
        <f t="shared" si="20"/>
        <v>25734644.955699999</v>
      </c>
      <c r="T82" s="366">
        <f t="shared" si="20"/>
        <v>25707102.164999999</v>
      </c>
      <c r="U82" s="366" t="e">
        <f t="shared" si="20"/>
        <v>#VALUE!</v>
      </c>
      <c r="V82" s="366">
        <f t="shared" si="20"/>
        <v>25631491.531015653</v>
      </c>
      <c r="W82" s="366">
        <f t="shared" si="20"/>
        <v>25567407.329965197</v>
      </c>
      <c r="X82" s="366">
        <f t="shared" si="20"/>
        <v>25485227.579174664</v>
      </c>
      <c r="Y82" s="366">
        <f t="shared" si="20"/>
        <v>25391266.189887766</v>
      </c>
      <c r="Z82" s="366">
        <f t="shared" si="20"/>
        <v>25290128.720780682</v>
      </c>
      <c r="AA82" s="366">
        <f t="shared" si="20"/>
        <v>25181651.329852786</v>
      </c>
      <c r="AB82" s="366">
        <f t="shared" si="20"/>
        <v>25064851.964136906</v>
      </c>
      <c r="AC82" s="366">
        <f t="shared" si="20"/>
        <v>24938320.98300568</v>
      </c>
      <c r="AD82" s="366">
        <f t="shared" si="20"/>
        <v>24801070.339272402</v>
      </c>
      <c r="AE82" s="366">
        <f t="shared" si="20"/>
        <v>24652780.34122853</v>
      </c>
      <c r="AF82" s="366">
        <f t="shared" si="20"/>
        <v>24493875.579424463</v>
      </c>
      <c r="AG82" s="366">
        <f t="shared" si="20"/>
        <v>24324162.240761906</v>
      </c>
    </row>
    <row r="83" spans="1:33">
      <c r="A83" s="17"/>
      <c r="B83" s="17"/>
      <c r="F83" s="268"/>
      <c r="G83" s="268"/>
      <c r="H83" s="268"/>
      <c r="I83" s="268"/>
      <c r="J83" s="268"/>
      <c r="K83" s="268"/>
      <c r="L83" s="268"/>
      <c r="M83" s="268"/>
      <c r="N83" s="268"/>
      <c r="O83" s="268"/>
      <c r="P83" s="268"/>
      <c r="Q83" s="268"/>
      <c r="R83" s="268"/>
      <c r="S83" s="268"/>
      <c r="T83" s="268"/>
      <c r="U83" s="268"/>
      <c r="V83" s="268"/>
      <c r="W83" s="268"/>
      <c r="X83" s="268"/>
      <c r="Y83" s="268"/>
      <c r="Z83" s="268"/>
      <c r="AA83" s="268"/>
      <c r="AB83" s="268"/>
      <c r="AC83" s="268"/>
      <c r="AD83" s="268"/>
      <c r="AE83" s="268"/>
      <c r="AF83" s="268"/>
      <c r="AG83" s="268"/>
    </row>
    <row r="84" spans="1:33" ht="19">
      <c r="A84" s="17"/>
      <c r="B84" s="17"/>
      <c r="E84" s="191" t="s">
        <v>222</v>
      </c>
      <c r="F84" s="369"/>
      <c r="G84" s="369"/>
      <c r="H84" s="369"/>
      <c r="I84" s="369"/>
      <c r="J84" s="369"/>
      <c r="K84" s="369"/>
      <c r="L84" s="369"/>
      <c r="M84" s="369"/>
      <c r="N84" s="369"/>
      <c r="O84" s="369"/>
      <c r="P84" s="369"/>
      <c r="Q84" s="369"/>
      <c r="R84" s="369"/>
      <c r="S84" s="369"/>
      <c r="T84" s="369"/>
      <c r="U84" s="369"/>
      <c r="V84" s="369"/>
      <c r="W84" s="369"/>
      <c r="X84" s="369"/>
      <c r="Y84" s="369"/>
      <c r="Z84" s="369"/>
      <c r="AA84" s="369"/>
      <c r="AB84" s="369"/>
      <c r="AC84" s="369"/>
      <c r="AD84" s="369"/>
      <c r="AE84" s="369"/>
      <c r="AF84" s="369"/>
      <c r="AG84" s="369"/>
    </row>
    <row r="85" spans="1:33">
      <c r="A85" s="17"/>
      <c r="B85" s="17"/>
      <c r="F85" s="366"/>
      <c r="G85" s="366"/>
      <c r="H85" s="366"/>
      <c r="I85" s="366"/>
      <c r="J85" s="366"/>
      <c r="K85" s="366"/>
      <c r="L85" s="366"/>
      <c r="M85" s="366"/>
      <c r="N85" s="366"/>
      <c r="O85" s="366"/>
      <c r="P85" s="366"/>
      <c r="Q85" s="366"/>
      <c r="R85" s="366"/>
      <c r="S85" s="366"/>
      <c r="T85" s="366"/>
      <c r="U85" s="366"/>
      <c r="V85" s="366"/>
      <c r="W85" s="366"/>
      <c r="X85" s="366"/>
      <c r="Y85" s="366"/>
      <c r="Z85" s="366"/>
      <c r="AA85" s="366"/>
      <c r="AB85" s="366"/>
      <c r="AC85" s="366"/>
      <c r="AD85" s="366"/>
      <c r="AE85" s="366"/>
      <c r="AF85" s="366"/>
      <c r="AG85" s="366"/>
    </row>
    <row r="86" spans="1:33">
      <c r="A86" s="17"/>
      <c r="B86" s="17"/>
      <c r="E86" s="17" t="s">
        <v>304</v>
      </c>
      <c r="F86" s="366" t="e">
        <f>IFERROR((F67+F68)*1, #N/A)</f>
        <v>#N/A</v>
      </c>
      <c r="G86" s="366" t="e">
        <f t="shared" ref="G86:AG86" si="21">IFERROR((G67+G68)*1, #N/A)</f>
        <v>#N/A</v>
      </c>
      <c r="H86" s="366" t="e">
        <f t="shared" si="21"/>
        <v>#N/A</v>
      </c>
      <c r="I86" s="366" t="e">
        <f t="shared" si="21"/>
        <v>#N/A</v>
      </c>
      <c r="J86" s="366" t="e">
        <f t="shared" si="21"/>
        <v>#N/A</v>
      </c>
      <c r="K86" s="366" t="e">
        <f t="shared" si="21"/>
        <v>#N/A</v>
      </c>
      <c r="L86" s="366" t="e">
        <f t="shared" si="21"/>
        <v>#N/A</v>
      </c>
      <c r="M86" s="366" t="e">
        <f t="shared" si="21"/>
        <v>#N/A</v>
      </c>
      <c r="N86" s="366" t="e">
        <f t="shared" si="21"/>
        <v>#N/A</v>
      </c>
      <c r="O86" s="366">
        <f t="shared" si="21"/>
        <v>11507.800005171199</v>
      </c>
      <c r="P86" s="366">
        <f t="shared" si="21"/>
        <v>2111.5097672687998</v>
      </c>
      <c r="Q86" s="366">
        <f t="shared" si="21"/>
        <v>1178.3330917511998</v>
      </c>
      <c r="R86" s="366">
        <f t="shared" si="21"/>
        <v>1241.648741088</v>
      </c>
      <c r="S86" s="366">
        <f t="shared" si="21"/>
        <v>2395.2644397224999</v>
      </c>
      <c r="T86" s="366">
        <f t="shared" si="21"/>
        <v>2428.8432664535994</v>
      </c>
      <c r="U86" s="366" t="e">
        <f t="shared" si="21"/>
        <v>#N/A</v>
      </c>
      <c r="V86" s="366">
        <f t="shared" si="21"/>
        <v>5851.1721315428067</v>
      </c>
      <c r="W86" s="366">
        <f t="shared" si="21"/>
        <v>5836.5429520116459</v>
      </c>
      <c r="X86" s="366">
        <f t="shared" si="21"/>
        <v>5817.7829096231326</v>
      </c>
      <c r="Y86" s="366">
        <f t="shared" si="21"/>
        <v>5796.333347791302</v>
      </c>
      <c r="Z86" s="366">
        <f t="shared" si="21"/>
        <v>5773.2456261900033</v>
      </c>
      <c r="AA86" s="366">
        <f t="shared" si="21"/>
        <v>5748.4823428698846</v>
      </c>
      <c r="AB86" s="366">
        <f t="shared" si="21"/>
        <v>5721.8193141955026</v>
      </c>
      <c r="AC86" s="366">
        <f t="shared" si="21"/>
        <v>5692.9347465660339</v>
      </c>
      <c r="AD86" s="366">
        <f t="shared" si="21"/>
        <v>5661.6030879820337</v>
      </c>
      <c r="AE86" s="366">
        <f t="shared" si="21"/>
        <v>5627.7513590301342</v>
      </c>
      <c r="AF86" s="366">
        <f t="shared" si="21"/>
        <v>5591.4764854937148</v>
      </c>
      <c r="AG86" s="366">
        <f t="shared" si="21"/>
        <v>5552.7342236034219</v>
      </c>
    </row>
    <row r="87" spans="1:33">
      <c r="A87" s="17"/>
      <c r="B87" s="17"/>
      <c r="E87" s="17" t="s">
        <v>303</v>
      </c>
      <c r="F87" s="366" t="e">
        <f>IFERROR((F67+F68)*2,#N/A)</f>
        <v>#N/A</v>
      </c>
      <c r="G87" s="366" t="e">
        <f t="shared" ref="G87:AG87" si="22">IFERROR((G67+G68)*2,#N/A)</f>
        <v>#N/A</v>
      </c>
      <c r="H87" s="366" t="e">
        <f t="shared" si="22"/>
        <v>#N/A</v>
      </c>
      <c r="I87" s="366" t="e">
        <f t="shared" si="22"/>
        <v>#N/A</v>
      </c>
      <c r="J87" s="366" t="e">
        <f t="shared" si="22"/>
        <v>#N/A</v>
      </c>
      <c r="K87" s="366" t="e">
        <f t="shared" si="22"/>
        <v>#N/A</v>
      </c>
      <c r="L87" s="366" t="e">
        <f t="shared" si="22"/>
        <v>#N/A</v>
      </c>
      <c r="M87" s="366" t="e">
        <f t="shared" si="22"/>
        <v>#N/A</v>
      </c>
      <c r="N87" s="366" t="e">
        <f t="shared" si="22"/>
        <v>#N/A</v>
      </c>
      <c r="O87" s="366">
        <f t="shared" si="22"/>
        <v>23015.600010342398</v>
      </c>
      <c r="P87" s="366">
        <f t="shared" si="22"/>
        <v>4223.0195345375996</v>
      </c>
      <c r="Q87" s="366">
        <f t="shared" si="22"/>
        <v>2356.6661835023997</v>
      </c>
      <c r="R87" s="366">
        <f t="shared" si="22"/>
        <v>2483.2974821759999</v>
      </c>
      <c r="S87" s="366">
        <f t="shared" si="22"/>
        <v>4790.5288794449998</v>
      </c>
      <c r="T87" s="366">
        <f t="shared" si="22"/>
        <v>4857.6865329071989</v>
      </c>
      <c r="U87" s="366" t="e">
        <f t="shared" si="22"/>
        <v>#N/A</v>
      </c>
      <c r="V87" s="366">
        <f t="shared" si="22"/>
        <v>11702.344263085613</v>
      </c>
      <c r="W87" s="366">
        <f t="shared" si="22"/>
        <v>11673.085904023292</v>
      </c>
      <c r="X87" s="366">
        <f t="shared" si="22"/>
        <v>11635.565819246265</v>
      </c>
      <c r="Y87" s="366">
        <f t="shared" si="22"/>
        <v>11592.666695582604</v>
      </c>
      <c r="Z87" s="366">
        <f t="shared" si="22"/>
        <v>11546.491252380007</v>
      </c>
      <c r="AA87" s="366">
        <f t="shared" si="22"/>
        <v>11496.964685739769</v>
      </c>
      <c r="AB87" s="366">
        <f t="shared" si="22"/>
        <v>11443.638628391005</v>
      </c>
      <c r="AC87" s="366">
        <f t="shared" si="22"/>
        <v>11385.869493132068</v>
      </c>
      <c r="AD87" s="366">
        <f t="shared" si="22"/>
        <v>11323.206175964067</v>
      </c>
      <c r="AE87" s="366">
        <f t="shared" si="22"/>
        <v>11255.502718060268</v>
      </c>
      <c r="AF87" s="366">
        <f t="shared" si="22"/>
        <v>11182.95297098743</v>
      </c>
      <c r="AG87" s="366">
        <f t="shared" si="22"/>
        <v>11105.468447206844</v>
      </c>
    </row>
    <row r="88" spans="1:33">
      <c r="E88" s="17" t="s">
        <v>305</v>
      </c>
      <c r="F88" s="86" t="e">
        <f>IFERROR((F67+F68)*3,#N/A)</f>
        <v>#N/A</v>
      </c>
      <c r="G88" s="86" t="e">
        <f t="shared" ref="G88:AG88" si="23">IFERROR((G67+G68)*3,#N/A)</f>
        <v>#N/A</v>
      </c>
      <c r="H88" s="86" t="e">
        <f t="shared" si="23"/>
        <v>#N/A</v>
      </c>
      <c r="I88" s="86" t="e">
        <f t="shared" si="23"/>
        <v>#N/A</v>
      </c>
      <c r="J88" s="86" t="e">
        <f t="shared" si="23"/>
        <v>#N/A</v>
      </c>
      <c r="K88" s="86" t="e">
        <f t="shared" si="23"/>
        <v>#N/A</v>
      </c>
      <c r="L88" s="86" t="e">
        <f t="shared" si="23"/>
        <v>#N/A</v>
      </c>
      <c r="M88" s="86" t="e">
        <f t="shared" si="23"/>
        <v>#N/A</v>
      </c>
      <c r="N88" s="86" t="e">
        <f t="shared" si="23"/>
        <v>#N/A</v>
      </c>
      <c r="O88" s="86">
        <f t="shared" si="23"/>
        <v>34523.400015513595</v>
      </c>
      <c r="P88" s="86">
        <f t="shared" si="23"/>
        <v>6334.5293018063994</v>
      </c>
      <c r="Q88" s="86">
        <f t="shared" si="23"/>
        <v>3534.9992752535995</v>
      </c>
      <c r="R88" s="86">
        <f t="shared" si="23"/>
        <v>3724.9462232639999</v>
      </c>
      <c r="S88" s="86">
        <f t="shared" si="23"/>
        <v>7185.7933191675002</v>
      </c>
      <c r="T88" s="268">
        <f t="shared" si="23"/>
        <v>7286.5297993607983</v>
      </c>
      <c r="U88" s="268" t="e">
        <f t="shared" si="23"/>
        <v>#N/A</v>
      </c>
      <c r="V88" s="268">
        <f t="shared" si="23"/>
        <v>17553.516394628419</v>
      </c>
      <c r="W88" s="268">
        <f t="shared" si="23"/>
        <v>17509.628856034939</v>
      </c>
      <c r="X88" s="268">
        <f t="shared" si="23"/>
        <v>17453.348728869398</v>
      </c>
      <c r="Y88" s="268">
        <f t="shared" si="23"/>
        <v>17389.000043373904</v>
      </c>
      <c r="Z88" s="268">
        <f t="shared" si="23"/>
        <v>17319.736878570009</v>
      </c>
      <c r="AA88" s="268">
        <f t="shared" si="23"/>
        <v>17245.447028609655</v>
      </c>
      <c r="AB88" s="268">
        <f t="shared" si="23"/>
        <v>17165.457942586509</v>
      </c>
      <c r="AC88" s="268">
        <f t="shared" si="23"/>
        <v>17078.804239698104</v>
      </c>
      <c r="AD88" s="268">
        <f t="shared" si="23"/>
        <v>16984.809263946103</v>
      </c>
      <c r="AE88" s="268">
        <f t="shared" si="23"/>
        <v>16883.254077090402</v>
      </c>
      <c r="AF88" s="268">
        <f t="shared" si="23"/>
        <v>16774.429456481143</v>
      </c>
      <c r="AG88" s="268">
        <f t="shared" si="23"/>
        <v>16658.202670810264</v>
      </c>
    </row>
    <row r="89" spans="1:33">
      <c r="A89" s="17"/>
      <c r="B89" s="17"/>
      <c r="F89" s="268"/>
      <c r="G89" s="268"/>
      <c r="H89" s="268"/>
      <c r="I89" s="268"/>
      <c r="J89" s="268"/>
      <c r="K89" s="268"/>
      <c r="L89" s="268"/>
      <c r="M89" s="268"/>
      <c r="N89" s="268"/>
      <c r="O89" s="268"/>
      <c r="P89" s="268"/>
      <c r="Q89" s="268"/>
      <c r="R89" s="268"/>
      <c r="S89" s="268"/>
      <c r="T89" s="268"/>
      <c r="U89" s="268"/>
      <c r="V89" s="268"/>
      <c r="W89" s="268"/>
      <c r="X89" s="268"/>
      <c r="Y89" s="268"/>
      <c r="Z89" s="268"/>
      <c r="AA89" s="268"/>
      <c r="AB89" s="268"/>
      <c r="AC89" s="268"/>
      <c r="AD89" s="268"/>
      <c r="AE89" s="268"/>
      <c r="AF89" s="268"/>
      <c r="AG89" s="268"/>
    </row>
    <row r="90" spans="1:33">
      <c r="A90" s="17"/>
      <c r="B90" s="17"/>
      <c r="E90" s="17" t="s">
        <v>224</v>
      </c>
      <c r="F90" s="268" t="e">
        <f t="shared" ref="F90:AG90" si="24">F33+F50</f>
        <v>#REF!</v>
      </c>
      <c r="G90" s="268" t="e">
        <f t="shared" si="24"/>
        <v>#REF!</v>
      </c>
      <c r="H90" s="268" t="e">
        <f t="shared" si="24"/>
        <v>#REF!</v>
      </c>
      <c r="I90" s="268" t="e">
        <f t="shared" si="24"/>
        <v>#REF!</v>
      </c>
      <c r="J90" s="268" t="e">
        <f t="shared" si="24"/>
        <v>#REF!</v>
      </c>
      <c r="K90" s="268" t="e">
        <f t="shared" si="24"/>
        <v>#REF!</v>
      </c>
      <c r="L90" s="268" t="e">
        <f t="shared" si="24"/>
        <v>#REF!</v>
      </c>
      <c r="M90" s="268" t="e">
        <f t="shared" si="24"/>
        <v>#REF!</v>
      </c>
      <c r="N90" s="268" t="e">
        <f t="shared" si="24"/>
        <v>#REF!</v>
      </c>
      <c r="O90" s="268">
        <f t="shared" si="24"/>
        <v>1941785.9079999998</v>
      </c>
      <c r="P90" s="268">
        <f t="shared" si="24"/>
        <v>2533609.0320000001</v>
      </c>
      <c r="Q90" s="268">
        <f t="shared" si="24"/>
        <v>2451285.8160000001</v>
      </c>
      <c r="R90" s="268">
        <f t="shared" si="24"/>
        <v>2494773.4400000004</v>
      </c>
      <c r="S90" s="268">
        <f t="shared" si="24"/>
        <v>3562791.0750000002</v>
      </c>
      <c r="T90" s="268">
        <f t="shared" si="24"/>
        <v>5102611.9043142851</v>
      </c>
      <c r="U90" s="268" t="e">
        <f t="shared" si="24"/>
        <v>#VALUE!</v>
      </c>
      <c r="V90" s="268">
        <f t="shared" si="24"/>
        <v>8684626.7464999985</v>
      </c>
      <c r="W90" s="268">
        <f t="shared" si="24"/>
        <v>8662913.3254999984</v>
      </c>
      <c r="X90" s="268">
        <f t="shared" si="24"/>
        <v>8635068.6539999992</v>
      </c>
      <c r="Y90" s="268">
        <f t="shared" si="24"/>
        <v>8603232.0520000011</v>
      </c>
      <c r="Z90" s="268">
        <f t="shared" si="24"/>
        <v>8568964.0044999998</v>
      </c>
      <c r="AA90" s="268">
        <f t="shared" si="24"/>
        <v>8532208.9975000005</v>
      </c>
      <c r="AB90" s="268">
        <f t="shared" si="24"/>
        <v>8492634.2855000012</v>
      </c>
      <c r="AC90" s="268">
        <f t="shared" si="24"/>
        <v>8449762.2449999992</v>
      </c>
      <c r="AD90" s="268">
        <f t="shared" si="24"/>
        <v>8403258.0994999986</v>
      </c>
      <c r="AE90" s="268">
        <f t="shared" si="24"/>
        <v>8353013.5290000001</v>
      </c>
      <c r="AF90" s="268">
        <f t="shared" si="24"/>
        <v>8299172.3959999997</v>
      </c>
      <c r="AG90" s="268">
        <f t="shared" si="24"/>
        <v>8241669.0314999996</v>
      </c>
    </row>
    <row r="91" spans="1:33">
      <c r="A91" s="17"/>
      <c r="B91" s="17"/>
      <c r="S91" s="86"/>
    </row>
    <row r="92" spans="1:33" ht="27" thickBot="1">
      <c r="A92" s="17"/>
      <c r="B92" s="17"/>
      <c r="E92" s="20" t="s">
        <v>27</v>
      </c>
      <c r="F92" s="370"/>
      <c r="G92" s="370"/>
      <c r="H92" s="370"/>
      <c r="I92" s="370"/>
      <c r="J92" s="370"/>
      <c r="K92" s="370"/>
      <c r="L92" s="370"/>
      <c r="M92" s="370"/>
      <c r="N92" s="370"/>
      <c r="O92" s="370"/>
      <c r="P92" s="370"/>
      <c r="Q92" s="370"/>
      <c r="R92" s="370"/>
      <c r="S92" s="370"/>
      <c r="T92" s="370"/>
      <c r="U92" s="119"/>
      <c r="V92" s="119"/>
      <c r="W92" s="119"/>
      <c r="X92" s="119"/>
      <c r="Y92" s="119"/>
      <c r="Z92" s="119"/>
      <c r="AA92" s="119"/>
      <c r="AB92" s="119"/>
      <c r="AC92" s="119"/>
      <c r="AD92" s="119"/>
      <c r="AE92" s="119"/>
      <c r="AF92" s="119"/>
      <c r="AG92" s="119"/>
    </row>
    <row r="93" spans="1:33">
      <c r="A93" s="17"/>
      <c r="B93" s="17"/>
      <c r="E93" s="60"/>
      <c r="F93" s="370"/>
      <c r="G93" s="370"/>
      <c r="H93" s="370"/>
      <c r="I93" s="370"/>
      <c r="J93" s="370"/>
      <c r="K93" s="370"/>
      <c r="L93" s="370"/>
      <c r="M93" s="370"/>
      <c r="N93" s="370"/>
      <c r="O93" s="370"/>
      <c r="P93" s="370"/>
      <c r="Q93" s="370"/>
      <c r="R93" s="370"/>
      <c r="S93" s="370"/>
      <c r="T93" s="370"/>
      <c r="U93" s="119"/>
      <c r="V93" s="119"/>
      <c r="W93" s="119"/>
      <c r="X93" s="119"/>
      <c r="Y93" s="119"/>
      <c r="Z93" s="119"/>
      <c r="AA93" s="119"/>
      <c r="AB93" s="119"/>
      <c r="AC93" s="119"/>
      <c r="AD93" s="119"/>
      <c r="AE93" s="119"/>
      <c r="AF93" s="119"/>
      <c r="AG93" s="119"/>
    </row>
    <row r="94" spans="1:33" ht="19">
      <c r="A94" s="17"/>
      <c r="B94" s="17"/>
      <c r="E94" s="163" t="s">
        <v>192</v>
      </c>
      <c r="F94" s="371"/>
      <c r="G94" s="371"/>
      <c r="H94" s="371"/>
      <c r="I94" s="371"/>
      <c r="J94" s="371"/>
      <c r="K94" s="371"/>
      <c r="L94" s="371"/>
      <c r="M94" s="371"/>
      <c r="N94" s="371"/>
      <c r="O94" s="371"/>
      <c r="P94" s="371"/>
      <c r="Q94" s="371"/>
      <c r="R94" s="371"/>
      <c r="S94" s="371"/>
      <c r="T94" s="371"/>
      <c r="U94" s="161"/>
      <c r="V94" s="161"/>
      <c r="W94" s="161"/>
      <c r="X94" s="161"/>
      <c r="Y94" s="161"/>
      <c r="Z94" s="161"/>
      <c r="AA94" s="161"/>
      <c r="AB94" s="161"/>
      <c r="AC94" s="161"/>
      <c r="AD94" s="161"/>
      <c r="AE94" s="161"/>
      <c r="AF94" s="161"/>
      <c r="AG94" s="161"/>
    </row>
    <row r="95" spans="1:33">
      <c r="A95" s="17"/>
      <c r="B95" s="17"/>
      <c r="E95" s="162" t="s">
        <v>264</v>
      </c>
      <c r="F95" s="370" t="e">
        <f t="shared" ref="F95:S95" si="25">(F67)-(SUM(F96:F99))</f>
        <v>#REF!</v>
      </c>
      <c r="G95" s="370" t="e">
        <f t="shared" si="25"/>
        <v>#REF!</v>
      </c>
      <c r="H95" s="370" t="e">
        <f t="shared" si="25"/>
        <v>#REF!</v>
      </c>
      <c r="I95" s="370" t="e">
        <f t="shared" si="25"/>
        <v>#REF!</v>
      </c>
      <c r="J95" s="370" t="e">
        <f t="shared" si="25"/>
        <v>#REF!</v>
      </c>
      <c r="K95" s="370" t="e">
        <f t="shared" si="25"/>
        <v>#REF!</v>
      </c>
      <c r="L95" s="370" t="e">
        <f t="shared" si="25"/>
        <v>#REF!</v>
      </c>
      <c r="M95" s="370" t="e">
        <f t="shared" si="25"/>
        <v>#REF!</v>
      </c>
      <c r="N95" s="370" t="e">
        <f t="shared" si="25"/>
        <v>#REF!</v>
      </c>
      <c r="O95" s="370">
        <f t="shared" si="25"/>
        <v>7455.0623985447373</v>
      </c>
      <c r="P95" s="370">
        <f t="shared" si="25"/>
        <v>1367.8928260007935</v>
      </c>
      <c r="Q95" s="370">
        <f t="shared" si="25"/>
        <v>763.35587352299058</v>
      </c>
      <c r="R95" s="370">
        <f t="shared" si="25"/>
        <v>804.37345432888844</v>
      </c>
      <c r="S95" s="370">
        <f t="shared" si="25"/>
        <v>1551.7167357029407</v>
      </c>
      <c r="T95" s="370">
        <f>(T67)-(SUM(T96:T99))</f>
        <v>1573.4700029162896</v>
      </c>
      <c r="U95" s="119" t="e">
        <f>(U67)-(SUM(U96:U99))</f>
        <v>#VALUE!</v>
      </c>
      <c r="V95" s="119">
        <f t="shared" ref="V95:AE95" si="26">(V67)-(SUM(V96:V99))</f>
        <v>3790.5467009920199</v>
      </c>
      <c r="W95" s="119">
        <f t="shared" si="26"/>
        <v>3781.0695249726841</v>
      </c>
      <c r="X95" s="119">
        <f t="shared" si="26"/>
        <v>3768.9162648758056</v>
      </c>
      <c r="Y95" s="119">
        <f t="shared" si="26"/>
        <v>3755.0206617365534</v>
      </c>
      <c r="Z95" s="119">
        <f t="shared" si="26"/>
        <v>3740.0638146328006</v>
      </c>
      <c r="AA95" s="119">
        <f t="shared" si="26"/>
        <v>3724.0214935756594</v>
      </c>
      <c r="AB95" s="119">
        <f t="shared" si="26"/>
        <v>3706.7484663756404</v>
      </c>
      <c r="AC95" s="119">
        <f t="shared" si="26"/>
        <v>3688.0362664820104</v>
      </c>
      <c r="AD95" s="119">
        <f t="shared" si="26"/>
        <v>3667.7387752422724</v>
      </c>
      <c r="AE95" s="119">
        <f t="shared" si="26"/>
        <v>3645.8087146293287</v>
      </c>
      <c r="AF95" s="119">
        <f>(AF67)-(SUM(AF96:AF99))</f>
        <v>3622.3088757729183</v>
      </c>
      <c r="AG95" s="119">
        <f>(AG67)-(SUM(AG96:AG99))</f>
        <v>3597.2105963691133</v>
      </c>
    </row>
    <row r="96" spans="1:33">
      <c r="A96" s="17"/>
      <c r="B96" s="17"/>
      <c r="E96" s="162" t="s">
        <v>265</v>
      </c>
      <c r="F96" s="370" t="e">
        <f>((EXP(-2.5855+0.1129*'Data (Calculations)'!#REF!))*'Data (Calculations)'!$E$89)*F79</f>
        <v>#REF!</v>
      </c>
      <c r="G96" s="370" t="e">
        <f>((EXP(-2.5855+0.1129*'Data (Calculations)'!#REF!))*'Data (Calculations)'!$E$89)*G79</f>
        <v>#REF!</v>
      </c>
      <c r="H96" s="370" t="e">
        <f>((EXP(-2.5855+0.1129*'Data (Calculations)'!#REF!))*'Data (Calculations)'!$E$89)*H79</f>
        <v>#REF!</v>
      </c>
      <c r="I96" s="370" t="e">
        <f>((EXP(-2.5855+0.1129*'Data (Calculations)'!#REF!))*'Data (Calculations)'!$E$89)*I79</f>
        <v>#REF!</v>
      </c>
      <c r="J96" s="370" t="e">
        <f>((EXP(-2.5855+0.1129*'Data (Calculations)'!#REF!))*'Data (Calculations)'!$E$89)*J79</f>
        <v>#REF!</v>
      </c>
      <c r="K96" s="370" t="e">
        <f>((EXP(-2.5855+0.1129*'Data (Calculations)'!#REF!))*'Data (Calculations)'!$E$89)*K79</f>
        <v>#REF!</v>
      </c>
      <c r="L96" s="370" t="e">
        <f>((EXP(-2.5855+0.1129*'Data (Calculations)'!#REF!))*'Data (Calculations)'!$E$89)*L79</f>
        <v>#REF!</v>
      </c>
      <c r="M96" s="370" t="e">
        <f>((EXP(-2.5855+0.1129*'Data (Calculations)'!#REF!))*'Data (Calculations)'!$E$89)*M79</f>
        <v>#REF!</v>
      </c>
      <c r="N96" s="370" t="e">
        <f>((EXP(-2.5855+0.1129*'Data (Calculations)'!#REF!))*'Data (Calculations)'!$E$89)*N79</f>
        <v>#REF!</v>
      </c>
      <c r="O96" s="370">
        <f>((EXP(-2.5855+0.1129*'Data (Calculations)'!H27))*'Data (Calculations)'!$E$89)*O79</f>
        <v>202.74849461663365</v>
      </c>
      <c r="P96" s="370">
        <f>((EXP(-2.5855+0.1129*'Data (Calculations)'!I27))*'Data (Calculations)'!$E$89)*P79</f>
        <v>37.201326621047649</v>
      </c>
      <c r="Q96" s="370">
        <f>((EXP(-2.5855+0.1129*'Data (Calculations)'!J27))*'Data (Calculations)'!$E$89)*Q79</f>
        <v>20.760289577691985</v>
      </c>
      <c r="R96" s="370">
        <f>((EXP(-2.5855+0.1129*'Data (Calculations)'!K27))*'Data (Calculations)'!$E$89)*R79</f>
        <v>21.875807103452107</v>
      </c>
      <c r="S96" s="370">
        <f>((EXP(-2.5855+0.1129*'Data (Calculations)'!L27))*'Data (Calculations)'!$E$89)*S79</f>
        <v>42.200616898474387</v>
      </c>
      <c r="T96" s="370">
        <f>((EXP(-2.5855+0.1129*'Data (Calculations)'!M27))*'Data (Calculations)'!$E$89)*T79</f>
        <v>42.792220555790628</v>
      </c>
      <c r="U96" s="370" t="e">
        <f>((EXP(-2.5855+0.1129*'Data (Calculations)'!N27))*'Data (Calculations)'!$E$89)*U79</f>
        <v>#VALUE!</v>
      </c>
      <c r="V96" s="370">
        <f>((EXP(-2.5855+0.1129*'Data (Calculations)'!O27))*'Data (Calculations)'!$E$89)*V79</f>
        <v>103.0880221136981</v>
      </c>
      <c r="W96" s="370">
        <f>((EXP(-2.5855+0.1129*'Data (Calculations)'!P27))*'Data (Calculations)'!$E$89)*W79</f>
        <v>102.8302800495254</v>
      </c>
      <c r="X96" s="370">
        <f>((EXP(-2.5855+0.1129*'Data (Calculations)'!Q27))*'Data (Calculations)'!$E$89)*X79</f>
        <v>102.49975898107564</v>
      </c>
      <c r="Y96" s="370">
        <f>((EXP(-2.5855+0.1129*'Data (Calculations)'!R27))*'Data (Calculations)'!$E$89)*Y79</f>
        <v>102.12185300689849</v>
      </c>
      <c r="Z96" s="370">
        <f>((EXP(-2.5855+0.1129*'Data (Calculations)'!S27))*'Data (Calculations)'!$E$89)*Z79</f>
        <v>101.71508535394243</v>
      </c>
      <c r="AA96" s="370">
        <f>((EXP(-2.5855+0.1129*'Data (Calculations)'!T27))*'Data (Calculations)'!$E$89)*AA79</f>
        <v>101.2787970614223</v>
      </c>
      <c r="AB96" s="370">
        <f>((EXP(-2.5855+0.1129*'Data (Calculations)'!U27))*'Data (Calculations)'!$E$89)*AB79</f>
        <v>100.80903838268077</v>
      </c>
      <c r="AC96" s="370">
        <f>((EXP(-2.5855+0.1129*'Data (Calculations)'!V27))*'Data (Calculations)'!$E$89)*AC79</f>
        <v>100.30013984413338</v>
      </c>
      <c r="AD96" s="370">
        <f>((EXP(-2.5855+0.1129*'Data (Calculations)'!W27))*'Data (Calculations)'!$E$89)*AD79</f>
        <v>99.748127590801403</v>
      </c>
      <c r="AE96" s="370">
        <f>((EXP(-2.5855+0.1129*'Data (Calculations)'!X27))*'Data (Calculations)'!$E$89)*AE79</f>
        <v>99.151715845543066</v>
      </c>
      <c r="AF96" s="370">
        <f>((EXP(-2.5855+0.1129*'Data (Calculations)'!Y27))*'Data (Calculations)'!$E$89)*AF79</f>
        <v>98.512612281124788</v>
      </c>
      <c r="AG96" s="370">
        <f>((EXP(-2.5855+0.1129*'Data (Calculations)'!Z27))*'Data (Calculations)'!$E$89)*AG79</f>
        <v>97.830037395154349</v>
      </c>
    </row>
    <row r="97" spans="1:33">
      <c r="A97" s="17"/>
      <c r="B97" s="17"/>
      <c r="D97" s="64"/>
      <c r="E97" s="162" t="s">
        <v>266</v>
      </c>
      <c r="F97" s="370" t="e">
        <f>((EXP(-2.5855+0.1129*'Data (Calculations)'!#REF!))*'Data (Calculations)'!$E$90)*F79</f>
        <v>#REF!</v>
      </c>
      <c r="G97" s="370" t="e">
        <f>((EXP(-2.5855+0.1129*'Data (Calculations)'!#REF!))*'Data (Calculations)'!$E$90)*G79</f>
        <v>#REF!</v>
      </c>
      <c r="H97" s="370" t="e">
        <f>((EXP(-2.5855+0.1129*'Data (Calculations)'!#REF!))*'Data (Calculations)'!$E$90)*H79</f>
        <v>#REF!</v>
      </c>
      <c r="I97" s="370" t="e">
        <f>((EXP(-2.5855+0.1129*'Data (Calculations)'!#REF!))*'Data (Calculations)'!$E$90)*I79</f>
        <v>#REF!</v>
      </c>
      <c r="J97" s="370" t="e">
        <f>((EXP(-2.5855+0.1129*'Data (Calculations)'!#REF!))*'Data (Calculations)'!$E$90)*J79</f>
        <v>#REF!</v>
      </c>
      <c r="K97" s="370" t="e">
        <f>((EXP(-2.5855+0.1129*'Data (Calculations)'!#REF!))*'Data (Calculations)'!$E$90)*K79</f>
        <v>#REF!</v>
      </c>
      <c r="L97" s="370" t="e">
        <f>((EXP(-2.5855+0.1129*'Data (Calculations)'!#REF!))*'Data (Calculations)'!$E$90)*L79</f>
        <v>#REF!</v>
      </c>
      <c r="M97" s="370" t="e">
        <f>((EXP(-2.5855+0.1129*'Data (Calculations)'!#REF!))*'Data (Calculations)'!$E$90)*M79</f>
        <v>#REF!</v>
      </c>
      <c r="N97" s="370" t="e">
        <f>((EXP(-2.5855+0.1129*'Data (Calculations)'!#REF!))*'Data (Calculations)'!$E$90)*N79</f>
        <v>#REF!</v>
      </c>
      <c r="O97" s="370">
        <f>((EXP(-2.5855+0.1129*'Data (Calculations)'!H27))*'Data (Calculations)'!$E$90)*O79</f>
        <v>96.546902198396936</v>
      </c>
      <c r="P97" s="370">
        <f>((EXP(-2.5855+0.1129*'Data (Calculations)'!I27))*'Data (Calculations)'!$E$90)*P79</f>
        <v>17.71491743859411</v>
      </c>
      <c r="Q97" s="370">
        <f>((EXP(-2.5855+0.1129*'Data (Calculations)'!J27))*'Data (Calculations)'!$E$90)*Q79</f>
        <v>9.8858521798533214</v>
      </c>
      <c r="R97" s="370">
        <f>((EXP(-2.5855+0.1129*'Data (Calculations)'!K27))*'Data (Calculations)'!$E$90)*R79</f>
        <v>10.417051001643856</v>
      </c>
      <c r="S97" s="370">
        <f>((EXP(-2.5855+0.1129*'Data (Calculations)'!L27))*'Data (Calculations)'!$E$90)*S79</f>
        <v>20.095531856416365</v>
      </c>
      <c r="T97" s="370">
        <f>((EXP(-2.5855+0.1129*'Data (Calculations)'!M27))*'Data (Calculations)'!$E$90)*T79</f>
        <v>20.377247883709813</v>
      </c>
      <c r="U97" s="370" t="e">
        <f>((EXP(-2.5855+0.1129*'Data (Calculations)'!N27))*'Data (Calculations)'!$E$90)*U79</f>
        <v>#VALUE!</v>
      </c>
      <c r="V97" s="370">
        <f>((EXP(-2.5855+0.1129*'Data (Calculations)'!O27))*'Data (Calculations)'!$E$90)*V79</f>
        <v>49.089534339856215</v>
      </c>
      <c r="W97" s="370">
        <f>((EXP(-2.5855+0.1129*'Data (Calculations)'!P27))*'Data (Calculations)'!$E$90)*W79</f>
        <v>48.966800023583502</v>
      </c>
      <c r="X97" s="370">
        <f>((EXP(-2.5855+0.1129*'Data (Calculations)'!Q27))*'Data (Calculations)'!$E$90)*X79</f>
        <v>48.809409038607427</v>
      </c>
      <c r="Y97" s="370">
        <f>((EXP(-2.5855+0.1129*'Data (Calculations)'!R27))*'Data (Calculations)'!$E$90)*Y79</f>
        <v>48.629453812808784</v>
      </c>
      <c r="Z97" s="370">
        <f>((EXP(-2.5855+0.1129*'Data (Calculations)'!S27))*'Data (Calculations)'!$E$90)*Z79</f>
        <v>48.435754930448752</v>
      </c>
      <c r="AA97" s="370">
        <f>((EXP(-2.5855+0.1129*'Data (Calculations)'!T27))*'Data (Calculations)'!$E$90)*AA79</f>
        <v>48.227998600677267</v>
      </c>
      <c r="AB97" s="370">
        <f>((EXP(-2.5855+0.1129*'Data (Calculations)'!U27))*'Data (Calculations)'!$E$90)*AB79</f>
        <v>48.004303991752721</v>
      </c>
      <c r="AC97" s="370">
        <f>((EXP(-2.5855+0.1129*'Data (Calculations)'!V27))*'Data (Calculations)'!$E$90)*AC79</f>
        <v>47.761971354349207</v>
      </c>
      <c r="AD97" s="370">
        <f>((EXP(-2.5855+0.1129*'Data (Calculations)'!W27))*'Data (Calculations)'!$E$90)*AD79</f>
        <v>47.499108376572075</v>
      </c>
      <c r="AE97" s="370">
        <f>((EXP(-2.5855+0.1129*'Data (Calculations)'!X27))*'Data (Calculations)'!$E$90)*AE79</f>
        <v>47.215102783591917</v>
      </c>
      <c r="AF97" s="370">
        <f>((EXP(-2.5855+0.1129*'Data (Calculations)'!Y27))*'Data (Calculations)'!$E$90)*AF79</f>
        <v>46.910767752916541</v>
      </c>
      <c r="AG97" s="370">
        <f>((EXP(-2.5855+0.1129*'Data (Calculations)'!Z27))*'Data (Calculations)'!$E$90)*AG79</f>
        <v>46.58573209293062</v>
      </c>
    </row>
    <row r="98" spans="1:33">
      <c r="A98" s="17"/>
      <c r="B98" s="17"/>
      <c r="E98" s="60" t="s">
        <v>267</v>
      </c>
      <c r="F98" s="370" t="e">
        <f>((EXP(-2.5855+0.1129*'Data (Calculations)'!#REF!))*'Data (Calculations)'!$E$91)*F79</f>
        <v>#REF!</v>
      </c>
      <c r="G98" s="370" t="e">
        <f>((EXP(-2.5855+0.1129*'Data (Calculations)'!#REF!))*'Data (Calculations)'!$E$91)*G79</f>
        <v>#REF!</v>
      </c>
      <c r="H98" s="370" t="e">
        <f>((EXP(-2.5855+0.1129*'Data (Calculations)'!#REF!))*'Data (Calculations)'!$E$91)*H79</f>
        <v>#REF!</v>
      </c>
      <c r="I98" s="370" t="e">
        <f>((EXP(-2.5855+0.1129*'Data (Calculations)'!#REF!))*'Data (Calculations)'!$E$91)*I79</f>
        <v>#REF!</v>
      </c>
      <c r="J98" s="370" t="e">
        <f>((EXP(-2.5855+0.1129*'Data (Calculations)'!#REF!))*'Data (Calculations)'!$E$91)*J79</f>
        <v>#REF!</v>
      </c>
      <c r="K98" s="370" t="e">
        <f>((EXP(-2.5855+0.1129*'Data (Calculations)'!#REF!))*'Data (Calculations)'!$E$91)*K79</f>
        <v>#REF!</v>
      </c>
      <c r="L98" s="370" t="e">
        <f>((EXP(-2.5855+0.1129*'Data (Calculations)'!#REF!))*'Data (Calculations)'!$E$91)*L79</f>
        <v>#REF!</v>
      </c>
      <c r="M98" s="370" t="e">
        <f>((EXP(-2.5855+0.1129*'Data (Calculations)'!#REF!))*'Data (Calculations)'!$E$91)*M79</f>
        <v>#REF!</v>
      </c>
      <c r="N98" s="370" t="e">
        <f>((EXP(-2.5855+0.1129*'Data (Calculations)'!#REF!))*'Data (Calculations)'!$E$91)*N79</f>
        <v>#REF!</v>
      </c>
      <c r="O98" s="370">
        <f>((EXP(-2.5855+0.1129*'Data (Calculations)'!H27))*'Data (Calculations)'!$E$91)*O79</f>
        <v>115.85628263807634</v>
      </c>
      <c r="P98" s="370">
        <f>((EXP(-2.5855+0.1129*'Data (Calculations)'!I27))*'Data (Calculations)'!$E$91)*P79</f>
        <v>21.257900926312935</v>
      </c>
      <c r="Q98" s="370">
        <f>((EXP(-2.5855+0.1129*'Data (Calculations)'!J27))*'Data (Calculations)'!$E$91)*Q79</f>
        <v>11.863022615823988</v>
      </c>
      <c r="R98" s="370">
        <f>((EXP(-2.5855+0.1129*'Data (Calculations)'!K27))*'Data (Calculations)'!$E$91)*R79</f>
        <v>12.500461201972628</v>
      </c>
      <c r="S98" s="370">
        <f>((EXP(-2.5855+0.1129*'Data (Calculations)'!L27))*'Data (Calculations)'!$E$91)*S79</f>
        <v>24.11463822769964</v>
      </c>
      <c r="T98" s="370">
        <f>((EXP(-2.5855+0.1129*'Data (Calculations)'!M27))*'Data (Calculations)'!$E$91)*T79</f>
        <v>24.45269746045178</v>
      </c>
      <c r="U98" s="370" t="e">
        <f>((EXP(-2.5855+0.1129*'Data (Calculations)'!N27))*'Data (Calculations)'!$E$91)*U79</f>
        <v>#VALUE!</v>
      </c>
      <c r="V98" s="370">
        <f>((EXP(-2.5855+0.1129*'Data (Calculations)'!O27))*'Data (Calculations)'!$E$91)*V79</f>
        <v>58.907441207827468</v>
      </c>
      <c r="W98" s="370">
        <f>((EXP(-2.5855+0.1129*'Data (Calculations)'!P27))*'Data (Calculations)'!$E$91)*W79</f>
        <v>58.760160028300213</v>
      </c>
      <c r="X98" s="370">
        <f>((EXP(-2.5855+0.1129*'Data (Calculations)'!Q27))*'Data (Calculations)'!$E$91)*X79</f>
        <v>58.571290846328921</v>
      </c>
      <c r="Y98" s="370">
        <f>((EXP(-2.5855+0.1129*'Data (Calculations)'!R27))*'Data (Calculations)'!$E$91)*Y79</f>
        <v>58.355344575370552</v>
      </c>
      <c r="Z98" s="370">
        <f>((EXP(-2.5855+0.1129*'Data (Calculations)'!S27))*'Data (Calculations)'!$E$91)*Z79</f>
        <v>58.122905916538514</v>
      </c>
      <c r="AA98" s="370">
        <f>((EXP(-2.5855+0.1129*'Data (Calculations)'!T27))*'Data (Calculations)'!$E$91)*AA79</f>
        <v>57.873598320812725</v>
      </c>
      <c r="AB98" s="370">
        <f>((EXP(-2.5855+0.1129*'Data (Calculations)'!U27))*'Data (Calculations)'!$E$91)*AB79</f>
        <v>57.605164790103281</v>
      </c>
      <c r="AC98" s="370">
        <f>((EXP(-2.5855+0.1129*'Data (Calculations)'!V27))*'Data (Calculations)'!$E$91)*AC79</f>
        <v>57.314365625219061</v>
      </c>
      <c r="AD98" s="370">
        <f>((EXP(-2.5855+0.1129*'Data (Calculations)'!W27))*'Data (Calculations)'!$E$91)*AD79</f>
        <v>56.998930051886497</v>
      </c>
      <c r="AE98" s="370">
        <f>((EXP(-2.5855+0.1129*'Data (Calculations)'!X27))*'Data (Calculations)'!$E$91)*AE79</f>
        <v>56.658123340310311</v>
      </c>
      <c r="AF98" s="370">
        <f>((EXP(-2.5855+0.1129*'Data (Calculations)'!Y27))*'Data (Calculations)'!$E$91)*AF79</f>
        <v>56.29292130349986</v>
      </c>
      <c r="AG98" s="370">
        <f>((EXP(-2.5855+0.1129*'Data (Calculations)'!Z27))*'Data (Calculations)'!$E$91)*AG79</f>
        <v>55.902878511516754</v>
      </c>
    </row>
    <row r="99" spans="1:33">
      <c r="A99" s="17"/>
      <c r="B99" s="17"/>
      <c r="E99" s="60" t="s">
        <v>268</v>
      </c>
      <c r="F99" s="370" t="e">
        <f>((EXP(-2.5855+0.1129*'Data (Calculations)'!#REF!))*'Data (Calculations)'!$E$92)*F79</f>
        <v>#REF!</v>
      </c>
      <c r="G99" s="370" t="e">
        <f>((EXP(-2.5855+0.1129*'Data (Calculations)'!#REF!))*'Data (Calculations)'!$E$92)*G79</f>
        <v>#REF!</v>
      </c>
      <c r="H99" s="370" t="e">
        <f>((EXP(-2.5855+0.1129*'Data (Calculations)'!#REF!))*'Data (Calculations)'!$E$92)*H79</f>
        <v>#REF!</v>
      </c>
      <c r="I99" s="370" t="e">
        <f>((EXP(-2.5855+0.1129*'Data (Calculations)'!#REF!))*'Data (Calculations)'!$E$92)*I79</f>
        <v>#REF!</v>
      </c>
      <c r="J99" s="370" t="e">
        <f>((EXP(-2.5855+0.1129*'Data (Calculations)'!#REF!))*'Data (Calculations)'!$E$92)*J79</f>
        <v>#REF!</v>
      </c>
      <c r="K99" s="370" t="e">
        <f>((EXP(-2.5855+0.1129*'Data (Calculations)'!#REF!))*'Data (Calculations)'!$E$92)*K79</f>
        <v>#REF!</v>
      </c>
      <c r="L99" s="370" t="e">
        <f>((EXP(-2.5855+0.1129*'Data (Calculations)'!#REF!))*'Data (Calculations)'!$E$92)*L79</f>
        <v>#REF!</v>
      </c>
      <c r="M99" s="370" t="e">
        <f>((EXP(-2.5855+0.1129*'Data (Calculations)'!#REF!))*'Data (Calculations)'!$E$92)*M79</f>
        <v>#REF!</v>
      </c>
      <c r="N99" s="370" t="e">
        <f>((EXP(-2.5855+0.1129*'Data (Calculations)'!#REF!))*'Data (Calculations)'!$E$92)*N79</f>
        <v>#REF!</v>
      </c>
      <c r="O99" s="370">
        <f>((EXP(-2.5855+0.1129*'Data (Calculations)'!H27))*'Data (Calculations)'!$E$92)*O79</f>
        <v>24.136725549599262</v>
      </c>
      <c r="P99" s="370">
        <f>((EXP(-2.5855+0.1129*'Data (Calculations)'!I27))*'Data (Calculations)'!$E$92)*P79</f>
        <v>4.4287293596485329</v>
      </c>
      <c r="Q99" s="370">
        <f>((EXP(-2.5855+0.1129*'Data (Calculations)'!J27))*'Data (Calculations)'!$E$92)*Q79</f>
        <v>2.4714630449633335</v>
      </c>
      <c r="R99" s="370">
        <f>((EXP(-2.5855+0.1129*'Data (Calculations)'!K27))*'Data (Calculations)'!$E$92)*R79</f>
        <v>2.604262750410967</v>
      </c>
      <c r="S99" s="370">
        <f>((EXP(-2.5855+0.1129*'Data (Calculations)'!L27))*'Data (Calculations)'!$E$92)*S79</f>
        <v>5.0238829641040965</v>
      </c>
      <c r="T99" s="370">
        <f>((EXP(-2.5855+0.1129*'Data (Calculations)'!M27))*'Data (Calculations)'!$E$92)*T79</f>
        <v>5.0943119709274596</v>
      </c>
      <c r="U99" s="370" t="e">
        <f>((EXP(-2.5855+0.1129*'Data (Calculations)'!N27))*'Data (Calculations)'!$E$92)*U79</f>
        <v>#VALUE!</v>
      </c>
      <c r="V99" s="370">
        <f>((EXP(-2.5855+0.1129*'Data (Calculations)'!O27))*'Data (Calculations)'!$E$92)*V79</f>
        <v>12.272383584964068</v>
      </c>
      <c r="W99" s="370">
        <f>((EXP(-2.5855+0.1129*'Data (Calculations)'!P27))*'Data (Calculations)'!$E$92)*W79</f>
        <v>12.241700005895888</v>
      </c>
      <c r="X99" s="370">
        <f>((EXP(-2.5855+0.1129*'Data (Calculations)'!Q27))*'Data (Calculations)'!$E$92)*X79</f>
        <v>12.202352259651871</v>
      </c>
      <c r="Y99" s="370">
        <f>((EXP(-2.5855+0.1129*'Data (Calculations)'!R27))*'Data (Calculations)'!$E$92)*Y79</f>
        <v>12.15736345320221</v>
      </c>
      <c r="Z99" s="370">
        <f>((EXP(-2.5855+0.1129*'Data (Calculations)'!S27))*'Data (Calculations)'!$E$92)*Z79</f>
        <v>12.108938732612202</v>
      </c>
      <c r="AA99" s="370">
        <f>((EXP(-2.5855+0.1129*'Data (Calculations)'!T27))*'Data (Calculations)'!$E$92)*AA79</f>
        <v>12.056999650169329</v>
      </c>
      <c r="AB99" s="370">
        <f>((EXP(-2.5855+0.1129*'Data (Calculations)'!U27))*'Data (Calculations)'!$E$92)*AB79</f>
        <v>12.001075997938194</v>
      </c>
      <c r="AC99" s="370">
        <f>((EXP(-2.5855+0.1129*'Data (Calculations)'!V27))*'Data (Calculations)'!$E$92)*AC79</f>
        <v>11.940492838587316</v>
      </c>
      <c r="AD99" s="370">
        <f>((EXP(-2.5855+0.1129*'Data (Calculations)'!W27))*'Data (Calculations)'!$E$92)*AD79</f>
        <v>11.874777094143033</v>
      </c>
      <c r="AE99" s="370">
        <f>((EXP(-2.5855+0.1129*'Data (Calculations)'!X27))*'Data (Calculations)'!$E$92)*AE79</f>
        <v>11.803775695897993</v>
      </c>
      <c r="AF99" s="370">
        <f>((EXP(-2.5855+0.1129*'Data (Calculations)'!Y27))*'Data (Calculations)'!$E$92)*AF79</f>
        <v>11.72769193822915</v>
      </c>
      <c r="AG99" s="370">
        <f>((EXP(-2.5855+0.1129*'Data (Calculations)'!Z27))*'Data (Calculations)'!$E$92)*AG79</f>
        <v>11.646433023232669</v>
      </c>
    </row>
    <row r="100" spans="1:33">
      <c r="A100" s="17"/>
      <c r="B100" s="17"/>
      <c r="S100" s="86"/>
    </row>
    <row r="101" spans="1:33" s="64" customFormat="1">
      <c r="C101" s="17"/>
      <c r="D101" s="17"/>
      <c r="E101" s="17"/>
      <c r="F101" s="86"/>
      <c r="G101" s="86"/>
      <c r="H101" s="86"/>
      <c r="I101" s="86"/>
      <c r="J101" s="86"/>
      <c r="K101" s="86"/>
      <c r="L101" s="86"/>
      <c r="M101" s="86"/>
      <c r="N101" s="86"/>
      <c r="O101" s="86"/>
      <c r="P101" s="86"/>
      <c r="Q101" s="86"/>
      <c r="R101" s="86"/>
      <c r="S101" s="86"/>
      <c r="T101" s="86"/>
      <c r="U101" s="17"/>
      <c r="V101" s="17"/>
      <c r="W101" s="17"/>
      <c r="X101" s="17"/>
      <c r="Y101" s="17"/>
      <c r="Z101" s="17"/>
      <c r="AA101" s="17"/>
      <c r="AB101" s="17"/>
      <c r="AC101" s="17"/>
      <c r="AD101" s="17"/>
      <c r="AE101" s="17"/>
      <c r="AF101" s="17"/>
      <c r="AG101" s="17"/>
    </row>
    <row r="102" spans="1:33" s="64" customFormat="1">
      <c r="C102" s="17"/>
      <c r="D102" s="17"/>
      <c r="E102" s="284" t="s">
        <v>70</v>
      </c>
      <c r="F102" s="301" t="e">
        <f t="shared" ref="F102:T102" si="27">F99</f>
        <v>#REF!</v>
      </c>
      <c r="G102" s="301" t="e">
        <f t="shared" si="27"/>
        <v>#REF!</v>
      </c>
      <c r="H102" s="301" t="e">
        <f t="shared" si="27"/>
        <v>#REF!</v>
      </c>
      <c r="I102" s="301" t="e">
        <f t="shared" si="27"/>
        <v>#REF!</v>
      </c>
      <c r="J102" s="301" t="e">
        <f t="shared" si="27"/>
        <v>#REF!</v>
      </c>
      <c r="K102" s="301" t="e">
        <f t="shared" si="27"/>
        <v>#REF!</v>
      </c>
      <c r="L102" s="301" t="e">
        <f t="shared" si="27"/>
        <v>#REF!</v>
      </c>
      <c r="M102" s="301" t="e">
        <f t="shared" si="27"/>
        <v>#REF!</v>
      </c>
      <c r="N102" s="301" t="e">
        <f t="shared" si="27"/>
        <v>#REF!</v>
      </c>
      <c r="O102" s="301">
        <f t="shared" si="27"/>
        <v>24.136725549599262</v>
      </c>
      <c r="P102" s="301">
        <f t="shared" si="27"/>
        <v>4.4287293596485329</v>
      </c>
      <c r="Q102" s="301">
        <f t="shared" si="27"/>
        <v>2.4714630449633335</v>
      </c>
      <c r="R102" s="301">
        <f t="shared" si="27"/>
        <v>2.604262750410967</v>
      </c>
      <c r="S102" s="301">
        <f t="shared" si="27"/>
        <v>5.0238829641040965</v>
      </c>
      <c r="T102" s="301">
        <f t="shared" si="27"/>
        <v>5.0943119709274596</v>
      </c>
      <c r="U102" s="301" t="e">
        <f>U99</f>
        <v>#VALUE!</v>
      </c>
      <c r="V102" s="301">
        <f t="shared" ref="V102:AD102" si="28">V99</f>
        <v>12.272383584964068</v>
      </c>
      <c r="W102" s="301">
        <f t="shared" si="28"/>
        <v>12.241700005895888</v>
      </c>
      <c r="X102" s="301">
        <f t="shared" si="28"/>
        <v>12.202352259651871</v>
      </c>
      <c r="Y102" s="301">
        <f t="shared" si="28"/>
        <v>12.15736345320221</v>
      </c>
      <c r="Z102" s="301">
        <f t="shared" si="28"/>
        <v>12.108938732612202</v>
      </c>
      <c r="AA102" s="301">
        <f t="shared" si="28"/>
        <v>12.056999650169329</v>
      </c>
      <c r="AB102" s="301">
        <f t="shared" si="28"/>
        <v>12.001075997938194</v>
      </c>
      <c r="AC102" s="301">
        <f t="shared" si="28"/>
        <v>11.940492838587316</v>
      </c>
      <c r="AD102" s="301">
        <f t="shared" si="28"/>
        <v>11.874777094143033</v>
      </c>
      <c r="AE102" s="301">
        <f>AE99</f>
        <v>11.803775695897993</v>
      </c>
      <c r="AF102" s="301">
        <f>AF99</f>
        <v>11.72769193822915</v>
      </c>
      <c r="AG102" s="301">
        <f>AG99</f>
        <v>11.646433023232669</v>
      </c>
    </row>
    <row r="103" spans="1:33">
      <c r="A103" s="17"/>
      <c r="B103" s="17"/>
      <c r="E103" s="34" t="s">
        <v>103</v>
      </c>
      <c r="F103" s="282" t="e">
        <f t="shared" ref="F103:T103" si="29">SUM(F96:F98)/SUM(F95:F99)</f>
        <v>#REF!</v>
      </c>
      <c r="G103" s="282" t="e">
        <f t="shared" si="29"/>
        <v>#REF!</v>
      </c>
      <c r="H103" s="282" t="e">
        <f t="shared" si="29"/>
        <v>#REF!</v>
      </c>
      <c r="I103" s="282" t="e">
        <f t="shared" si="29"/>
        <v>#REF!</v>
      </c>
      <c r="J103" s="282" t="e">
        <f t="shared" si="29"/>
        <v>#REF!</v>
      </c>
      <c r="K103" s="282" t="e">
        <f t="shared" si="29"/>
        <v>#REF!</v>
      </c>
      <c r="L103" s="282" t="e">
        <f t="shared" si="29"/>
        <v>#REF!</v>
      </c>
      <c r="M103" s="282" t="e">
        <f t="shared" si="29"/>
        <v>#REF!</v>
      </c>
      <c r="N103" s="282" t="e">
        <f t="shared" si="29"/>
        <v>#REF!</v>
      </c>
      <c r="O103" s="282">
        <f t="shared" si="29"/>
        <v>5.2588450878893342E-2</v>
      </c>
      <c r="P103" s="282">
        <f t="shared" si="29"/>
        <v>5.2588450878893335E-2</v>
      </c>
      <c r="Q103" s="282">
        <f t="shared" si="29"/>
        <v>5.2588450878893335E-2</v>
      </c>
      <c r="R103" s="282">
        <f t="shared" si="29"/>
        <v>5.2588450878893349E-2</v>
      </c>
      <c r="S103" s="282">
        <f t="shared" si="29"/>
        <v>5.2588450878893342E-2</v>
      </c>
      <c r="T103" s="282">
        <f t="shared" si="29"/>
        <v>5.2588450878893342E-2</v>
      </c>
      <c r="U103" s="282" t="e">
        <f>SUM(U96:U98)/SUM(U95:U99)</f>
        <v>#VALUE!</v>
      </c>
      <c r="V103" s="282">
        <f t="shared" ref="V103:AD103" si="30">SUM(V96:V98)/SUM(V95:V99)</f>
        <v>5.2588450878893349E-2</v>
      </c>
      <c r="W103" s="282">
        <f t="shared" si="30"/>
        <v>5.2588450878893356E-2</v>
      </c>
      <c r="X103" s="282">
        <f t="shared" si="30"/>
        <v>5.2588450878893335E-2</v>
      </c>
      <c r="Y103" s="282">
        <f t="shared" si="30"/>
        <v>5.2588450878893349E-2</v>
      </c>
      <c r="Z103" s="282">
        <f t="shared" si="30"/>
        <v>5.2588450878893342E-2</v>
      </c>
      <c r="AA103" s="282">
        <f t="shared" si="30"/>
        <v>5.2588450878893349E-2</v>
      </c>
      <c r="AB103" s="282">
        <f t="shared" si="30"/>
        <v>5.2588450878893349E-2</v>
      </c>
      <c r="AC103" s="282">
        <f t="shared" si="30"/>
        <v>5.2588450878893349E-2</v>
      </c>
      <c r="AD103" s="282">
        <f t="shared" si="30"/>
        <v>5.2588450878893349E-2</v>
      </c>
      <c r="AE103" s="282">
        <f>SUM(AE96:AE98)/SUM(AE95:AE99)</f>
        <v>5.2588450878893342E-2</v>
      </c>
      <c r="AF103" s="282">
        <f>SUM(AF96:AF98)/SUM(AF95:AF99)</f>
        <v>5.2588450878893342E-2</v>
      </c>
      <c r="AG103" s="282">
        <f>SUM(AG96:AG98)/SUM(AG95:AG99)</f>
        <v>5.2588450878893342E-2</v>
      </c>
    </row>
    <row r="104" spans="1:33">
      <c r="A104" s="17"/>
      <c r="B104" s="17"/>
      <c r="E104" s="280" t="s">
        <v>273</v>
      </c>
      <c r="F104" s="283" t="e">
        <f t="shared" ref="F104:T104" si="31">(100000/(SUM(F95:F99))*F102)</f>
        <v>#REF!</v>
      </c>
      <c r="G104" s="283" t="e">
        <f t="shared" si="31"/>
        <v>#REF!</v>
      </c>
      <c r="H104" s="283" t="e">
        <f t="shared" si="31"/>
        <v>#REF!</v>
      </c>
      <c r="I104" s="283" t="e">
        <f t="shared" si="31"/>
        <v>#REF!</v>
      </c>
      <c r="J104" s="283" t="e">
        <f t="shared" si="31"/>
        <v>#REF!</v>
      </c>
      <c r="K104" s="283" t="e">
        <f t="shared" si="31"/>
        <v>#REF!</v>
      </c>
      <c r="L104" s="283" t="e">
        <f t="shared" si="31"/>
        <v>#REF!</v>
      </c>
      <c r="M104" s="283" t="e">
        <f t="shared" si="31"/>
        <v>#REF!</v>
      </c>
      <c r="N104" s="283" t="e">
        <f t="shared" si="31"/>
        <v>#REF!</v>
      </c>
      <c r="O104" s="283">
        <f t="shared" si="31"/>
        <v>305.74680743542672</v>
      </c>
      <c r="P104" s="283">
        <f t="shared" si="31"/>
        <v>305.74680743542672</v>
      </c>
      <c r="Q104" s="283">
        <f t="shared" si="31"/>
        <v>305.74680743542666</v>
      </c>
      <c r="R104" s="283">
        <f t="shared" si="31"/>
        <v>305.74680743542677</v>
      </c>
      <c r="S104" s="283">
        <f t="shared" si="31"/>
        <v>305.74680743542666</v>
      </c>
      <c r="T104" s="283">
        <f t="shared" si="31"/>
        <v>305.74680743542672</v>
      </c>
      <c r="U104" s="283" t="e">
        <f>(100000/(SUM(U95:U99))*U102)</f>
        <v>#VALUE!</v>
      </c>
      <c r="V104" s="283">
        <f t="shared" ref="V104:AD104" si="32">(100000/(SUM(V95:V99))*V102)</f>
        <v>305.74680743542666</v>
      </c>
      <c r="W104" s="283">
        <f t="shared" si="32"/>
        <v>305.74680743542672</v>
      </c>
      <c r="X104" s="283">
        <f t="shared" si="32"/>
        <v>305.74680743542672</v>
      </c>
      <c r="Y104" s="283">
        <f t="shared" si="32"/>
        <v>305.74680743542672</v>
      </c>
      <c r="Z104" s="283">
        <f t="shared" si="32"/>
        <v>305.74680743542672</v>
      </c>
      <c r="AA104" s="283">
        <f t="shared" si="32"/>
        <v>305.74680743542672</v>
      </c>
      <c r="AB104" s="283">
        <f t="shared" si="32"/>
        <v>305.74680743542672</v>
      </c>
      <c r="AC104" s="283">
        <f t="shared" si="32"/>
        <v>305.74680743542666</v>
      </c>
      <c r="AD104" s="283">
        <f t="shared" si="32"/>
        <v>305.74680743542672</v>
      </c>
      <c r="AE104" s="283">
        <f>(100000/(SUM(AE95:AE99))*AE102)</f>
        <v>305.74680743542672</v>
      </c>
      <c r="AF104" s="283">
        <f>(100000/(SUM(AF95:AF99))*AF102)</f>
        <v>305.74680743542666</v>
      </c>
      <c r="AG104" s="283">
        <f>(100000/(SUM(AG95:AG99))*AG102)</f>
        <v>305.74680743542666</v>
      </c>
    </row>
    <row r="105" spans="1:33" s="64" customFormat="1">
      <c r="C105" s="17"/>
      <c r="D105" s="17"/>
      <c r="E105" s="17"/>
      <c r="F105" s="86"/>
      <c r="G105" s="86"/>
      <c r="H105" s="86"/>
      <c r="I105" s="86"/>
      <c r="J105" s="86"/>
      <c r="K105" s="86"/>
      <c r="L105" s="86"/>
      <c r="M105" s="86"/>
      <c r="N105" s="86"/>
      <c r="O105" s="86"/>
      <c r="P105" s="86"/>
      <c r="Q105" s="86"/>
      <c r="R105" s="86"/>
      <c r="S105" s="86"/>
      <c r="T105" s="86"/>
      <c r="U105" s="17"/>
      <c r="V105" s="17"/>
      <c r="W105" s="17"/>
      <c r="X105" s="17"/>
      <c r="Y105" s="17"/>
      <c r="Z105" s="17"/>
      <c r="AA105" s="17"/>
      <c r="AB105" s="17"/>
      <c r="AC105" s="17"/>
      <c r="AD105" s="17"/>
      <c r="AE105" s="17"/>
      <c r="AF105" s="17"/>
      <c r="AG105" s="17"/>
    </row>
    <row r="106" spans="1:33">
      <c r="A106" s="17"/>
      <c r="B106" s="17"/>
      <c r="S106" s="86"/>
    </row>
    <row r="107" spans="1:33" ht="19">
      <c r="A107" s="17"/>
      <c r="B107" s="17"/>
      <c r="E107" s="164" t="s">
        <v>193</v>
      </c>
      <c r="F107" s="372"/>
      <c r="G107" s="372"/>
      <c r="H107" s="372"/>
      <c r="I107" s="372"/>
      <c r="J107" s="372"/>
      <c r="K107" s="372"/>
      <c r="L107" s="372"/>
      <c r="M107" s="372"/>
      <c r="N107" s="372"/>
      <c r="O107" s="372"/>
      <c r="P107" s="372"/>
      <c r="Q107" s="372"/>
      <c r="R107" s="372"/>
      <c r="S107" s="372"/>
      <c r="T107" s="372"/>
      <c r="U107" s="165"/>
      <c r="V107" s="165"/>
      <c r="W107" s="165"/>
      <c r="X107" s="165"/>
      <c r="Y107" s="165"/>
      <c r="Z107" s="165"/>
      <c r="AA107" s="165"/>
      <c r="AB107" s="165"/>
      <c r="AC107" s="165"/>
      <c r="AD107" s="165"/>
      <c r="AE107" s="165"/>
      <c r="AF107" s="165"/>
      <c r="AG107" s="165"/>
    </row>
    <row r="108" spans="1:33">
      <c r="A108" s="17"/>
      <c r="B108" s="17"/>
      <c r="E108" s="17" t="s">
        <v>269</v>
      </c>
      <c r="F108" s="268" t="e">
        <f t="shared" ref="F108:T108" si="33">F80</f>
        <v>#REF!</v>
      </c>
      <c r="G108" s="268" t="e">
        <f t="shared" si="33"/>
        <v>#REF!</v>
      </c>
      <c r="H108" s="268" t="e">
        <f t="shared" si="33"/>
        <v>#REF!</v>
      </c>
      <c r="I108" s="268" t="e">
        <f t="shared" si="33"/>
        <v>#REF!</v>
      </c>
      <c r="J108" s="268" t="e">
        <f t="shared" si="33"/>
        <v>#REF!</v>
      </c>
      <c r="K108" s="268" t="e">
        <f t="shared" si="33"/>
        <v>#REF!</v>
      </c>
      <c r="L108" s="268" t="e">
        <f t="shared" si="33"/>
        <v>#REF!</v>
      </c>
      <c r="M108" s="268" t="e">
        <f t="shared" si="33"/>
        <v>#REF!</v>
      </c>
      <c r="N108" s="268" t="e">
        <f t="shared" si="33"/>
        <v>#REF!</v>
      </c>
      <c r="O108" s="268">
        <f t="shared" si="33"/>
        <v>106816.64181085257</v>
      </c>
      <c r="P108" s="268">
        <f t="shared" si="33"/>
        <v>14585.552702053605</v>
      </c>
      <c r="Q108" s="268">
        <f t="shared" si="33"/>
        <v>39994.30044265867</v>
      </c>
      <c r="R108" s="268">
        <f t="shared" si="33"/>
        <v>36306.595728013628</v>
      </c>
      <c r="S108" s="268">
        <f t="shared" si="33"/>
        <v>14259.730984150367</v>
      </c>
      <c r="T108" s="268">
        <f t="shared" si="33"/>
        <v>15986.53832921283</v>
      </c>
      <c r="U108" s="91" t="e">
        <f>U80</f>
        <v>#VALUE!</v>
      </c>
      <c r="V108" s="91">
        <f t="shared" ref="V108:AD108" si="34">V80</f>
        <v>12942.279641022304</v>
      </c>
      <c r="W108" s="91">
        <f t="shared" si="34"/>
        <v>12909.921178793804</v>
      </c>
      <c r="X108" s="91">
        <f t="shared" si="34"/>
        <v>12868.425610177612</v>
      </c>
      <c r="Y108" s="91">
        <f t="shared" si="34"/>
        <v>12820.981060408103</v>
      </c>
      <c r="Z108" s="91">
        <f t="shared" si="34"/>
        <v>12769.913044885663</v>
      </c>
      <c r="AA108" s="91">
        <f t="shared" si="34"/>
        <v>12715.13883377827</v>
      </c>
      <c r="AB108" s="91">
        <f t="shared" si="34"/>
        <v>12656.162552543919</v>
      </c>
      <c r="AC108" s="91">
        <f t="shared" si="34"/>
        <v>12592.272421957037</v>
      </c>
      <c r="AD108" s="91">
        <f t="shared" si="34"/>
        <v>12522.969540774453</v>
      </c>
      <c r="AE108" s="91">
        <f>AE80</f>
        <v>12448.092484933666</v>
      </c>
      <c r="AF108" s="91">
        <f>AF80</f>
        <v>12367.855645767686</v>
      </c>
      <c r="AG108" s="91">
        <f>AG80</f>
        <v>12282.161159938627</v>
      </c>
    </row>
    <row r="109" spans="1:33">
      <c r="A109" s="17"/>
      <c r="B109" s="17"/>
      <c r="E109" s="162" t="s">
        <v>275</v>
      </c>
      <c r="F109" s="370" t="e">
        <f>'Data (Calculations)'!$E$99*F80</f>
        <v>#REF!</v>
      </c>
      <c r="G109" s="370" t="e">
        <f>'Data (Calculations)'!$E$99*G80</f>
        <v>#REF!</v>
      </c>
      <c r="H109" s="370" t="e">
        <f>'Data (Calculations)'!$E$99*H80</f>
        <v>#REF!</v>
      </c>
      <c r="I109" s="370" t="e">
        <f>'Data (Calculations)'!$E$99*I80</f>
        <v>#REF!</v>
      </c>
      <c r="J109" s="370" t="e">
        <f>'Data (Calculations)'!$E$99*J80</f>
        <v>#REF!</v>
      </c>
      <c r="K109" s="370" t="e">
        <f>'Data (Calculations)'!$E$99*K80</f>
        <v>#REF!</v>
      </c>
      <c r="L109" s="370" t="e">
        <f>'Data (Calculations)'!$E$99*L80</f>
        <v>#REF!</v>
      </c>
      <c r="M109" s="370" t="e">
        <f>'Data (Calculations)'!$E$99*M80</f>
        <v>#REF!</v>
      </c>
      <c r="N109" s="370" t="e">
        <f>'Data (Calculations)'!$E$99*N80</f>
        <v>#REF!</v>
      </c>
      <c r="O109" s="370">
        <f>'Data (Calculations)'!$E$99*O80</f>
        <v>22431.494780279038</v>
      </c>
      <c r="P109" s="370">
        <f>'Data (Calculations)'!$E$99*P80</f>
        <v>3062.9660674312568</v>
      </c>
      <c r="Q109" s="370">
        <f>'Data (Calculations)'!$E$99*Q80</f>
        <v>8398.8030929583201</v>
      </c>
      <c r="R109" s="370">
        <f>'Data (Calculations)'!$E$99*R80</f>
        <v>7624.3851028828612</v>
      </c>
      <c r="S109" s="370">
        <f>'Data (Calculations)'!$E$99*S80</f>
        <v>2994.5435066715768</v>
      </c>
      <c r="T109" s="370">
        <f>'Data (Calculations)'!$E$99*T80</f>
        <v>3357.1730491346943</v>
      </c>
      <c r="U109" s="119" t="e">
        <f>'Data (Calculations)'!$E$99*U80</f>
        <v>#VALUE!</v>
      </c>
      <c r="V109" s="119">
        <f>'Data (Calculations)'!$E$99*V80</f>
        <v>2717.8787246146835</v>
      </c>
      <c r="W109" s="119">
        <f>'Data (Calculations)'!$E$99*W80</f>
        <v>2711.0834475466986</v>
      </c>
      <c r="X109" s="119">
        <f>'Data (Calculations)'!$E$99*X80</f>
        <v>2702.3693781372986</v>
      </c>
      <c r="Y109" s="119">
        <f>'Data (Calculations)'!$E$99*Y80</f>
        <v>2692.4060226857014</v>
      </c>
      <c r="Z109" s="119">
        <f>'Data (Calculations)'!$E$99*Z80</f>
        <v>2681.6817394259892</v>
      </c>
      <c r="AA109" s="119">
        <f>'Data (Calculations)'!$E$99*AA80</f>
        <v>2670.1791550934367</v>
      </c>
      <c r="AB109" s="119">
        <f>'Data (Calculations)'!$E$99*AB80</f>
        <v>2657.7941360342229</v>
      </c>
      <c r="AC109" s="119">
        <f>'Data (Calculations)'!$E$99*AC80</f>
        <v>2644.377208610978</v>
      </c>
      <c r="AD109" s="119">
        <f>'Data (Calculations)'!$E$99*AD80</f>
        <v>2629.8236035626351</v>
      </c>
      <c r="AE109" s="119">
        <f>'Data (Calculations)'!$E$99*AE80</f>
        <v>2614.0994218360697</v>
      </c>
      <c r="AF109" s="119">
        <f>'Data (Calculations)'!$E$99*AF80</f>
        <v>2597.2496856112139</v>
      </c>
      <c r="AG109" s="119">
        <f>'Data (Calculations)'!$E$99*AG80</f>
        <v>2579.2538435871115</v>
      </c>
    </row>
    <row r="110" spans="1:33">
      <c r="A110" s="17"/>
      <c r="B110" s="17"/>
      <c r="E110" s="162" t="s">
        <v>276</v>
      </c>
      <c r="F110" s="370" t="e">
        <f>'Data (Calculations)'!$E$100*F80</f>
        <v>#REF!</v>
      </c>
      <c r="G110" s="370" t="e">
        <f>'Data (Calculations)'!$E$100*G80</f>
        <v>#REF!</v>
      </c>
      <c r="H110" s="370" t="e">
        <f>'Data (Calculations)'!$E$100*H80</f>
        <v>#REF!</v>
      </c>
      <c r="I110" s="370" t="e">
        <f>'Data (Calculations)'!$E$100*I80</f>
        <v>#REF!</v>
      </c>
      <c r="J110" s="370" t="e">
        <f>'Data (Calculations)'!$E$100*J80</f>
        <v>#REF!</v>
      </c>
      <c r="K110" s="370" t="e">
        <f>'Data (Calculations)'!$E$100*K80</f>
        <v>#REF!</v>
      </c>
      <c r="L110" s="370" t="e">
        <f>'Data (Calculations)'!$E$100*L80</f>
        <v>#REF!</v>
      </c>
      <c r="M110" s="370" t="e">
        <f>'Data (Calculations)'!$E$100*M80</f>
        <v>#REF!</v>
      </c>
      <c r="N110" s="370" t="e">
        <f>'Data (Calculations)'!$E$100*N80</f>
        <v>#REF!</v>
      </c>
      <c r="O110" s="370">
        <f>'Data (Calculations)'!$E$100*O80</f>
        <v>9613.4977629767309</v>
      </c>
      <c r="P110" s="370">
        <f>'Data (Calculations)'!$E$100*P80</f>
        <v>1312.6997431848245</v>
      </c>
      <c r="Q110" s="370">
        <f>'Data (Calculations)'!$E$100*Q80</f>
        <v>3599.48703983928</v>
      </c>
      <c r="R110" s="370">
        <f>'Data (Calculations)'!$E$100*R80</f>
        <v>3267.5936155212262</v>
      </c>
      <c r="S110" s="370">
        <f>'Data (Calculations)'!$E$100*S80</f>
        <v>1283.3757885735329</v>
      </c>
      <c r="T110" s="370">
        <f>'Data (Calculations)'!$E$100*T80</f>
        <v>1438.7884496291547</v>
      </c>
      <c r="U110" s="119" t="e">
        <f>'Data (Calculations)'!$E$100*U80</f>
        <v>#VALUE!</v>
      </c>
      <c r="V110" s="119">
        <f>'Data (Calculations)'!$E$100*V80</f>
        <v>1164.8051676920072</v>
      </c>
      <c r="W110" s="119">
        <f>'Data (Calculations)'!$E$100*W80</f>
        <v>1161.8929060914422</v>
      </c>
      <c r="X110" s="119">
        <f>'Data (Calculations)'!$E$100*X80</f>
        <v>1158.1583049159851</v>
      </c>
      <c r="Y110" s="119">
        <f>'Data (Calculations)'!$E$100*Y80</f>
        <v>1153.8882954367293</v>
      </c>
      <c r="Z110" s="119">
        <f>'Data (Calculations)'!$E$100*Z80</f>
        <v>1149.2921740397096</v>
      </c>
      <c r="AA110" s="119">
        <f>'Data (Calculations)'!$E$100*AA80</f>
        <v>1144.3624950400442</v>
      </c>
      <c r="AB110" s="119">
        <f>'Data (Calculations)'!$E$100*AB80</f>
        <v>1139.0546297289527</v>
      </c>
      <c r="AC110" s="119">
        <f>'Data (Calculations)'!$E$100*AC80</f>
        <v>1133.3045179761334</v>
      </c>
      <c r="AD110" s="119">
        <f>'Data (Calculations)'!$E$100*AD80</f>
        <v>1127.0672586697008</v>
      </c>
      <c r="AE110" s="119">
        <f>'Data (Calculations)'!$E$100*AE80</f>
        <v>1120.32832364403</v>
      </c>
      <c r="AF110" s="119">
        <f>'Data (Calculations)'!$E$100*AF80</f>
        <v>1113.1070081190917</v>
      </c>
      <c r="AG110" s="119">
        <f>'Data (Calculations)'!$E$100*AG80</f>
        <v>1105.3945043944764</v>
      </c>
    </row>
    <row r="111" spans="1:33">
      <c r="A111" s="17"/>
      <c r="B111" s="17"/>
      <c r="E111" s="60" t="s">
        <v>277</v>
      </c>
      <c r="F111" s="370" t="e">
        <f>'Data (Calculations)'!$E$101*F80</f>
        <v>#REF!</v>
      </c>
      <c r="G111" s="370" t="e">
        <f>'Data (Calculations)'!$E$101*G80</f>
        <v>#REF!</v>
      </c>
      <c r="H111" s="370" t="e">
        <f>'Data (Calculations)'!$E$101*H80</f>
        <v>#REF!</v>
      </c>
      <c r="I111" s="370" t="e">
        <f>'Data (Calculations)'!$E$101*I80</f>
        <v>#REF!</v>
      </c>
      <c r="J111" s="370" t="e">
        <f>'Data (Calculations)'!$E$101*J80</f>
        <v>#REF!</v>
      </c>
      <c r="K111" s="370" t="e">
        <f>'Data (Calculations)'!$E$101*K80</f>
        <v>#REF!</v>
      </c>
      <c r="L111" s="370" t="e">
        <f>'Data (Calculations)'!$E$101*L80</f>
        <v>#REF!</v>
      </c>
      <c r="M111" s="370" t="e">
        <f>'Data (Calculations)'!$E$101*M80</f>
        <v>#REF!</v>
      </c>
      <c r="N111" s="370" t="e">
        <f>'Data (Calculations)'!$E$101*N80</f>
        <v>#REF!</v>
      </c>
      <c r="O111" s="370">
        <f>'Data (Calculations)'!$E$101*O80</f>
        <v>6408.9985086511542</v>
      </c>
      <c r="P111" s="370">
        <f>'Data (Calculations)'!$E$101*P80</f>
        <v>875.13316212321627</v>
      </c>
      <c r="Q111" s="370">
        <f>'Data (Calculations)'!$E$101*Q80</f>
        <v>2399.6580265595203</v>
      </c>
      <c r="R111" s="370">
        <f>'Data (Calculations)'!$E$101*R80</f>
        <v>2178.3957436808178</v>
      </c>
      <c r="S111" s="370">
        <f>'Data (Calculations)'!$E$101*S80</f>
        <v>855.58385904902195</v>
      </c>
      <c r="T111" s="370">
        <f>'Data (Calculations)'!$E$101*T80</f>
        <v>959.19229975276971</v>
      </c>
      <c r="U111" s="119" t="e">
        <f>'Data (Calculations)'!$E$101*U80</f>
        <v>#VALUE!</v>
      </c>
      <c r="V111" s="119">
        <f>'Data (Calculations)'!$E$101*V80</f>
        <v>776.53677846133814</v>
      </c>
      <c r="W111" s="119">
        <f>'Data (Calculations)'!$E$101*W80</f>
        <v>774.59527072762819</v>
      </c>
      <c r="X111" s="119">
        <f>'Data (Calculations)'!$E$101*X80</f>
        <v>772.10553661065671</v>
      </c>
      <c r="Y111" s="119">
        <f>'Data (Calculations)'!$E$101*Y80</f>
        <v>769.25886362448614</v>
      </c>
      <c r="Z111" s="119">
        <f>'Data (Calculations)'!$E$101*Z80</f>
        <v>766.19478269313981</v>
      </c>
      <c r="AA111" s="119">
        <f>'Data (Calculations)'!$E$101*AA80</f>
        <v>762.90833002669615</v>
      </c>
      <c r="AB111" s="119">
        <f>'Data (Calculations)'!$E$101*AB80</f>
        <v>759.3697531526351</v>
      </c>
      <c r="AC111" s="119">
        <f>'Data (Calculations)'!$E$101*AC80</f>
        <v>755.53634531742216</v>
      </c>
      <c r="AD111" s="119">
        <f>'Data (Calculations)'!$E$101*AD80</f>
        <v>751.37817244646715</v>
      </c>
      <c r="AE111" s="119">
        <f>'Data (Calculations)'!$E$101*AE80</f>
        <v>746.88554909601999</v>
      </c>
      <c r="AF111" s="119">
        <f>'Data (Calculations)'!$E$101*AF80</f>
        <v>742.07133874606109</v>
      </c>
      <c r="AG111" s="119">
        <f>'Data (Calculations)'!$E$101*AG80</f>
        <v>736.92966959631758</v>
      </c>
    </row>
    <row r="112" spans="1:33">
      <c r="A112" s="17"/>
      <c r="B112" s="17"/>
      <c r="E112" s="60" t="s">
        <v>278</v>
      </c>
      <c r="F112" s="370" t="e">
        <f>'Data (Calculations)'!$E$102*F80</f>
        <v>#REF!</v>
      </c>
      <c r="G112" s="370" t="e">
        <f>'Data (Calculations)'!$E$102*G80</f>
        <v>#REF!</v>
      </c>
      <c r="H112" s="370" t="e">
        <f>'Data (Calculations)'!$E$102*H80</f>
        <v>#REF!</v>
      </c>
      <c r="I112" s="370" t="e">
        <f>'Data (Calculations)'!$E$102*I80</f>
        <v>#REF!</v>
      </c>
      <c r="J112" s="370" t="e">
        <f>'Data (Calculations)'!$E$102*J80</f>
        <v>#REF!</v>
      </c>
      <c r="K112" s="370" t="e">
        <f>'Data (Calculations)'!$E$102*K80</f>
        <v>#REF!</v>
      </c>
      <c r="L112" s="370" t="e">
        <f>'Data (Calculations)'!$E$102*L80</f>
        <v>#REF!</v>
      </c>
      <c r="M112" s="370" t="e">
        <f>'Data (Calculations)'!$E$102*M80</f>
        <v>#REF!</v>
      </c>
      <c r="N112" s="370" t="e">
        <f>'Data (Calculations)'!$E$102*N80</f>
        <v>#REF!</v>
      </c>
      <c r="O112" s="370">
        <f>'Data (Calculations)'!$E$102*O80</f>
        <v>16022.496271627884</v>
      </c>
      <c r="P112" s="370">
        <f>'Data (Calculations)'!$E$102*P80</f>
        <v>2187.8329053080406</v>
      </c>
      <c r="Q112" s="370">
        <f>'Data (Calculations)'!$E$102*Q80</f>
        <v>5999.1450663988007</v>
      </c>
      <c r="R112" s="370">
        <f>'Data (Calculations)'!$E$102*R80</f>
        <v>5445.9893592020444</v>
      </c>
      <c r="S112" s="370">
        <f>'Data (Calculations)'!$E$102*S80</f>
        <v>2138.9596476225547</v>
      </c>
      <c r="T112" s="370">
        <f>'Data (Calculations)'!$E$102*T80</f>
        <v>2397.9807493819244</v>
      </c>
      <c r="U112" s="119" t="e">
        <f>'Data (Calculations)'!$E$102*U80</f>
        <v>#VALUE!</v>
      </c>
      <c r="V112" s="119">
        <f>'Data (Calculations)'!$E$102*V80</f>
        <v>1941.3419461533454</v>
      </c>
      <c r="W112" s="119">
        <f>'Data (Calculations)'!$E$102*W80</f>
        <v>1936.4881768190705</v>
      </c>
      <c r="X112" s="119">
        <f>'Data (Calculations)'!$E$102*X80</f>
        <v>1930.2638415266417</v>
      </c>
      <c r="Y112" s="119">
        <f>'Data (Calculations)'!$E$102*Y80</f>
        <v>1923.1471590612155</v>
      </c>
      <c r="Z112" s="119">
        <f>'Data (Calculations)'!$E$102*Z80</f>
        <v>1915.4869567328494</v>
      </c>
      <c r="AA112" s="119">
        <f>'Data (Calculations)'!$E$102*AA80</f>
        <v>1907.2708250667404</v>
      </c>
      <c r="AB112" s="119">
        <f>'Data (Calculations)'!$E$102*AB80</f>
        <v>1898.4243828815879</v>
      </c>
      <c r="AC112" s="119">
        <f>'Data (Calculations)'!$E$102*AC80</f>
        <v>1888.8408632935555</v>
      </c>
      <c r="AD112" s="119">
        <f>'Data (Calculations)'!$E$102*AD80</f>
        <v>1878.4454311161678</v>
      </c>
      <c r="AE112" s="119">
        <f>'Data (Calculations)'!$E$102*AE80</f>
        <v>1867.2138727400497</v>
      </c>
      <c r="AF112" s="119">
        <f>'Data (Calculations)'!$E$102*AF80</f>
        <v>1855.1783468651529</v>
      </c>
      <c r="AG112" s="119">
        <f>'Data (Calculations)'!$E$102*AG80</f>
        <v>1842.324173990794</v>
      </c>
    </row>
    <row r="113" spans="1:33">
      <c r="A113" s="17"/>
      <c r="B113" s="17"/>
      <c r="E113" s="60"/>
      <c r="F113" s="370"/>
      <c r="G113" s="370"/>
      <c r="H113" s="370"/>
      <c r="I113" s="370"/>
      <c r="J113" s="370"/>
      <c r="K113" s="370"/>
      <c r="L113" s="370"/>
      <c r="M113" s="370"/>
      <c r="N113" s="370"/>
      <c r="O113" s="370"/>
      <c r="P113" s="370"/>
      <c r="Q113" s="370"/>
      <c r="R113" s="370"/>
      <c r="S113" s="370"/>
      <c r="T113" s="370"/>
      <c r="U113" s="119"/>
      <c r="V113" s="119"/>
      <c r="W113" s="119"/>
      <c r="X113" s="119"/>
      <c r="Y113" s="119"/>
      <c r="Z113" s="119"/>
      <c r="AA113" s="119"/>
      <c r="AB113" s="119"/>
      <c r="AC113" s="119"/>
      <c r="AD113" s="119"/>
      <c r="AE113" s="119"/>
      <c r="AF113" s="119"/>
      <c r="AG113" s="119"/>
    </row>
    <row r="114" spans="1:33">
      <c r="A114" s="17"/>
      <c r="B114" s="17"/>
      <c r="E114" s="86" t="s">
        <v>102</v>
      </c>
      <c r="F114" s="268" t="e">
        <f t="shared" ref="F114:T114" si="35">F108-SUM(F109:F112)</f>
        <v>#REF!</v>
      </c>
      <c r="G114" s="268" t="e">
        <f t="shared" si="35"/>
        <v>#REF!</v>
      </c>
      <c r="H114" s="268" t="e">
        <f t="shared" si="35"/>
        <v>#REF!</v>
      </c>
      <c r="I114" s="268" t="e">
        <f t="shared" si="35"/>
        <v>#REF!</v>
      </c>
      <c r="J114" s="268" t="e">
        <f t="shared" si="35"/>
        <v>#REF!</v>
      </c>
      <c r="K114" s="268" t="e">
        <f t="shared" si="35"/>
        <v>#REF!</v>
      </c>
      <c r="L114" s="268" t="e">
        <f t="shared" si="35"/>
        <v>#REF!</v>
      </c>
      <c r="M114" s="268" t="e">
        <f t="shared" si="35"/>
        <v>#REF!</v>
      </c>
      <c r="N114" s="268" t="e">
        <f t="shared" si="35"/>
        <v>#REF!</v>
      </c>
      <c r="O114" s="268">
        <f t="shared" si="35"/>
        <v>52340.154487317763</v>
      </c>
      <c r="P114" s="268">
        <f t="shared" si="35"/>
        <v>7146.9208240062662</v>
      </c>
      <c r="Q114" s="268">
        <f t="shared" si="35"/>
        <v>19597.207216902749</v>
      </c>
      <c r="R114" s="268">
        <f t="shared" si="35"/>
        <v>17790.23190672668</v>
      </c>
      <c r="S114" s="268">
        <f t="shared" si="35"/>
        <v>6987.2681822336799</v>
      </c>
      <c r="T114" s="268">
        <f t="shared" si="35"/>
        <v>7833.4037813142868</v>
      </c>
      <c r="U114" s="91" t="e">
        <f>U108-SUM(U109:U112)</f>
        <v>#VALUE!</v>
      </c>
      <c r="V114" s="91">
        <f t="shared" ref="V114:AD114" si="36">V108-SUM(V109:V112)</f>
        <v>6341.7170241009298</v>
      </c>
      <c r="W114" s="91">
        <f t="shared" si="36"/>
        <v>6325.8613776089642</v>
      </c>
      <c r="X114" s="91">
        <f t="shared" si="36"/>
        <v>6305.5285489870294</v>
      </c>
      <c r="Y114" s="91">
        <f t="shared" si="36"/>
        <v>6282.2807195999703</v>
      </c>
      <c r="Z114" s="91">
        <f t="shared" si="36"/>
        <v>6257.257391993975</v>
      </c>
      <c r="AA114" s="91">
        <f t="shared" si="36"/>
        <v>6230.4180285513521</v>
      </c>
      <c r="AB114" s="91">
        <f t="shared" si="36"/>
        <v>6201.5196507465207</v>
      </c>
      <c r="AC114" s="91">
        <f t="shared" si="36"/>
        <v>6170.2134867589484</v>
      </c>
      <c r="AD114" s="91">
        <f t="shared" si="36"/>
        <v>6136.2550749794818</v>
      </c>
      <c r="AE114" s="91">
        <f>AE108-SUM(AE109:AE112)</f>
        <v>6099.5653176174974</v>
      </c>
      <c r="AF114" s="91">
        <f>AF108-SUM(AF109:AF112)</f>
        <v>6060.2492664261663</v>
      </c>
      <c r="AG114" s="91">
        <f>AG108-SUM(AG109:AG112)</f>
        <v>6018.258968369928</v>
      </c>
    </row>
    <row r="115" spans="1:33">
      <c r="A115" s="17"/>
      <c r="E115" s="284" t="s">
        <v>104</v>
      </c>
      <c r="F115" s="301" t="e">
        <f t="shared" ref="F115:T115" si="37">SUM(F109:F112)+F114</f>
        <v>#REF!</v>
      </c>
      <c r="G115" s="301" t="e">
        <f t="shared" si="37"/>
        <v>#REF!</v>
      </c>
      <c r="H115" s="301" t="e">
        <f t="shared" si="37"/>
        <v>#REF!</v>
      </c>
      <c r="I115" s="301" t="e">
        <f t="shared" si="37"/>
        <v>#REF!</v>
      </c>
      <c r="J115" s="301" t="e">
        <f t="shared" si="37"/>
        <v>#REF!</v>
      </c>
      <c r="K115" s="301" t="e">
        <f t="shared" si="37"/>
        <v>#REF!</v>
      </c>
      <c r="L115" s="301" t="e">
        <f t="shared" si="37"/>
        <v>#REF!</v>
      </c>
      <c r="M115" s="301" t="e">
        <f t="shared" si="37"/>
        <v>#REF!</v>
      </c>
      <c r="N115" s="301" t="e">
        <f t="shared" si="37"/>
        <v>#REF!</v>
      </c>
      <c r="O115" s="301">
        <f t="shared" si="37"/>
        <v>106816.64181085257</v>
      </c>
      <c r="P115" s="301">
        <f t="shared" si="37"/>
        <v>14585.552702053605</v>
      </c>
      <c r="Q115" s="301">
        <f t="shared" si="37"/>
        <v>39994.30044265867</v>
      </c>
      <c r="R115" s="301">
        <f t="shared" si="37"/>
        <v>36306.595728013628</v>
      </c>
      <c r="S115" s="301">
        <f t="shared" si="37"/>
        <v>14259.730984150367</v>
      </c>
      <c r="T115" s="301">
        <f t="shared" si="37"/>
        <v>15986.53832921283</v>
      </c>
      <c r="U115" s="301" t="e">
        <f>SUM(U109:U112)+U114</f>
        <v>#VALUE!</v>
      </c>
      <c r="V115" s="301">
        <f t="shared" ref="V115:AG115" si="38">SUM(V109:V112)+V114</f>
        <v>12942.279641022304</v>
      </c>
      <c r="W115" s="301">
        <f t="shared" si="38"/>
        <v>12909.921178793804</v>
      </c>
      <c r="X115" s="301">
        <f t="shared" si="38"/>
        <v>12868.425610177612</v>
      </c>
      <c r="Y115" s="301">
        <f t="shared" si="38"/>
        <v>12820.981060408103</v>
      </c>
      <c r="Z115" s="301">
        <f t="shared" si="38"/>
        <v>12769.913044885663</v>
      </c>
      <c r="AA115" s="301">
        <f t="shared" si="38"/>
        <v>12715.13883377827</v>
      </c>
      <c r="AB115" s="301">
        <f t="shared" si="38"/>
        <v>12656.162552543919</v>
      </c>
      <c r="AC115" s="301">
        <f t="shared" si="38"/>
        <v>12592.272421957037</v>
      </c>
      <c r="AD115" s="301">
        <f t="shared" si="38"/>
        <v>12522.969540774453</v>
      </c>
      <c r="AE115" s="301">
        <f t="shared" si="38"/>
        <v>12448.092484933666</v>
      </c>
      <c r="AF115" s="301">
        <f t="shared" si="38"/>
        <v>12367.855645767686</v>
      </c>
      <c r="AG115" s="301">
        <f t="shared" si="38"/>
        <v>12282.161159938627</v>
      </c>
    </row>
    <row r="116" spans="1:33">
      <c r="A116" s="17"/>
      <c r="E116" s="34" t="s">
        <v>105</v>
      </c>
      <c r="F116" s="282" t="e">
        <f t="shared" ref="F116:T116" si="39">SUM(F109:F111)/(SUM(F109:F112)+F114)</f>
        <v>#REF!</v>
      </c>
      <c r="G116" s="282" t="e">
        <f t="shared" si="39"/>
        <v>#REF!</v>
      </c>
      <c r="H116" s="282" t="e">
        <f t="shared" si="39"/>
        <v>#REF!</v>
      </c>
      <c r="I116" s="282" t="e">
        <f t="shared" si="39"/>
        <v>#REF!</v>
      </c>
      <c r="J116" s="282" t="e">
        <f t="shared" si="39"/>
        <v>#REF!</v>
      </c>
      <c r="K116" s="282" t="e">
        <f t="shared" si="39"/>
        <v>#REF!</v>
      </c>
      <c r="L116" s="282" t="e">
        <f t="shared" si="39"/>
        <v>#REF!</v>
      </c>
      <c r="M116" s="282" t="e">
        <f t="shared" si="39"/>
        <v>#REF!</v>
      </c>
      <c r="N116" s="282" t="e">
        <f t="shared" si="39"/>
        <v>#REF!</v>
      </c>
      <c r="O116" s="282">
        <f t="shared" si="39"/>
        <v>0.36</v>
      </c>
      <c r="P116" s="282">
        <f t="shared" si="39"/>
        <v>0.36</v>
      </c>
      <c r="Q116" s="282">
        <f t="shared" si="39"/>
        <v>0.36</v>
      </c>
      <c r="R116" s="282">
        <f t="shared" si="39"/>
        <v>0.36</v>
      </c>
      <c r="S116" s="282">
        <f t="shared" si="39"/>
        <v>0.36</v>
      </c>
      <c r="T116" s="282">
        <f t="shared" si="39"/>
        <v>0.36</v>
      </c>
      <c r="U116" s="282" t="e">
        <f>SUM(U109:U111)/(SUM(U109:U112)+U114)</f>
        <v>#VALUE!</v>
      </c>
      <c r="V116" s="282">
        <f t="shared" ref="V116:AG116" si="40">SUM(V109:V111)/(SUM(V109:V112)+V114)</f>
        <v>0.36</v>
      </c>
      <c r="W116" s="282">
        <f t="shared" si="40"/>
        <v>0.36</v>
      </c>
      <c r="X116" s="282">
        <f t="shared" si="40"/>
        <v>0.36000000000000004</v>
      </c>
      <c r="Y116" s="282">
        <f t="shared" si="40"/>
        <v>0.36</v>
      </c>
      <c r="Z116" s="282">
        <f t="shared" si="40"/>
        <v>0.36</v>
      </c>
      <c r="AA116" s="282">
        <f t="shared" si="40"/>
        <v>0.36000000000000004</v>
      </c>
      <c r="AB116" s="282">
        <f t="shared" si="40"/>
        <v>0.36</v>
      </c>
      <c r="AC116" s="282">
        <f t="shared" si="40"/>
        <v>0.36000000000000004</v>
      </c>
      <c r="AD116" s="282">
        <f t="shared" si="40"/>
        <v>0.36</v>
      </c>
      <c r="AE116" s="282">
        <f t="shared" si="40"/>
        <v>0.35999999999999993</v>
      </c>
      <c r="AF116" s="282">
        <f t="shared" si="40"/>
        <v>0.36</v>
      </c>
      <c r="AG116" s="282">
        <f t="shared" si="40"/>
        <v>0.36</v>
      </c>
    </row>
    <row r="117" spans="1:33">
      <c r="A117" s="17"/>
      <c r="E117" s="280" t="s">
        <v>274</v>
      </c>
      <c r="F117" s="283" t="e">
        <f t="shared" ref="F117:T117" si="41">(F112/(SUM(F109:F112)+F114)*100000)</f>
        <v>#REF!</v>
      </c>
      <c r="G117" s="283" t="e">
        <f t="shared" si="41"/>
        <v>#REF!</v>
      </c>
      <c r="H117" s="283" t="e">
        <f t="shared" si="41"/>
        <v>#REF!</v>
      </c>
      <c r="I117" s="283" t="e">
        <f t="shared" si="41"/>
        <v>#REF!</v>
      </c>
      <c r="J117" s="283" t="e">
        <f t="shared" si="41"/>
        <v>#REF!</v>
      </c>
      <c r="K117" s="283" t="e">
        <f t="shared" si="41"/>
        <v>#REF!</v>
      </c>
      <c r="L117" s="283" t="e">
        <f t="shared" si="41"/>
        <v>#REF!</v>
      </c>
      <c r="M117" s="283" t="e">
        <f t="shared" si="41"/>
        <v>#REF!</v>
      </c>
      <c r="N117" s="283" t="e">
        <f t="shared" si="41"/>
        <v>#REF!</v>
      </c>
      <c r="O117" s="283">
        <f t="shared" si="41"/>
        <v>15000</v>
      </c>
      <c r="P117" s="283">
        <f t="shared" si="41"/>
        <v>15000</v>
      </c>
      <c r="Q117" s="283">
        <f t="shared" si="41"/>
        <v>15000</v>
      </c>
      <c r="R117" s="283">
        <f t="shared" si="41"/>
        <v>15000</v>
      </c>
      <c r="S117" s="283">
        <f t="shared" si="41"/>
        <v>15000</v>
      </c>
      <c r="T117" s="283">
        <f t="shared" si="41"/>
        <v>15000</v>
      </c>
      <c r="U117" s="283" t="e">
        <f>(U112/(SUM(U109:U112)+U114)*100000)</f>
        <v>#VALUE!</v>
      </c>
      <c r="V117" s="283">
        <f t="shared" ref="V117:AG117" si="42">(V112/(SUM(V109:V112)+V114)*100000)</f>
        <v>15000</v>
      </c>
      <c r="W117" s="283">
        <f t="shared" si="42"/>
        <v>15000</v>
      </c>
      <c r="X117" s="283">
        <f t="shared" si="42"/>
        <v>15000</v>
      </c>
      <c r="Y117" s="283">
        <f t="shared" si="42"/>
        <v>15000</v>
      </c>
      <c r="Z117" s="283">
        <f t="shared" si="42"/>
        <v>15000</v>
      </c>
      <c r="AA117" s="283">
        <f t="shared" si="42"/>
        <v>15000</v>
      </c>
      <c r="AB117" s="283">
        <f t="shared" si="42"/>
        <v>15000</v>
      </c>
      <c r="AC117" s="283">
        <f t="shared" si="42"/>
        <v>15000</v>
      </c>
      <c r="AD117" s="283">
        <f t="shared" si="42"/>
        <v>15000</v>
      </c>
      <c r="AE117" s="283">
        <f t="shared" si="42"/>
        <v>15000</v>
      </c>
      <c r="AF117" s="283">
        <f t="shared" si="42"/>
        <v>15000</v>
      </c>
      <c r="AG117" s="283">
        <f t="shared" si="42"/>
        <v>15000</v>
      </c>
    </row>
    <row r="118" spans="1:33">
      <c r="A118" s="17"/>
      <c r="S118" s="86"/>
    </row>
    <row r="119" spans="1:33">
      <c r="A119" s="17"/>
      <c r="S119" s="86"/>
    </row>
    <row r="120" spans="1:33" ht="19">
      <c r="A120" s="17"/>
      <c r="E120" s="169" t="s">
        <v>194</v>
      </c>
      <c r="F120" s="373"/>
      <c r="G120" s="373"/>
      <c r="H120" s="373"/>
      <c r="I120" s="373"/>
      <c r="J120" s="373"/>
      <c r="K120" s="373"/>
      <c r="L120" s="373"/>
      <c r="M120" s="373"/>
      <c r="N120" s="373"/>
      <c r="O120" s="373"/>
      <c r="P120" s="373"/>
      <c r="Q120" s="373"/>
      <c r="R120" s="373"/>
      <c r="S120" s="373"/>
      <c r="T120" s="373"/>
      <c r="U120" s="170"/>
      <c r="V120" s="170"/>
      <c r="W120" s="170"/>
      <c r="X120" s="170"/>
      <c r="Y120" s="170"/>
      <c r="Z120" s="170"/>
      <c r="AA120" s="170"/>
      <c r="AB120" s="170"/>
      <c r="AC120" s="170"/>
      <c r="AD120" s="170"/>
      <c r="AE120" s="170"/>
      <c r="AF120" s="170"/>
      <c r="AG120" s="170"/>
    </row>
    <row r="121" spans="1:33">
      <c r="A121" s="17"/>
      <c r="E121" s="162" t="s">
        <v>23</v>
      </c>
      <c r="F121" s="370" t="e">
        <f t="shared" ref="F121:AG121" si="43">F95</f>
        <v>#REF!</v>
      </c>
      <c r="G121" s="370" t="e">
        <f t="shared" si="43"/>
        <v>#REF!</v>
      </c>
      <c r="H121" s="370" t="e">
        <f t="shared" si="43"/>
        <v>#REF!</v>
      </c>
      <c r="I121" s="370" t="e">
        <f t="shared" si="43"/>
        <v>#REF!</v>
      </c>
      <c r="J121" s="370" t="e">
        <f t="shared" si="43"/>
        <v>#REF!</v>
      </c>
      <c r="K121" s="370" t="e">
        <f t="shared" si="43"/>
        <v>#REF!</v>
      </c>
      <c r="L121" s="370" t="e">
        <f t="shared" si="43"/>
        <v>#REF!</v>
      </c>
      <c r="M121" s="370" t="e">
        <f t="shared" si="43"/>
        <v>#REF!</v>
      </c>
      <c r="N121" s="370" t="e">
        <f t="shared" si="43"/>
        <v>#REF!</v>
      </c>
      <c r="O121" s="370">
        <f t="shared" si="43"/>
        <v>7455.0623985447373</v>
      </c>
      <c r="P121" s="370">
        <f t="shared" si="43"/>
        <v>1367.8928260007935</v>
      </c>
      <c r="Q121" s="370">
        <f t="shared" si="43"/>
        <v>763.35587352299058</v>
      </c>
      <c r="R121" s="370">
        <f t="shared" si="43"/>
        <v>804.37345432888844</v>
      </c>
      <c r="S121" s="370">
        <f t="shared" si="43"/>
        <v>1551.7167357029407</v>
      </c>
      <c r="T121" s="370">
        <f t="shared" si="43"/>
        <v>1573.4700029162896</v>
      </c>
      <c r="U121" s="119" t="e">
        <f t="shared" si="43"/>
        <v>#VALUE!</v>
      </c>
      <c r="V121" s="119">
        <f t="shared" si="43"/>
        <v>3790.5467009920199</v>
      </c>
      <c r="W121" s="119">
        <f t="shared" si="43"/>
        <v>3781.0695249726841</v>
      </c>
      <c r="X121" s="119">
        <f t="shared" si="43"/>
        <v>3768.9162648758056</v>
      </c>
      <c r="Y121" s="119">
        <f t="shared" si="43"/>
        <v>3755.0206617365534</v>
      </c>
      <c r="Z121" s="119">
        <f t="shared" si="43"/>
        <v>3740.0638146328006</v>
      </c>
      <c r="AA121" s="119">
        <f t="shared" si="43"/>
        <v>3724.0214935756594</v>
      </c>
      <c r="AB121" s="119">
        <f t="shared" si="43"/>
        <v>3706.7484663756404</v>
      </c>
      <c r="AC121" s="119">
        <f t="shared" si="43"/>
        <v>3688.0362664820104</v>
      </c>
      <c r="AD121" s="119">
        <f t="shared" si="43"/>
        <v>3667.7387752422724</v>
      </c>
      <c r="AE121" s="119">
        <f t="shared" si="43"/>
        <v>3645.8087146293287</v>
      </c>
      <c r="AF121" s="119">
        <f t="shared" si="43"/>
        <v>3622.3088757729183</v>
      </c>
      <c r="AG121" s="119">
        <f t="shared" si="43"/>
        <v>3597.2105963691133</v>
      </c>
    </row>
    <row r="122" spans="1:33">
      <c r="A122" s="17"/>
      <c r="E122" s="162" t="s">
        <v>24</v>
      </c>
      <c r="F122" s="370" t="e">
        <f t="shared" ref="F122:AG125" si="44">F96+F109</f>
        <v>#REF!</v>
      </c>
      <c r="G122" s="370" t="e">
        <f t="shared" si="44"/>
        <v>#REF!</v>
      </c>
      <c r="H122" s="370" t="e">
        <f t="shared" si="44"/>
        <v>#REF!</v>
      </c>
      <c r="I122" s="370" t="e">
        <f t="shared" si="44"/>
        <v>#REF!</v>
      </c>
      <c r="J122" s="370" t="e">
        <f t="shared" si="44"/>
        <v>#REF!</v>
      </c>
      <c r="K122" s="370" t="e">
        <f t="shared" si="44"/>
        <v>#REF!</v>
      </c>
      <c r="L122" s="370" t="e">
        <f t="shared" si="44"/>
        <v>#REF!</v>
      </c>
      <c r="M122" s="370" t="e">
        <f t="shared" si="44"/>
        <v>#REF!</v>
      </c>
      <c r="N122" s="370" t="e">
        <f t="shared" si="44"/>
        <v>#REF!</v>
      </c>
      <c r="O122" s="370">
        <f t="shared" si="44"/>
        <v>22634.243274895671</v>
      </c>
      <c r="P122" s="370">
        <f t="shared" si="44"/>
        <v>3100.1673940523042</v>
      </c>
      <c r="Q122" s="370">
        <f t="shared" si="44"/>
        <v>8419.5633825360128</v>
      </c>
      <c r="R122" s="370">
        <f t="shared" si="44"/>
        <v>7646.260909986313</v>
      </c>
      <c r="S122" s="370">
        <f t="shared" si="44"/>
        <v>3036.7441235700512</v>
      </c>
      <c r="T122" s="370">
        <f t="shared" si="44"/>
        <v>3399.965269690485</v>
      </c>
      <c r="U122" s="119" t="e">
        <f t="shared" si="44"/>
        <v>#VALUE!</v>
      </c>
      <c r="V122" s="119">
        <f t="shared" si="44"/>
        <v>2820.9667467283816</v>
      </c>
      <c r="W122" s="119">
        <f t="shared" si="44"/>
        <v>2813.9137275962239</v>
      </c>
      <c r="X122" s="119">
        <f t="shared" si="44"/>
        <v>2804.8691371183741</v>
      </c>
      <c r="Y122" s="119">
        <f t="shared" si="44"/>
        <v>2794.5278756926</v>
      </c>
      <c r="Z122" s="119">
        <f t="shared" si="44"/>
        <v>2783.3968247799316</v>
      </c>
      <c r="AA122" s="119">
        <f t="shared" si="44"/>
        <v>2771.457952154859</v>
      </c>
      <c r="AB122" s="119">
        <f t="shared" si="44"/>
        <v>2758.6031744169036</v>
      </c>
      <c r="AC122" s="119">
        <f t="shared" si="44"/>
        <v>2744.6773484551113</v>
      </c>
      <c r="AD122" s="119">
        <f t="shared" si="44"/>
        <v>2729.5717311534363</v>
      </c>
      <c r="AE122" s="119">
        <f t="shared" si="44"/>
        <v>2713.2511376816128</v>
      </c>
      <c r="AF122" s="119">
        <f t="shared" si="44"/>
        <v>2695.7622978923387</v>
      </c>
      <c r="AG122" s="119">
        <f t="shared" si="44"/>
        <v>2677.0838809822658</v>
      </c>
    </row>
    <row r="123" spans="1:33">
      <c r="A123" s="17"/>
      <c r="E123" s="162" t="s">
        <v>25</v>
      </c>
      <c r="F123" s="370" t="e">
        <f t="shared" si="44"/>
        <v>#REF!</v>
      </c>
      <c r="G123" s="370" t="e">
        <f t="shared" si="44"/>
        <v>#REF!</v>
      </c>
      <c r="H123" s="370" t="e">
        <f t="shared" si="44"/>
        <v>#REF!</v>
      </c>
      <c r="I123" s="370" t="e">
        <f t="shared" si="44"/>
        <v>#REF!</v>
      </c>
      <c r="J123" s="370" t="e">
        <f t="shared" si="44"/>
        <v>#REF!</v>
      </c>
      <c r="K123" s="370" t="e">
        <f t="shared" si="44"/>
        <v>#REF!</v>
      </c>
      <c r="L123" s="370" t="e">
        <f t="shared" si="44"/>
        <v>#REF!</v>
      </c>
      <c r="M123" s="370" t="e">
        <f t="shared" si="44"/>
        <v>#REF!</v>
      </c>
      <c r="N123" s="370" t="e">
        <f t="shared" si="44"/>
        <v>#REF!</v>
      </c>
      <c r="O123" s="370">
        <f t="shared" si="44"/>
        <v>9710.0446651751281</v>
      </c>
      <c r="P123" s="370">
        <f t="shared" si="44"/>
        <v>1330.4146606234185</v>
      </c>
      <c r="Q123" s="370">
        <f t="shared" si="44"/>
        <v>3609.3728920191334</v>
      </c>
      <c r="R123" s="370">
        <f t="shared" si="44"/>
        <v>3278.01066652287</v>
      </c>
      <c r="S123" s="370">
        <f t="shared" si="44"/>
        <v>1303.4713204299492</v>
      </c>
      <c r="T123" s="370">
        <f t="shared" si="44"/>
        <v>1459.1656975128644</v>
      </c>
      <c r="U123" s="119" t="e">
        <f t="shared" si="44"/>
        <v>#VALUE!</v>
      </c>
      <c r="V123" s="119">
        <f t="shared" si="44"/>
        <v>1213.8947020318635</v>
      </c>
      <c r="W123" s="119">
        <f t="shared" si="44"/>
        <v>1210.8597061150258</v>
      </c>
      <c r="X123" s="119">
        <f t="shared" si="44"/>
        <v>1206.9677139545925</v>
      </c>
      <c r="Y123" s="119">
        <f t="shared" si="44"/>
        <v>1202.5177492495382</v>
      </c>
      <c r="Z123" s="119">
        <f t="shared" si="44"/>
        <v>1197.7279289701582</v>
      </c>
      <c r="AA123" s="119">
        <f t="shared" si="44"/>
        <v>1192.5904936407214</v>
      </c>
      <c r="AB123" s="119">
        <f t="shared" si="44"/>
        <v>1187.0589337207055</v>
      </c>
      <c r="AC123" s="119">
        <f t="shared" si="44"/>
        <v>1181.0664893304827</v>
      </c>
      <c r="AD123" s="119">
        <f t="shared" si="44"/>
        <v>1174.5663670462729</v>
      </c>
      <c r="AE123" s="119">
        <f t="shared" si="44"/>
        <v>1167.5434264276219</v>
      </c>
      <c r="AF123" s="119">
        <f t="shared" si="44"/>
        <v>1160.0177758720083</v>
      </c>
      <c r="AG123" s="119">
        <f t="shared" si="44"/>
        <v>1151.980236487407</v>
      </c>
    </row>
    <row r="124" spans="1:33">
      <c r="A124" s="17"/>
      <c r="B124" s="331"/>
      <c r="E124" s="60" t="s">
        <v>33</v>
      </c>
      <c r="F124" s="370" t="e">
        <f t="shared" si="44"/>
        <v>#REF!</v>
      </c>
      <c r="G124" s="370" t="e">
        <f t="shared" si="44"/>
        <v>#REF!</v>
      </c>
      <c r="H124" s="370" t="e">
        <f t="shared" si="44"/>
        <v>#REF!</v>
      </c>
      <c r="I124" s="370" t="e">
        <f t="shared" si="44"/>
        <v>#REF!</v>
      </c>
      <c r="J124" s="370" t="e">
        <f t="shared" si="44"/>
        <v>#REF!</v>
      </c>
      <c r="K124" s="370" t="e">
        <f t="shared" si="44"/>
        <v>#REF!</v>
      </c>
      <c r="L124" s="370" t="e">
        <f t="shared" si="44"/>
        <v>#REF!</v>
      </c>
      <c r="M124" s="370" t="e">
        <f t="shared" si="44"/>
        <v>#REF!</v>
      </c>
      <c r="N124" s="370" t="e">
        <f t="shared" si="44"/>
        <v>#REF!</v>
      </c>
      <c r="O124" s="370">
        <f t="shared" si="44"/>
        <v>6524.8547912892309</v>
      </c>
      <c r="P124" s="370">
        <f t="shared" si="44"/>
        <v>896.39106304952918</v>
      </c>
      <c r="Q124" s="370">
        <f t="shared" si="44"/>
        <v>2411.5210491753442</v>
      </c>
      <c r="R124" s="370">
        <f t="shared" si="44"/>
        <v>2190.8962048827902</v>
      </c>
      <c r="S124" s="370">
        <f t="shared" si="44"/>
        <v>879.69849727672158</v>
      </c>
      <c r="T124" s="370">
        <f t="shared" si="44"/>
        <v>983.64499721322147</v>
      </c>
      <c r="U124" s="119" t="e">
        <f t="shared" si="44"/>
        <v>#VALUE!</v>
      </c>
      <c r="V124" s="119">
        <f t="shared" si="44"/>
        <v>835.44421966916559</v>
      </c>
      <c r="W124" s="119">
        <f t="shared" si="44"/>
        <v>833.35543075592841</v>
      </c>
      <c r="X124" s="119">
        <f t="shared" si="44"/>
        <v>830.67682745698562</v>
      </c>
      <c r="Y124" s="119">
        <f t="shared" si="44"/>
        <v>827.61420819985665</v>
      </c>
      <c r="Z124" s="119">
        <f t="shared" si="44"/>
        <v>824.31768860967827</v>
      </c>
      <c r="AA124" s="119">
        <f t="shared" si="44"/>
        <v>820.78192834750882</v>
      </c>
      <c r="AB124" s="119">
        <f t="shared" si="44"/>
        <v>816.97491794273833</v>
      </c>
      <c r="AC124" s="119">
        <f t="shared" si="44"/>
        <v>812.85071094264117</v>
      </c>
      <c r="AD124" s="119">
        <f t="shared" si="44"/>
        <v>808.37710249835368</v>
      </c>
      <c r="AE124" s="119">
        <f t="shared" si="44"/>
        <v>803.54367243633033</v>
      </c>
      <c r="AF124" s="119">
        <f t="shared" si="44"/>
        <v>798.36426004956093</v>
      </c>
      <c r="AG124" s="119">
        <f t="shared" si="44"/>
        <v>792.83254810783433</v>
      </c>
    </row>
    <row r="125" spans="1:33">
      <c r="A125" s="17"/>
      <c r="E125" s="60" t="s">
        <v>28</v>
      </c>
      <c r="F125" s="370" t="e">
        <f t="shared" si="44"/>
        <v>#REF!</v>
      </c>
      <c r="G125" s="370" t="e">
        <f t="shared" si="44"/>
        <v>#REF!</v>
      </c>
      <c r="H125" s="370" t="e">
        <f t="shared" si="44"/>
        <v>#REF!</v>
      </c>
      <c r="I125" s="370" t="e">
        <f t="shared" si="44"/>
        <v>#REF!</v>
      </c>
      <c r="J125" s="370" t="e">
        <f t="shared" si="44"/>
        <v>#REF!</v>
      </c>
      <c r="K125" s="370" t="e">
        <f t="shared" si="44"/>
        <v>#REF!</v>
      </c>
      <c r="L125" s="370" t="e">
        <f t="shared" si="44"/>
        <v>#REF!</v>
      </c>
      <c r="M125" s="370" t="e">
        <f t="shared" si="44"/>
        <v>#REF!</v>
      </c>
      <c r="N125" s="370" t="e">
        <f t="shared" si="44"/>
        <v>#REF!</v>
      </c>
      <c r="O125" s="370">
        <f t="shared" si="44"/>
        <v>16046.632997177483</v>
      </c>
      <c r="P125" s="370">
        <f t="shared" si="44"/>
        <v>2192.2616346676891</v>
      </c>
      <c r="Q125" s="370">
        <f t="shared" si="44"/>
        <v>6001.6165294437642</v>
      </c>
      <c r="R125" s="370">
        <f t="shared" si="44"/>
        <v>5448.5936219524556</v>
      </c>
      <c r="S125" s="370">
        <f t="shared" si="44"/>
        <v>2143.9835305866586</v>
      </c>
      <c r="T125" s="370">
        <f t="shared" si="44"/>
        <v>2403.0750613528517</v>
      </c>
      <c r="U125" s="119" t="e">
        <f t="shared" si="44"/>
        <v>#VALUE!</v>
      </c>
      <c r="V125" s="119">
        <f t="shared" si="44"/>
        <v>1953.6143297383094</v>
      </c>
      <c r="W125" s="119">
        <f t="shared" si="44"/>
        <v>1948.7298768249664</v>
      </c>
      <c r="X125" s="119">
        <f t="shared" si="44"/>
        <v>1942.4661937862936</v>
      </c>
      <c r="Y125" s="119">
        <f t="shared" si="44"/>
        <v>1935.3045225144176</v>
      </c>
      <c r="Z125" s="119">
        <f t="shared" si="44"/>
        <v>1927.5958954654616</v>
      </c>
      <c r="AA125" s="119">
        <f t="shared" si="44"/>
        <v>1919.3278247169096</v>
      </c>
      <c r="AB125" s="119">
        <f t="shared" si="44"/>
        <v>1910.4254588795261</v>
      </c>
      <c r="AC125" s="119">
        <f t="shared" si="44"/>
        <v>1900.7813561321427</v>
      </c>
      <c r="AD125" s="119">
        <f t="shared" si="44"/>
        <v>1890.3202082103107</v>
      </c>
      <c r="AE125" s="119">
        <f t="shared" si="44"/>
        <v>1879.0176484359476</v>
      </c>
      <c r="AF125" s="119">
        <f t="shared" si="44"/>
        <v>1866.906038803382</v>
      </c>
      <c r="AG125" s="119">
        <f t="shared" si="44"/>
        <v>1853.9706070140267</v>
      </c>
    </row>
    <row r="126" spans="1:33">
      <c r="A126" s="17"/>
      <c r="B126" s="92"/>
      <c r="E126" s="86" t="s">
        <v>106</v>
      </c>
      <c r="F126" s="268" t="e">
        <f t="shared" ref="F126:AG126" si="45">F114</f>
        <v>#REF!</v>
      </c>
      <c r="G126" s="268" t="e">
        <f t="shared" si="45"/>
        <v>#REF!</v>
      </c>
      <c r="H126" s="268" t="e">
        <f t="shared" si="45"/>
        <v>#REF!</v>
      </c>
      <c r="I126" s="268" t="e">
        <f t="shared" si="45"/>
        <v>#REF!</v>
      </c>
      <c r="J126" s="268" t="e">
        <f t="shared" si="45"/>
        <v>#REF!</v>
      </c>
      <c r="K126" s="268" t="e">
        <f t="shared" si="45"/>
        <v>#REF!</v>
      </c>
      <c r="L126" s="268" t="e">
        <f t="shared" si="45"/>
        <v>#REF!</v>
      </c>
      <c r="M126" s="268" t="e">
        <f t="shared" si="45"/>
        <v>#REF!</v>
      </c>
      <c r="N126" s="268" t="e">
        <f t="shared" si="45"/>
        <v>#REF!</v>
      </c>
      <c r="O126" s="268">
        <f t="shared" si="45"/>
        <v>52340.154487317763</v>
      </c>
      <c r="P126" s="268">
        <f t="shared" si="45"/>
        <v>7146.9208240062662</v>
      </c>
      <c r="Q126" s="268">
        <f t="shared" si="45"/>
        <v>19597.207216902749</v>
      </c>
      <c r="R126" s="268">
        <f t="shared" si="45"/>
        <v>17790.23190672668</v>
      </c>
      <c r="S126" s="268">
        <f t="shared" si="45"/>
        <v>6987.2681822336799</v>
      </c>
      <c r="T126" s="268">
        <f t="shared" si="45"/>
        <v>7833.4037813142868</v>
      </c>
      <c r="U126" s="91" t="e">
        <f t="shared" si="45"/>
        <v>#VALUE!</v>
      </c>
      <c r="V126" s="91">
        <f t="shared" si="45"/>
        <v>6341.7170241009298</v>
      </c>
      <c r="W126" s="91">
        <f t="shared" si="45"/>
        <v>6325.8613776089642</v>
      </c>
      <c r="X126" s="91">
        <f t="shared" si="45"/>
        <v>6305.5285489870294</v>
      </c>
      <c r="Y126" s="91">
        <f t="shared" si="45"/>
        <v>6282.2807195999703</v>
      </c>
      <c r="Z126" s="91">
        <f t="shared" si="45"/>
        <v>6257.257391993975</v>
      </c>
      <c r="AA126" s="91">
        <f t="shared" si="45"/>
        <v>6230.4180285513521</v>
      </c>
      <c r="AB126" s="91">
        <f t="shared" si="45"/>
        <v>6201.5196507465207</v>
      </c>
      <c r="AC126" s="91">
        <f t="shared" si="45"/>
        <v>6170.2134867589484</v>
      </c>
      <c r="AD126" s="91">
        <f t="shared" si="45"/>
        <v>6136.2550749794818</v>
      </c>
      <c r="AE126" s="91">
        <f t="shared" si="45"/>
        <v>6099.5653176174974</v>
      </c>
      <c r="AF126" s="91">
        <f t="shared" si="45"/>
        <v>6060.2492664261663</v>
      </c>
      <c r="AG126" s="91">
        <f t="shared" si="45"/>
        <v>6018.258968369928</v>
      </c>
    </row>
    <row r="127" spans="1:33">
      <c r="A127" s="17"/>
      <c r="E127" s="86"/>
      <c r="F127" s="268"/>
      <c r="G127" s="268"/>
      <c r="H127" s="268"/>
      <c r="I127" s="268"/>
      <c r="J127" s="268"/>
      <c r="K127" s="268"/>
      <c r="L127" s="268"/>
      <c r="M127" s="268"/>
      <c r="N127" s="268"/>
      <c r="O127" s="268"/>
      <c r="P127" s="268"/>
      <c r="Q127" s="268"/>
      <c r="R127" s="268"/>
      <c r="S127" s="268"/>
      <c r="T127" s="268"/>
      <c r="U127" s="91"/>
      <c r="V127" s="91"/>
      <c r="W127" s="91"/>
      <c r="X127" s="91"/>
      <c r="Y127" s="91"/>
      <c r="Z127" s="91"/>
      <c r="AA127" s="91"/>
      <c r="AB127" s="91"/>
      <c r="AC127" s="91"/>
      <c r="AD127" s="91"/>
      <c r="AE127" s="91"/>
      <c r="AF127" s="91"/>
      <c r="AG127" s="91"/>
    </row>
    <row r="128" spans="1:33">
      <c r="A128" s="17"/>
      <c r="E128" s="86" t="s">
        <v>110</v>
      </c>
      <c r="F128" s="268" t="e">
        <f t="shared" ref="F128:T128" si="46">IF(SUM(F121:F126)=(F23+F24), "Correct","Wrong")</f>
        <v>#REF!</v>
      </c>
      <c r="G128" s="268" t="e">
        <f t="shared" si="46"/>
        <v>#REF!</v>
      </c>
      <c r="H128" s="268" t="e">
        <f t="shared" si="46"/>
        <v>#REF!</v>
      </c>
      <c r="I128" s="268" t="e">
        <f t="shared" si="46"/>
        <v>#REF!</v>
      </c>
      <c r="J128" s="268" t="e">
        <f t="shared" si="46"/>
        <v>#REF!</v>
      </c>
      <c r="K128" s="268" t="e">
        <f t="shared" si="46"/>
        <v>#REF!</v>
      </c>
      <c r="L128" s="268" t="e">
        <f t="shared" si="46"/>
        <v>#REF!</v>
      </c>
      <c r="M128" s="268" t="e">
        <f t="shared" si="46"/>
        <v>#REF!</v>
      </c>
      <c r="N128" s="268" t="e">
        <f t="shared" si="46"/>
        <v>#REF!</v>
      </c>
      <c r="O128" s="268" t="str">
        <f t="shared" si="46"/>
        <v>Wrong</v>
      </c>
      <c r="P128" s="268" t="str">
        <f t="shared" si="46"/>
        <v>Wrong</v>
      </c>
      <c r="Q128" s="268" t="str">
        <f t="shared" si="46"/>
        <v>Wrong</v>
      </c>
      <c r="R128" s="268" t="str">
        <f t="shared" si="46"/>
        <v>Wrong</v>
      </c>
      <c r="S128" s="268" t="str">
        <f t="shared" si="46"/>
        <v>Wrong</v>
      </c>
      <c r="T128" s="268" t="str">
        <f t="shared" si="46"/>
        <v>Wrong</v>
      </c>
      <c r="U128" s="91" t="e">
        <f t="shared" ref="U128:AG128" si="47">IF(SUM(U121:U126)=(U23+U24), "Correct","Wrong")</f>
        <v>#VALUE!</v>
      </c>
      <c r="V128" s="91" t="str">
        <f t="shared" si="47"/>
        <v>Wrong</v>
      </c>
      <c r="W128" s="91" t="str">
        <f t="shared" si="47"/>
        <v>Wrong</v>
      </c>
      <c r="X128" s="91" t="str">
        <f t="shared" si="47"/>
        <v>Wrong</v>
      </c>
      <c r="Y128" s="91" t="str">
        <f t="shared" si="47"/>
        <v>Wrong</v>
      </c>
      <c r="Z128" s="91" t="str">
        <f t="shared" si="47"/>
        <v>Wrong</v>
      </c>
      <c r="AA128" s="91" t="str">
        <f t="shared" si="47"/>
        <v>Wrong</v>
      </c>
      <c r="AB128" s="91" t="str">
        <f t="shared" si="47"/>
        <v>Wrong</v>
      </c>
      <c r="AC128" s="91" t="str">
        <f t="shared" si="47"/>
        <v>Wrong</v>
      </c>
      <c r="AD128" s="91" t="str">
        <f t="shared" si="47"/>
        <v>Wrong</v>
      </c>
      <c r="AE128" s="91" t="str">
        <f t="shared" si="47"/>
        <v>Wrong</v>
      </c>
      <c r="AF128" s="91" t="str">
        <f t="shared" si="47"/>
        <v>Wrong</v>
      </c>
      <c r="AG128" s="91" t="str">
        <f t="shared" si="47"/>
        <v>Wrong</v>
      </c>
    </row>
    <row r="129" spans="1:33">
      <c r="A129" s="17"/>
      <c r="B129" s="92"/>
      <c r="S129" s="86"/>
    </row>
    <row r="130" spans="1:33" ht="19">
      <c r="A130" s="17"/>
      <c r="B130" s="92"/>
      <c r="E130" s="169" t="s">
        <v>195</v>
      </c>
      <c r="F130" s="373"/>
      <c r="G130" s="373"/>
      <c r="H130" s="373"/>
      <c r="I130" s="373"/>
      <c r="J130" s="373"/>
      <c r="K130" s="373"/>
      <c r="L130" s="373"/>
      <c r="M130" s="373"/>
      <c r="N130" s="373"/>
      <c r="O130" s="373"/>
      <c r="P130" s="373"/>
      <c r="Q130" s="373"/>
      <c r="R130" s="373"/>
      <c r="S130" s="373"/>
      <c r="T130" s="373"/>
      <c r="U130" s="170"/>
      <c r="V130" s="170"/>
      <c r="W130" s="170"/>
      <c r="X130" s="170"/>
      <c r="Y130" s="170"/>
      <c r="Z130" s="170"/>
      <c r="AA130" s="170"/>
      <c r="AB130" s="170"/>
      <c r="AC130" s="170"/>
      <c r="AD130" s="170"/>
      <c r="AE130" s="170"/>
      <c r="AF130" s="170"/>
      <c r="AG130" s="170"/>
    </row>
    <row r="131" spans="1:33">
      <c r="A131" s="17"/>
      <c r="B131" s="17"/>
      <c r="E131" s="162" t="s">
        <v>23</v>
      </c>
      <c r="F131" s="370" t="e">
        <f>'Data (Calculations)'!$E$78*(F82+F81)</f>
        <v>#REF!</v>
      </c>
      <c r="G131" s="370" t="e">
        <f>'Data (Calculations)'!$E$78*(G82+G81)</f>
        <v>#REF!</v>
      </c>
      <c r="H131" s="370" t="e">
        <f>'Data (Calculations)'!$E$78*(H82+H81)</f>
        <v>#REF!</v>
      </c>
      <c r="I131" s="370" t="e">
        <f>'Data (Calculations)'!$E$78*(I82+I81)</f>
        <v>#REF!</v>
      </c>
      <c r="J131" s="370" t="e">
        <f>'Data (Calculations)'!$E$78*(J82+J81)</f>
        <v>#REF!</v>
      </c>
      <c r="K131" s="370" t="e">
        <f>'Data (Calculations)'!$E$78*(K82+K81)</f>
        <v>#REF!</v>
      </c>
      <c r="L131" s="370" t="e">
        <f>'Data (Calculations)'!$E$78*(L82+L81)</f>
        <v>#REF!</v>
      </c>
      <c r="M131" s="370" t="e">
        <f>'Data (Calculations)'!$E$78*(M82+M81)</f>
        <v>#REF!</v>
      </c>
      <c r="N131" s="370" t="e">
        <f>'Data (Calculations)'!$E$78*(N82+N81)</f>
        <v>#REF!</v>
      </c>
      <c r="O131" s="370">
        <f>'Data (Calculations)'!$E$78*(O82+O81)</f>
        <v>26005509.283558484</v>
      </c>
      <c r="P131" s="370">
        <f>'Data (Calculations)'!$E$78*(P82+P81)</f>
        <v>25946793.084157493</v>
      </c>
      <c r="Q131" s="370">
        <f>'Data (Calculations)'!$E$78*(Q82+Q81)</f>
        <v>25812249.120819204</v>
      </c>
      <c r="R131" s="370">
        <f>'Data (Calculations)'!$E$78*(R82+R81)</f>
        <v>25749123.513248857</v>
      </c>
      <c r="S131" s="370">
        <f>'Data (Calculations)'!$E$78*(S82+S81)</f>
        <v>25734536.185388442</v>
      </c>
      <c r="T131" s="370">
        <f>'Data (Calculations)'!$E$78*(T82+T81)</f>
        <v>25707802.01787702</v>
      </c>
      <c r="U131" s="119" t="e">
        <f>'Data (Calculations)'!$E$78*(U82+U81)</f>
        <v>#VALUE!</v>
      </c>
      <c r="V131" s="119">
        <f>'Data (Calculations)'!$E$78*(V82+V81)</f>
        <v>25631894.350718465</v>
      </c>
      <c r="W131" s="119">
        <f>'Data (Calculations)'!$E$78*(W82+W81)</f>
        <v>25567809.142532751</v>
      </c>
      <c r="X131" s="119">
        <f>'Data (Calculations)'!$E$78*(X82+X81)</f>
        <v>25485628.100220703</v>
      </c>
      <c r="Y131" s="119">
        <f>'Data (Calculations)'!$E$78*(Y82+Y81)</f>
        <v>25391665.234254271</v>
      </c>
      <c r="Z131" s="119">
        <f>'Data (Calculations)'!$E$78*(Z82+Z81)</f>
        <v>25290526.175689735</v>
      </c>
      <c r="AA131" s="119">
        <f>'Data (Calculations)'!$E$78*(AA82+AA81)</f>
        <v>25182047.079951558</v>
      </c>
      <c r="AB131" s="119">
        <f>'Data (Calculations)'!$E$78*(AB82+AB81)</f>
        <v>25065245.8786388</v>
      </c>
      <c r="AC131" s="119">
        <f>'Data (Calculations)'!$E$78*(AC82+AC81)</f>
        <v>24938712.908970457</v>
      </c>
      <c r="AD131" s="119">
        <f>'Data (Calculations)'!$E$78*(AD82+AD81)</f>
        <v>24801460.108231865</v>
      </c>
      <c r="AE131" s="119">
        <f>'Data (Calculations)'!$E$78*(AE82+AE81)</f>
        <v>24653167.779690258</v>
      </c>
      <c r="AF131" s="119">
        <f>'Data (Calculations)'!$E$78*(AF82+AF81)</f>
        <v>24494260.520568825</v>
      </c>
      <c r="AG131" s="119">
        <f>'Data (Calculations)'!$E$78*(AG82+AG81)</f>
        <v>24324544.514723338</v>
      </c>
    </row>
    <row r="132" spans="1:33">
      <c r="A132" s="17"/>
      <c r="B132" s="17"/>
      <c r="E132" s="162" t="s">
        <v>24</v>
      </c>
      <c r="F132" s="370" t="e">
        <f>'Data (Calculations)'!$E$79*(F82+F81)</f>
        <v>#REF!</v>
      </c>
      <c r="G132" s="370" t="e">
        <f>'Data (Calculations)'!$E$79*(G82+G81)</f>
        <v>#REF!</v>
      </c>
      <c r="H132" s="370" t="e">
        <f>'Data (Calculations)'!$E$79*(H82+H81)</f>
        <v>#REF!</v>
      </c>
      <c r="I132" s="370" t="e">
        <f>'Data (Calculations)'!$E$79*(I82+I81)</f>
        <v>#REF!</v>
      </c>
      <c r="J132" s="370" t="e">
        <f>'Data (Calculations)'!$E$79*(J82+J81)</f>
        <v>#REF!</v>
      </c>
      <c r="K132" s="370" t="e">
        <f>'Data (Calculations)'!$E$79*(K82+K81)</f>
        <v>#REF!</v>
      </c>
      <c r="L132" s="370" t="e">
        <f>'Data (Calculations)'!$E$79*(L82+L81)</f>
        <v>#REF!</v>
      </c>
      <c r="M132" s="370" t="e">
        <f>'Data (Calculations)'!$E$79*(M82+M81)</f>
        <v>#REF!</v>
      </c>
      <c r="N132" s="370" t="e">
        <f>'Data (Calculations)'!$E$79*(N82+N81)</f>
        <v>#REF!</v>
      </c>
      <c r="O132" s="370">
        <f>'Data (Calculations)'!$E$79*(O82+O81)</f>
        <v>7465.7238271196675</v>
      </c>
      <c r="P132" s="370">
        <f>'Data (Calculations)'!$E$79*(P82+P81)</f>
        <v>7448.8674401085109</v>
      </c>
      <c r="Q132" s="370">
        <f>'Data (Calculations)'!$E$79*(Q82+Q81)</f>
        <v>7410.242237197187</v>
      </c>
      <c r="R132" s="370">
        <f>'Data (Calculations)'!$E$79*(R82+R81)</f>
        <v>7392.1199867386158</v>
      </c>
      <c r="S132" s="370">
        <f>'Data (Calculations)'!$E$79*(S82+S81)</f>
        <v>7387.9322217541267</v>
      </c>
      <c r="T132" s="370">
        <f>'Data (Calculations)'!$E$79*(T82+T81)</f>
        <v>7380.2573129795292</v>
      </c>
      <c r="U132" s="119" t="e">
        <f>'Data (Calculations)'!$E$79*(U82+U81)</f>
        <v>#VALUE!</v>
      </c>
      <c r="V132" s="119">
        <f>'Data (Calculations)'!$E$79*(V82+V81)</f>
        <v>7358.4655582714231</v>
      </c>
      <c r="W132" s="119">
        <f>'Data (Calculations)'!$E$79*(W82+W81)</f>
        <v>7340.0678233722074</v>
      </c>
      <c r="X132" s="119">
        <f>'Data (Calculations)'!$E$79*(X82+X81)</f>
        <v>7316.4750931150656</v>
      </c>
      <c r="Y132" s="119">
        <f>'Data (Calculations)'!$E$79*(Y82+Y81)</f>
        <v>7289.5000087334829</v>
      </c>
      <c r="Z132" s="119">
        <f>'Data (Calculations)'!$E$79*(Z82+Z81)</f>
        <v>7260.4647658107415</v>
      </c>
      <c r="AA132" s="119">
        <f>'Data (Calculations)'!$E$79*(AA82+AA81)</f>
        <v>7229.322327454076</v>
      </c>
      <c r="AB132" s="119">
        <f>'Data (Calculations)'!$E$79*(AB82+AB81)</f>
        <v>7195.7907591172016</v>
      </c>
      <c r="AC132" s="119">
        <f>'Data (Calculations)'!$E$79*(AC82+AC81)</f>
        <v>7159.465371436123</v>
      </c>
      <c r="AD132" s="119">
        <f>'Data (Calculations)'!$E$79*(AD82+AD81)</f>
        <v>7120.0625090026288</v>
      </c>
      <c r="AE132" s="119">
        <f>'Data (Calculations)'!$E$79*(AE82+AE81)</f>
        <v>7077.4903925137551</v>
      </c>
      <c r="AF132" s="119">
        <f>'Data (Calculations)'!$E$79*(AF82+AF81)</f>
        <v>7031.8709163562462</v>
      </c>
      <c r="AG132" s="119">
        <f>'Data (Calculations)'!$E$79*(AG82+AG81)</f>
        <v>6983.1484393276851</v>
      </c>
    </row>
    <row r="133" spans="1:33">
      <c r="A133" s="17"/>
      <c r="B133" s="17"/>
      <c r="E133" s="162" t="s">
        <v>25</v>
      </c>
      <c r="F133" s="370" t="e">
        <f>'Data (Calculations)'!$E$80*(F82+F81)</f>
        <v>#REF!</v>
      </c>
      <c r="G133" s="370" t="e">
        <f>'Data (Calculations)'!$E$80*(G82+G81)</f>
        <v>#REF!</v>
      </c>
      <c r="H133" s="370" t="e">
        <f>'Data (Calculations)'!$E$80*(H82+H81)</f>
        <v>#REF!</v>
      </c>
      <c r="I133" s="370" t="e">
        <f>'Data (Calculations)'!$E$80*(I82+I81)</f>
        <v>#REF!</v>
      </c>
      <c r="J133" s="370" t="e">
        <f>'Data (Calculations)'!$E$80*(J82+J81)</f>
        <v>#REF!</v>
      </c>
      <c r="K133" s="370" t="e">
        <f>'Data (Calculations)'!$E$80*(K82+K81)</f>
        <v>#REF!</v>
      </c>
      <c r="L133" s="370" t="e">
        <f>'Data (Calculations)'!$E$80*(L82+L81)</f>
        <v>#REF!</v>
      </c>
      <c r="M133" s="370" t="e">
        <f>'Data (Calculations)'!$E$80*(M82+M81)</f>
        <v>#REF!</v>
      </c>
      <c r="N133" s="370" t="e">
        <f>'Data (Calculations)'!$E$80*(N82+N81)</f>
        <v>#REF!</v>
      </c>
      <c r="O133" s="370">
        <f>'Data (Calculations)'!$E$80*(O82+O81)</f>
        <v>0</v>
      </c>
      <c r="P133" s="370">
        <f>'Data (Calculations)'!$E$80*(P82+P81)</f>
        <v>0</v>
      </c>
      <c r="Q133" s="370">
        <f>'Data (Calculations)'!$E$80*(Q82+Q81)</f>
        <v>0</v>
      </c>
      <c r="R133" s="370">
        <f>'Data (Calculations)'!$E$80*(R82+R81)</f>
        <v>0</v>
      </c>
      <c r="S133" s="370">
        <f>'Data (Calculations)'!$E$80*(S82+S81)</f>
        <v>0</v>
      </c>
      <c r="T133" s="370">
        <f>'Data (Calculations)'!$E$80*(T82+T81)</f>
        <v>0</v>
      </c>
      <c r="U133" s="119" t="e">
        <f>'Data (Calculations)'!$E$80*(U82+U81)</f>
        <v>#VALUE!</v>
      </c>
      <c r="V133" s="119">
        <f>'Data (Calculations)'!$E$80*(V82+V81)</f>
        <v>0</v>
      </c>
      <c r="W133" s="119">
        <f>'Data (Calculations)'!$E$80*(W82+W81)</f>
        <v>0</v>
      </c>
      <c r="X133" s="119">
        <f>'Data (Calculations)'!$E$80*(X82+X81)</f>
        <v>0</v>
      </c>
      <c r="Y133" s="119">
        <f>'Data (Calculations)'!$E$80*(Y82+Y81)</f>
        <v>0</v>
      </c>
      <c r="Z133" s="119">
        <f>'Data (Calculations)'!$E$80*(Z82+Z81)</f>
        <v>0</v>
      </c>
      <c r="AA133" s="119">
        <f>'Data (Calculations)'!$E$80*(AA82+AA81)</f>
        <v>0</v>
      </c>
      <c r="AB133" s="119">
        <f>'Data (Calculations)'!$E$80*(AB82+AB81)</f>
        <v>0</v>
      </c>
      <c r="AC133" s="119">
        <f>'Data (Calculations)'!$E$80*(AC82+AC81)</f>
        <v>0</v>
      </c>
      <c r="AD133" s="119">
        <f>'Data (Calculations)'!$E$80*(AD82+AD81)</f>
        <v>0</v>
      </c>
      <c r="AE133" s="119">
        <f>'Data (Calculations)'!$E$80*(AE82+AE81)</f>
        <v>0</v>
      </c>
      <c r="AF133" s="119">
        <f>'Data (Calculations)'!$E$80*(AF82+AF81)</f>
        <v>0</v>
      </c>
      <c r="AG133" s="119">
        <f>'Data (Calculations)'!$E$80*(AG82+AG81)</f>
        <v>0</v>
      </c>
    </row>
    <row r="134" spans="1:33">
      <c r="A134" s="17"/>
      <c r="B134" s="17"/>
      <c r="E134" s="60" t="s">
        <v>33</v>
      </c>
      <c r="F134" s="370" t="e">
        <f>'Data (Calculations)'!$E$81*(F82+F81)</f>
        <v>#REF!</v>
      </c>
      <c r="G134" s="370" t="e">
        <f>'Data (Calculations)'!$E$81*(G82+G81)</f>
        <v>#REF!</v>
      </c>
      <c r="H134" s="370" t="e">
        <f>'Data (Calculations)'!$E$81*(H82+H81)</f>
        <v>#REF!</v>
      </c>
      <c r="I134" s="370" t="e">
        <f>'Data (Calculations)'!$E$81*(I82+I81)</f>
        <v>#REF!</v>
      </c>
      <c r="J134" s="370" t="e">
        <f>'Data (Calculations)'!$E$81*(J82+J81)</f>
        <v>#REF!</v>
      </c>
      <c r="K134" s="370" t="e">
        <f>'Data (Calculations)'!$E$81*(K82+K81)</f>
        <v>#REF!</v>
      </c>
      <c r="L134" s="370" t="e">
        <f>'Data (Calculations)'!$E$81*(L82+L81)</f>
        <v>#REF!</v>
      </c>
      <c r="M134" s="370" t="e">
        <f>'Data (Calculations)'!$E$81*(M82+M81)</f>
        <v>#REF!</v>
      </c>
      <c r="N134" s="370" t="e">
        <f>'Data (Calculations)'!$E$81*(N82+N81)</f>
        <v>#REF!</v>
      </c>
      <c r="O134" s="370">
        <f>'Data (Calculations)'!$E$81*(O82+O81)</f>
        <v>0</v>
      </c>
      <c r="P134" s="370">
        <f>'Data (Calculations)'!$E$81*(P82+P81)</f>
        <v>0</v>
      </c>
      <c r="Q134" s="370">
        <f>'Data (Calculations)'!$E$81*(Q82+Q81)</f>
        <v>0</v>
      </c>
      <c r="R134" s="370">
        <f>'Data (Calculations)'!$E$81*(R82+R81)</f>
        <v>0</v>
      </c>
      <c r="S134" s="370">
        <f>'Data (Calculations)'!$E$81*(S82+S81)</f>
        <v>0</v>
      </c>
      <c r="T134" s="370">
        <f>'Data (Calculations)'!$E$81*(T82+T81)</f>
        <v>0</v>
      </c>
      <c r="U134" s="119" t="e">
        <f>'Data (Calculations)'!$E$81*(U82+U81)</f>
        <v>#VALUE!</v>
      </c>
      <c r="V134" s="119">
        <f>'Data (Calculations)'!$E$81*(V82+V81)</f>
        <v>0</v>
      </c>
      <c r="W134" s="119">
        <f>'Data (Calculations)'!$E$81*(W82+W81)</f>
        <v>0</v>
      </c>
      <c r="X134" s="119">
        <f>'Data (Calculations)'!$E$81*(X82+X81)</f>
        <v>0</v>
      </c>
      <c r="Y134" s="119">
        <f>'Data (Calculations)'!$E$81*(Y82+Y81)</f>
        <v>0</v>
      </c>
      <c r="Z134" s="119">
        <f>'Data (Calculations)'!$E$81*(Z82+Z81)</f>
        <v>0</v>
      </c>
      <c r="AA134" s="119">
        <f>'Data (Calculations)'!$E$81*(AA82+AA81)</f>
        <v>0</v>
      </c>
      <c r="AB134" s="119">
        <f>'Data (Calculations)'!$E$81*(AB82+AB81)</f>
        <v>0</v>
      </c>
      <c r="AC134" s="119">
        <f>'Data (Calculations)'!$E$81*(AC82+AC81)</f>
        <v>0</v>
      </c>
      <c r="AD134" s="119">
        <f>'Data (Calculations)'!$E$81*(AD82+AD81)</f>
        <v>0</v>
      </c>
      <c r="AE134" s="119">
        <f>'Data (Calculations)'!$E$81*(AE82+AE81)</f>
        <v>0</v>
      </c>
      <c r="AF134" s="119">
        <f>'Data (Calculations)'!$E$81*(AF82+AF81)</f>
        <v>0</v>
      </c>
      <c r="AG134" s="119">
        <f>'Data (Calculations)'!$E$81*(AG82+AG81)</f>
        <v>0</v>
      </c>
    </row>
    <row r="135" spans="1:33">
      <c r="A135" s="17"/>
      <c r="B135" s="17"/>
      <c r="E135" s="60" t="s">
        <v>28</v>
      </c>
      <c r="F135" s="370" t="e">
        <f>'Data (Calculations)'!$E$82*(F82+F81)</f>
        <v>#REF!</v>
      </c>
      <c r="G135" s="370" t="e">
        <f>'Data (Calculations)'!$E$82*(G82+G81)</f>
        <v>#REF!</v>
      </c>
      <c r="H135" s="370" t="e">
        <f>'Data (Calculations)'!$E$82*(H82+H81)</f>
        <v>#REF!</v>
      </c>
      <c r="I135" s="370" t="e">
        <f>'Data (Calculations)'!$E$82*(I82+I81)</f>
        <v>#REF!</v>
      </c>
      <c r="J135" s="370" t="e">
        <f>'Data (Calculations)'!$E$82*(J82+J81)</f>
        <v>#REF!</v>
      </c>
      <c r="K135" s="370" t="e">
        <f>'Data (Calculations)'!$E$82*(K82+K81)</f>
        <v>#REF!</v>
      </c>
      <c r="L135" s="370" t="e">
        <f>'Data (Calculations)'!$E$82*(L82+L81)</f>
        <v>#REF!</v>
      </c>
      <c r="M135" s="370" t="e">
        <f>'Data (Calculations)'!$E$82*(M82+M81)</f>
        <v>#REF!</v>
      </c>
      <c r="N135" s="370" t="e">
        <f>'Data (Calculations)'!$E$82*(N82+N81)</f>
        <v>#REF!</v>
      </c>
      <c r="O135" s="370">
        <f>'Data (Calculations)'!$E$82*(O82+O81)</f>
        <v>0</v>
      </c>
      <c r="P135" s="370">
        <f>'Data (Calculations)'!$E$82*(P82+P81)</f>
        <v>0</v>
      </c>
      <c r="Q135" s="370">
        <f>'Data (Calculations)'!$E$82*(Q82+Q81)</f>
        <v>0</v>
      </c>
      <c r="R135" s="370">
        <f>'Data (Calculations)'!$E$82*(R82+R81)</f>
        <v>0</v>
      </c>
      <c r="S135" s="370">
        <f>'Data (Calculations)'!$E$82*(S82+S81)</f>
        <v>0</v>
      </c>
      <c r="T135" s="370">
        <f>'Data (Calculations)'!$E$82*(T82+T81)</f>
        <v>0</v>
      </c>
      <c r="U135" s="119" t="e">
        <f>'Data (Calculations)'!$E$82*(U82+U81)</f>
        <v>#VALUE!</v>
      </c>
      <c r="V135" s="119">
        <f>'Data (Calculations)'!$E$82*(V82+V81)</f>
        <v>0</v>
      </c>
      <c r="W135" s="119">
        <f>'Data (Calculations)'!$E$82*(W82+W81)</f>
        <v>0</v>
      </c>
      <c r="X135" s="119">
        <f>'Data (Calculations)'!$E$82*(X82+X81)</f>
        <v>0</v>
      </c>
      <c r="Y135" s="119">
        <f>'Data (Calculations)'!$E$82*(Y82+Y81)</f>
        <v>0</v>
      </c>
      <c r="Z135" s="119">
        <f>'Data (Calculations)'!$E$82*(Z82+Z81)</f>
        <v>0</v>
      </c>
      <c r="AA135" s="119">
        <f>'Data (Calculations)'!$E$82*(AA82+AA81)</f>
        <v>0</v>
      </c>
      <c r="AB135" s="119">
        <f>'Data (Calculations)'!$E$82*(AB82+AB81)</f>
        <v>0</v>
      </c>
      <c r="AC135" s="119">
        <f>'Data (Calculations)'!$E$82*(AC82+AC81)</f>
        <v>0</v>
      </c>
      <c r="AD135" s="119">
        <f>'Data (Calculations)'!$E$82*(AD82+AD81)</f>
        <v>0</v>
      </c>
      <c r="AE135" s="119">
        <f>'Data (Calculations)'!$E$82*(AE82+AE81)</f>
        <v>0</v>
      </c>
      <c r="AF135" s="119">
        <f>'Data (Calculations)'!$E$82*(AF82+AF81)</f>
        <v>0</v>
      </c>
      <c r="AG135" s="119">
        <f>'Data (Calculations)'!$E$82*(AG82+AG81)</f>
        <v>0</v>
      </c>
    </row>
    <row r="136" spans="1:33">
      <c r="A136" s="17"/>
      <c r="B136" s="17"/>
      <c r="S136" s="86"/>
    </row>
    <row r="137" spans="1:33" ht="19">
      <c r="A137" s="17"/>
      <c r="B137" s="17"/>
      <c r="E137" s="311" t="s">
        <v>196</v>
      </c>
      <c r="F137" s="374"/>
      <c r="G137" s="374"/>
      <c r="H137" s="374"/>
      <c r="I137" s="374"/>
      <c r="J137" s="374"/>
      <c r="K137" s="374"/>
      <c r="L137" s="374"/>
      <c r="M137" s="374"/>
      <c r="N137" s="374"/>
      <c r="O137" s="374"/>
      <c r="P137" s="374"/>
      <c r="Q137" s="374"/>
      <c r="R137" s="374"/>
      <c r="S137" s="374"/>
      <c r="T137" s="374"/>
      <c r="U137" s="310"/>
      <c r="V137" s="310"/>
      <c r="W137" s="310"/>
      <c r="X137" s="310"/>
      <c r="Y137" s="310"/>
      <c r="Z137" s="310"/>
      <c r="AA137" s="310"/>
      <c r="AB137" s="310"/>
      <c r="AC137" s="310"/>
      <c r="AD137" s="310"/>
      <c r="AE137" s="310"/>
      <c r="AF137" s="310"/>
      <c r="AG137" s="310"/>
    </row>
    <row r="138" spans="1:33">
      <c r="A138" s="17"/>
      <c r="B138" s="17"/>
      <c r="S138" s="86"/>
    </row>
    <row r="139" spans="1:33">
      <c r="A139" s="17"/>
      <c r="B139" s="17"/>
      <c r="E139" s="284" t="s">
        <v>259</v>
      </c>
      <c r="F139" s="301" t="e">
        <f t="shared" ref="F139:T139" si="48">SUM(F122:F124)+SUM(F132:F134)</f>
        <v>#REF!</v>
      </c>
      <c r="G139" s="301" t="e">
        <f t="shared" si="48"/>
        <v>#REF!</v>
      </c>
      <c r="H139" s="301" t="e">
        <f t="shared" si="48"/>
        <v>#REF!</v>
      </c>
      <c r="I139" s="301" t="e">
        <f t="shared" si="48"/>
        <v>#REF!</v>
      </c>
      <c r="J139" s="301" t="e">
        <f t="shared" si="48"/>
        <v>#REF!</v>
      </c>
      <c r="K139" s="301" t="e">
        <f t="shared" si="48"/>
        <v>#REF!</v>
      </c>
      <c r="L139" s="301" t="e">
        <f t="shared" si="48"/>
        <v>#REF!</v>
      </c>
      <c r="M139" s="301" t="e">
        <f t="shared" si="48"/>
        <v>#REF!</v>
      </c>
      <c r="N139" s="301" t="e">
        <f t="shared" si="48"/>
        <v>#REF!</v>
      </c>
      <c r="O139" s="301">
        <f t="shared" si="48"/>
        <v>46334.866558479698</v>
      </c>
      <c r="P139" s="301">
        <f t="shared" si="48"/>
        <v>12775.840557833762</v>
      </c>
      <c r="Q139" s="301">
        <f t="shared" si="48"/>
        <v>21850.699560927678</v>
      </c>
      <c r="R139" s="301">
        <f t="shared" si="48"/>
        <v>20507.287768130591</v>
      </c>
      <c r="S139" s="301">
        <f t="shared" si="48"/>
        <v>12607.846163030848</v>
      </c>
      <c r="T139" s="301">
        <f t="shared" si="48"/>
        <v>13223.0332773961</v>
      </c>
      <c r="U139" s="301" t="e">
        <f>SUM(U122:U124)+SUM(U132:U134)</f>
        <v>#VALUE!</v>
      </c>
      <c r="V139" s="301">
        <f t="shared" ref="V139:AG139" si="49">SUM(V122:V124)+SUM(V132:V134)</f>
        <v>12228.771226700834</v>
      </c>
      <c r="W139" s="301">
        <f t="shared" si="49"/>
        <v>12198.196687839387</v>
      </c>
      <c r="X139" s="301">
        <f t="shared" si="49"/>
        <v>12158.988771645018</v>
      </c>
      <c r="Y139" s="301">
        <f t="shared" si="49"/>
        <v>12114.159841875477</v>
      </c>
      <c r="Z139" s="301">
        <f t="shared" si="49"/>
        <v>12065.907208170509</v>
      </c>
      <c r="AA139" s="301">
        <f t="shared" si="49"/>
        <v>12014.152701597166</v>
      </c>
      <c r="AB139" s="301">
        <f t="shared" si="49"/>
        <v>11958.427785197549</v>
      </c>
      <c r="AC139" s="301">
        <f t="shared" si="49"/>
        <v>11898.059920164358</v>
      </c>
      <c r="AD139" s="301">
        <f t="shared" si="49"/>
        <v>11832.57770970069</v>
      </c>
      <c r="AE139" s="301">
        <f t="shared" si="49"/>
        <v>11761.828629059321</v>
      </c>
      <c r="AF139" s="301">
        <f t="shared" si="49"/>
        <v>11686.015250170154</v>
      </c>
      <c r="AG139" s="301">
        <f t="shared" si="49"/>
        <v>11605.045104905192</v>
      </c>
    </row>
    <row r="140" spans="1:33">
      <c r="A140" s="17"/>
      <c r="B140" s="17"/>
      <c r="E140" s="34" t="s">
        <v>260</v>
      </c>
      <c r="F140" s="281" t="e">
        <f>IFERROR(F125+F135,#N/A)</f>
        <v>#N/A</v>
      </c>
      <c r="G140" s="281" t="e">
        <f t="shared" ref="G140:S140" si="50">IFERROR(G125+G135,#N/A)</f>
        <v>#N/A</v>
      </c>
      <c r="H140" s="281" t="e">
        <f t="shared" si="50"/>
        <v>#N/A</v>
      </c>
      <c r="I140" s="281" t="e">
        <f t="shared" si="50"/>
        <v>#N/A</v>
      </c>
      <c r="J140" s="281" t="e">
        <f t="shared" si="50"/>
        <v>#N/A</v>
      </c>
      <c r="K140" s="281" t="e">
        <f t="shared" si="50"/>
        <v>#N/A</v>
      </c>
      <c r="L140" s="281" t="e">
        <f t="shared" si="50"/>
        <v>#N/A</v>
      </c>
      <c r="M140" s="281" t="e">
        <f t="shared" si="50"/>
        <v>#N/A</v>
      </c>
      <c r="N140" s="281" t="e">
        <f t="shared" si="50"/>
        <v>#N/A</v>
      </c>
      <c r="O140" s="281">
        <f t="shared" si="50"/>
        <v>16046.632997177483</v>
      </c>
      <c r="P140" s="281">
        <f t="shared" si="50"/>
        <v>2192.2616346676891</v>
      </c>
      <c r="Q140" s="281">
        <f t="shared" si="50"/>
        <v>6001.6165294437642</v>
      </c>
      <c r="R140" s="281">
        <f t="shared" si="50"/>
        <v>5448.5936219524556</v>
      </c>
      <c r="S140" s="281">
        <f t="shared" si="50"/>
        <v>2143.9835305866586</v>
      </c>
      <c r="T140" s="281">
        <f>T125+T135</f>
        <v>2403.0750613528517</v>
      </c>
      <c r="U140" s="281" t="e">
        <f>U125+U135</f>
        <v>#VALUE!</v>
      </c>
      <c r="V140" s="281">
        <f t="shared" ref="V140:AF140" si="51">V125+V135</f>
        <v>1953.6143297383094</v>
      </c>
      <c r="W140" s="281">
        <f t="shared" si="51"/>
        <v>1948.7298768249664</v>
      </c>
      <c r="X140" s="281">
        <f t="shared" si="51"/>
        <v>1942.4661937862936</v>
      </c>
      <c r="Y140" s="281">
        <f t="shared" si="51"/>
        <v>1935.3045225144176</v>
      </c>
      <c r="Z140" s="281">
        <f t="shared" si="51"/>
        <v>1927.5958954654616</v>
      </c>
      <c r="AA140" s="281">
        <f t="shared" si="51"/>
        <v>1919.3278247169096</v>
      </c>
      <c r="AB140" s="281">
        <f t="shared" si="51"/>
        <v>1910.4254588795261</v>
      </c>
      <c r="AC140" s="281">
        <f t="shared" si="51"/>
        <v>1900.7813561321427</v>
      </c>
      <c r="AD140" s="281">
        <f t="shared" si="51"/>
        <v>1890.3202082103107</v>
      </c>
      <c r="AE140" s="281">
        <f t="shared" si="51"/>
        <v>1879.0176484359476</v>
      </c>
      <c r="AF140" s="281">
        <f t="shared" si="51"/>
        <v>1866.906038803382</v>
      </c>
      <c r="AG140" s="281">
        <f>AG125+AG135</f>
        <v>1853.9706070140267</v>
      </c>
    </row>
    <row r="141" spans="1:33">
      <c r="A141" s="17"/>
      <c r="B141" s="17"/>
      <c r="E141" s="34" t="s">
        <v>261</v>
      </c>
      <c r="F141" s="302" t="e">
        <f>IFERROR(((SUM(F96:F99)+SUM(F109:F112)+F114)*100000)     /    (SUM(F121:F126)+SUM(F131:F135)), #N/A)</f>
        <v>#N/A</v>
      </c>
      <c r="G141" s="302" t="e">
        <f t="shared" ref="G141:S141" si="52">IFERROR(((SUM(G96:G99)+SUM(G109:G112)+G114)*100000)     /    (SUM(G121:G126)+SUM(G131:G135)), #N/A)</f>
        <v>#N/A</v>
      </c>
      <c r="H141" s="302" t="e">
        <f t="shared" si="52"/>
        <v>#N/A</v>
      </c>
      <c r="I141" s="302" t="e">
        <f t="shared" si="52"/>
        <v>#N/A</v>
      </c>
      <c r="J141" s="302" t="e">
        <f t="shared" si="52"/>
        <v>#N/A</v>
      </c>
      <c r="K141" s="302" t="e">
        <f t="shared" si="52"/>
        <v>#N/A</v>
      </c>
      <c r="L141" s="302" t="e">
        <f t="shared" si="52"/>
        <v>#N/A</v>
      </c>
      <c r="M141" s="302" t="e">
        <f t="shared" si="52"/>
        <v>#N/A</v>
      </c>
      <c r="N141" s="302" t="e">
        <f t="shared" si="52"/>
        <v>#N/A</v>
      </c>
      <c r="O141" s="302">
        <f t="shared" si="52"/>
        <v>410.50680958066954</v>
      </c>
      <c r="P141" s="302">
        <f t="shared" si="52"/>
        <v>56.472852180697686</v>
      </c>
      <c r="Q141" s="302">
        <f t="shared" si="52"/>
        <v>154.82817387437626</v>
      </c>
      <c r="R141" s="302">
        <f t="shared" si="52"/>
        <v>140.94150879813054</v>
      </c>
      <c r="S141" s="302">
        <f t="shared" si="52"/>
        <v>55.715746728546094</v>
      </c>
      <c r="T141" s="302">
        <f>((SUM(T96:T99)+SUM(T109:T112)+T114)*100000)     /    (SUM(T121:T126)+SUM(T131:T135))</f>
        <v>62.485360851549046</v>
      </c>
      <c r="U141" s="302" t="e">
        <f>((SUM(U96:U99)+SUM(U109:U112)+U114)*100000)     /    (SUM(U121:U126)+SUM(U131:U135))</f>
        <v>#VALUE!</v>
      </c>
      <c r="V141" s="302">
        <f t="shared" ref="V141:AG141" si="53">((SUM(V96:V99)+SUM(V109:V112)+V114)*100000)     /    (SUM(V121:V126)+SUM(V131:V135))</f>
        <v>51.315597804292324</v>
      </c>
      <c r="W141" s="302">
        <f t="shared" si="53"/>
        <v>51.315597804292331</v>
      </c>
      <c r="X141" s="302">
        <f t="shared" si="53"/>
        <v>51.315597804292331</v>
      </c>
      <c r="Y141" s="302">
        <f t="shared" si="53"/>
        <v>51.315597804292324</v>
      </c>
      <c r="Z141" s="302">
        <f t="shared" si="53"/>
        <v>51.315597804292324</v>
      </c>
      <c r="AA141" s="302">
        <f t="shared" si="53"/>
        <v>51.315597804292324</v>
      </c>
      <c r="AB141" s="302">
        <f t="shared" si="53"/>
        <v>51.315597804292317</v>
      </c>
      <c r="AC141" s="302">
        <f t="shared" si="53"/>
        <v>51.315597804292338</v>
      </c>
      <c r="AD141" s="302">
        <f t="shared" si="53"/>
        <v>51.315597804292331</v>
      </c>
      <c r="AE141" s="302">
        <f t="shared" si="53"/>
        <v>51.315597804292317</v>
      </c>
      <c r="AF141" s="302">
        <f t="shared" si="53"/>
        <v>51.315597804292331</v>
      </c>
      <c r="AG141" s="302">
        <f t="shared" si="53"/>
        <v>51.315597804292331</v>
      </c>
    </row>
    <row r="142" spans="1:33">
      <c r="A142" s="17"/>
      <c r="B142" s="17"/>
      <c r="E142" s="86" t="s">
        <v>262</v>
      </c>
      <c r="F142" s="268" t="e">
        <f>IFERROR(SUM(F96:F99)+SUM(F109:F112)+F114,#N/A)</f>
        <v>#N/A</v>
      </c>
      <c r="G142" s="268" t="e">
        <f t="shared" ref="G142:AG142" si="54">IFERROR(SUM(G96:G99)+SUM(G109:G112)+G114,#N/A)</f>
        <v>#N/A</v>
      </c>
      <c r="H142" s="268" t="e">
        <f t="shared" si="54"/>
        <v>#N/A</v>
      </c>
      <c r="I142" s="268" t="e">
        <f t="shared" si="54"/>
        <v>#N/A</v>
      </c>
      <c r="J142" s="268" t="e">
        <f t="shared" si="54"/>
        <v>#N/A</v>
      </c>
      <c r="K142" s="268" t="e">
        <f t="shared" si="54"/>
        <v>#N/A</v>
      </c>
      <c r="L142" s="268" t="e">
        <f t="shared" si="54"/>
        <v>#N/A</v>
      </c>
      <c r="M142" s="268" t="e">
        <f t="shared" si="54"/>
        <v>#N/A</v>
      </c>
      <c r="N142" s="268" t="e">
        <f t="shared" si="54"/>
        <v>#N/A</v>
      </c>
      <c r="O142" s="268">
        <f t="shared" si="54"/>
        <v>107255.93021585527</v>
      </c>
      <c r="P142" s="268">
        <f t="shared" si="54"/>
        <v>14666.155576399207</v>
      </c>
      <c r="Q142" s="268">
        <f t="shared" si="54"/>
        <v>40039.281070077006</v>
      </c>
      <c r="R142" s="268">
        <f t="shared" si="54"/>
        <v>36353.993310071106</v>
      </c>
      <c r="S142" s="268">
        <f t="shared" si="54"/>
        <v>14351.165654097062</v>
      </c>
      <c r="T142" s="268">
        <f t="shared" si="54"/>
        <v>16079.254807083711</v>
      </c>
      <c r="U142" s="268" t="e">
        <f t="shared" si="54"/>
        <v>#N/A</v>
      </c>
      <c r="V142" s="268">
        <f t="shared" si="54"/>
        <v>13165.637022268649</v>
      </c>
      <c r="W142" s="268">
        <f t="shared" si="54"/>
        <v>13132.720118901108</v>
      </c>
      <c r="X142" s="268">
        <f t="shared" si="54"/>
        <v>13090.508421303275</v>
      </c>
      <c r="Y142" s="268">
        <f t="shared" si="54"/>
        <v>13042.245075256382</v>
      </c>
      <c r="Z142" s="268">
        <f t="shared" si="54"/>
        <v>12990.295729819205</v>
      </c>
      <c r="AA142" s="268">
        <f t="shared" si="54"/>
        <v>12934.576227411351</v>
      </c>
      <c r="AB142" s="268">
        <f t="shared" si="54"/>
        <v>12874.582135706394</v>
      </c>
      <c r="AC142" s="268">
        <f t="shared" si="54"/>
        <v>12809.589391619327</v>
      </c>
      <c r="AD142" s="268">
        <f t="shared" si="54"/>
        <v>12739.090483887856</v>
      </c>
      <c r="AE142" s="268">
        <f t="shared" si="54"/>
        <v>12662.921202599009</v>
      </c>
      <c r="AF142" s="268">
        <f t="shared" si="54"/>
        <v>12581.299639043456</v>
      </c>
      <c r="AG142" s="268">
        <f t="shared" si="54"/>
        <v>12494.126240961461</v>
      </c>
    </row>
    <row r="143" spans="1:33">
      <c r="A143" s="17"/>
      <c r="B143" s="17"/>
      <c r="E143" s="34" t="s">
        <v>263</v>
      </c>
      <c r="F143" s="281" t="e">
        <f t="shared" ref="F143:T143" si="55">SUM(F96:F98)+SUM(F109:F111)</f>
        <v>#REF!</v>
      </c>
      <c r="G143" s="281" t="e">
        <f t="shared" si="55"/>
        <v>#REF!</v>
      </c>
      <c r="H143" s="281" t="e">
        <f t="shared" si="55"/>
        <v>#REF!</v>
      </c>
      <c r="I143" s="281" t="e">
        <f t="shared" si="55"/>
        <v>#REF!</v>
      </c>
      <c r="J143" s="281" t="e">
        <f t="shared" si="55"/>
        <v>#REF!</v>
      </c>
      <c r="K143" s="281" t="e">
        <f t="shared" si="55"/>
        <v>#REF!</v>
      </c>
      <c r="L143" s="281" t="e">
        <f t="shared" si="55"/>
        <v>#REF!</v>
      </c>
      <c r="M143" s="281" t="e">
        <f t="shared" si="55"/>
        <v>#REF!</v>
      </c>
      <c r="N143" s="281" t="e">
        <f t="shared" si="55"/>
        <v>#REF!</v>
      </c>
      <c r="O143" s="281">
        <f t="shared" si="55"/>
        <v>38869.142731360029</v>
      </c>
      <c r="P143" s="281">
        <f t="shared" si="55"/>
        <v>5326.9731177252525</v>
      </c>
      <c r="Q143" s="281">
        <f t="shared" si="55"/>
        <v>14440.457323730488</v>
      </c>
      <c r="R143" s="281">
        <f t="shared" si="55"/>
        <v>13115.167781391974</v>
      </c>
      <c r="S143" s="281">
        <f t="shared" si="55"/>
        <v>5219.9139412767217</v>
      </c>
      <c r="T143" s="281">
        <f t="shared" si="55"/>
        <v>5842.7759644165708</v>
      </c>
      <c r="U143" s="281" t="e">
        <f t="shared" ref="U143:AG143" si="56">SUM(U96:U98)+SUM(U109:U111)</f>
        <v>#VALUE!</v>
      </c>
      <c r="V143" s="281">
        <f t="shared" si="56"/>
        <v>4870.3056684294106</v>
      </c>
      <c r="W143" s="281">
        <f t="shared" si="56"/>
        <v>4858.1288644671777</v>
      </c>
      <c r="X143" s="281">
        <f t="shared" si="56"/>
        <v>4842.5136785299528</v>
      </c>
      <c r="Y143" s="281">
        <f t="shared" si="56"/>
        <v>4824.6598331419955</v>
      </c>
      <c r="Z143" s="281">
        <f t="shared" si="56"/>
        <v>4805.4424423597684</v>
      </c>
      <c r="AA143" s="281">
        <f t="shared" si="56"/>
        <v>4784.83037414309</v>
      </c>
      <c r="AB143" s="281">
        <f t="shared" si="56"/>
        <v>4762.6370260803478</v>
      </c>
      <c r="AC143" s="281">
        <f t="shared" si="56"/>
        <v>4738.5945487282352</v>
      </c>
      <c r="AD143" s="281">
        <f t="shared" si="56"/>
        <v>4712.5152006980634</v>
      </c>
      <c r="AE143" s="281">
        <f t="shared" si="56"/>
        <v>4684.3382365455645</v>
      </c>
      <c r="AF143" s="281">
        <f t="shared" si="56"/>
        <v>4654.1443338139079</v>
      </c>
      <c r="AG143" s="281">
        <f t="shared" si="56"/>
        <v>4621.8966655775075</v>
      </c>
    </row>
    <row r="144" spans="1:33">
      <c r="A144" s="17"/>
      <c r="B144" s="17"/>
      <c r="E144" s="34" t="s">
        <v>107</v>
      </c>
      <c r="F144" s="282" t="e">
        <f t="shared" ref="F144:T144" si="57">(SUM(F122:F124))/(SUM(F121:F126))</f>
        <v>#REF!</v>
      </c>
      <c r="G144" s="282" t="e">
        <f t="shared" si="57"/>
        <v>#REF!</v>
      </c>
      <c r="H144" s="282" t="e">
        <f t="shared" si="57"/>
        <v>#REF!</v>
      </c>
      <c r="I144" s="282" t="e">
        <f t="shared" si="57"/>
        <v>#REF!</v>
      </c>
      <c r="J144" s="282" t="e">
        <f t="shared" si="57"/>
        <v>#REF!</v>
      </c>
      <c r="K144" s="282" t="e">
        <f t="shared" si="57"/>
        <v>#REF!</v>
      </c>
      <c r="L144" s="282" t="e">
        <f t="shared" si="57"/>
        <v>#REF!</v>
      </c>
      <c r="M144" s="282" t="e">
        <f t="shared" si="57"/>
        <v>#REF!</v>
      </c>
      <c r="N144" s="282" t="e">
        <f t="shared" si="57"/>
        <v>#REF!</v>
      </c>
      <c r="O144" s="282">
        <f t="shared" si="57"/>
        <v>0.33884409720015507</v>
      </c>
      <c r="P144" s="282">
        <f t="shared" si="57"/>
        <v>0.33222882855510794</v>
      </c>
      <c r="Q144" s="282">
        <f t="shared" si="57"/>
        <v>0.3539099040018176</v>
      </c>
      <c r="R144" s="282">
        <f t="shared" si="57"/>
        <v>0.35295328948518567</v>
      </c>
      <c r="S144" s="282">
        <f t="shared" si="57"/>
        <v>0.32823697071574515</v>
      </c>
      <c r="T144" s="282">
        <f t="shared" si="57"/>
        <v>0.33098436798305081</v>
      </c>
      <c r="U144" s="282" t="e">
        <f>(SUM(U122:U124))/(SUM(U121:U126))</f>
        <v>#VALUE!</v>
      </c>
      <c r="V144" s="282">
        <f t="shared" ref="V144:AG144" si="58">(SUM(V122:V124))/(SUM(V121:V126))</f>
        <v>0.28722888050264955</v>
      </c>
      <c r="W144" s="282">
        <f t="shared" si="58"/>
        <v>0.28722888050264966</v>
      </c>
      <c r="X144" s="282">
        <f t="shared" si="58"/>
        <v>0.28722888050264961</v>
      </c>
      <c r="Y144" s="282">
        <f t="shared" si="58"/>
        <v>0.28722888050264961</v>
      </c>
      <c r="Z144" s="282">
        <f t="shared" si="58"/>
        <v>0.28722888050264966</v>
      </c>
      <c r="AA144" s="282">
        <f t="shared" si="58"/>
        <v>0.28722888050264961</v>
      </c>
      <c r="AB144" s="282">
        <f t="shared" si="58"/>
        <v>0.28722888050264955</v>
      </c>
      <c r="AC144" s="282">
        <f t="shared" si="58"/>
        <v>0.28722888050264961</v>
      </c>
      <c r="AD144" s="282">
        <f t="shared" si="58"/>
        <v>0.28722888050264955</v>
      </c>
      <c r="AE144" s="282">
        <f t="shared" si="58"/>
        <v>0.28722888050264961</v>
      </c>
      <c r="AF144" s="282">
        <f t="shared" si="58"/>
        <v>0.28722888050264961</v>
      </c>
      <c r="AG144" s="282">
        <f t="shared" si="58"/>
        <v>0.28722888050264961</v>
      </c>
    </row>
    <row r="145" spans="1:33">
      <c r="A145" s="17"/>
      <c r="B145" s="17"/>
      <c r="E145" s="280" t="s">
        <v>74</v>
      </c>
      <c r="F145" s="303" t="e">
        <f t="shared" ref="F145:T145" si="59">SUM(F132:F134)/SUM(F131:F135)</f>
        <v>#REF!</v>
      </c>
      <c r="G145" s="303" t="e">
        <f t="shared" si="59"/>
        <v>#REF!</v>
      </c>
      <c r="H145" s="303" t="e">
        <f t="shared" si="59"/>
        <v>#REF!</v>
      </c>
      <c r="I145" s="303" t="e">
        <f t="shared" si="59"/>
        <v>#REF!</v>
      </c>
      <c r="J145" s="303" t="e">
        <f t="shared" si="59"/>
        <v>#REF!</v>
      </c>
      <c r="K145" s="303" t="e">
        <f t="shared" si="59"/>
        <v>#REF!</v>
      </c>
      <c r="L145" s="303" t="e">
        <f t="shared" si="59"/>
        <v>#REF!</v>
      </c>
      <c r="M145" s="303" t="e">
        <f t="shared" si="59"/>
        <v>#REF!</v>
      </c>
      <c r="N145" s="303" t="e">
        <f t="shared" si="59"/>
        <v>#REF!</v>
      </c>
      <c r="O145" s="303">
        <f t="shared" si="59"/>
        <v>2.8699999999999998E-4</v>
      </c>
      <c r="P145" s="303">
        <f t="shared" si="59"/>
        <v>2.8699999999999998E-4</v>
      </c>
      <c r="Q145" s="303">
        <f t="shared" si="59"/>
        <v>2.8700000000000004E-4</v>
      </c>
      <c r="R145" s="303">
        <f t="shared" si="59"/>
        <v>2.8699999999999998E-4</v>
      </c>
      <c r="S145" s="303">
        <f t="shared" si="59"/>
        <v>2.8699999999999998E-4</v>
      </c>
      <c r="T145" s="303">
        <f t="shared" si="59"/>
        <v>2.8699999999999998E-4</v>
      </c>
      <c r="U145" s="303" t="e">
        <f>SUM(U132:U134)/SUM(U131:U135)</f>
        <v>#VALUE!</v>
      </c>
      <c r="V145" s="303">
        <f t="shared" ref="V145:AD145" si="60">SUM(V132:V134)/SUM(V131:V135)</f>
        <v>2.8699999999999998E-4</v>
      </c>
      <c r="W145" s="303">
        <f t="shared" si="60"/>
        <v>2.8699999999999998E-4</v>
      </c>
      <c r="X145" s="303">
        <f t="shared" si="60"/>
        <v>2.8699999999999998E-4</v>
      </c>
      <c r="Y145" s="303">
        <f t="shared" si="60"/>
        <v>2.8700000000000004E-4</v>
      </c>
      <c r="Z145" s="303">
        <f t="shared" si="60"/>
        <v>2.8700000000000004E-4</v>
      </c>
      <c r="AA145" s="303">
        <f t="shared" si="60"/>
        <v>2.8699999999999998E-4</v>
      </c>
      <c r="AB145" s="303">
        <f t="shared" si="60"/>
        <v>2.8699999999999998E-4</v>
      </c>
      <c r="AC145" s="303">
        <f t="shared" si="60"/>
        <v>2.8699999999999998E-4</v>
      </c>
      <c r="AD145" s="303">
        <f t="shared" si="60"/>
        <v>2.8699999999999998E-4</v>
      </c>
      <c r="AE145" s="303">
        <f>SUM(AE132:AE134)/SUM(AE131:AE135)</f>
        <v>2.8699999999999998E-4</v>
      </c>
      <c r="AF145" s="303">
        <f>SUM(AF132:AF134)/SUM(AF131:AF135)</f>
        <v>2.8699999999999998E-4</v>
      </c>
      <c r="AG145" s="303">
        <f>SUM(AG132:AG134)/SUM(AG131:AG135)</f>
        <v>2.8699999999999998E-4</v>
      </c>
    </row>
    <row r="146" spans="1:33">
      <c r="A146" s="17"/>
      <c r="B146" s="17"/>
      <c r="S146" s="86"/>
    </row>
    <row r="147" spans="1:33">
      <c r="A147" s="17"/>
      <c r="B147" s="17"/>
      <c r="E147" s="86" t="s">
        <v>110</v>
      </c>
      <c r="F147" s="268" t="e">
        <f t="shared" ref="F147:T147" si="61">IF((SUM(F121:F126)+SUM(F131:F135))=F14, "Correct", "Wrong")</f>
        <v>#REF!</v>
      </c>
      <c r="G147" s="268" t="e">
        <f t="shared" si="61"/>
        <v>#REF!</v>
      </c>
      <c r="H147" s="268" t="e">
        <f t="shared" si="61"/>
        <v>#REF!</v>
      </c>
      <c r="I147" s="268" t="e">
        <f t="shared" si="61"/>
        <v>#REF!</v>
      </c>
      <c r="J147" s="268" t="e">
        <f t="shared" si="61"/>
        <v>#REF!</v>
      </c>
      <c r="K147" s="268" t="e">
        <f t="shared" si="61"/>
        <v>#REF!</v>
      </c>
      <c r="L147" s="268" t="e">
        <f t="shared" si="61"/>
        <v>#REF!</v>
      </c>
      <c r="M147" s="268" t="e">
        <f t="shared" si="61"/>
        <v>#REF!</v>
      </c>
      <c r="N147" s="268" t="e">
        <f t="shared" si="61"/>
        <v>#REF!</v>
      </c>
      <c r="O147" s="268" t="str">
        <f t="shared" si="61"/>
        <v>Correct</v>
      </c>
      <c r="P147" s="268" t="str">
        <f t="shared" si="61"/>
        <v>Correct</v>
      </c>
      <c r="Q147" s="268" t="str">
        <f t="shared" si="61"/>
        <v>Correct</v>
      </c>
      <c r="R147" s="268" t="str">
        <f t="shared" si="61"/>
        <v>Correct</v>
      </c>
      <c r="S147" s="268" t="str">
        <f t="shared" si="61"/>
        <v>Correct</v>
      </c>
      <c r="T147" s="268" t="str">
        <f t="shared" si="61"/>
        <v>Correct</v>
      </c>
      <c r="U147" s="91" t="e">
        <f t="shared" ref="U147:AG147" si="62">IF((SUM(U121:U126)+SUM(U131:U135))=U14, "Correct", "Wrong")</f>
        <v>#VALUE!</v>
      </c>
      <c r="V147" s="91" t="str">
        <f t="shared" si="62"/>
        <v>Correct</v>
      </c>
      <c r="W147" s="91" t="str">
        <f t="shared" si="62"/>
        <v>Correct</v>
      </c>
      <c r="X147" s="91" t="str">
        <f t="shared" si="62"/>
        <v>Correct</v>
      </c>
      <c r="Y147" s="91" t="str">
        <f t="shared" si="62"/>
        <v>Correct</v>
      </c>
      <c r="Z147" s="91" t="str">
        <f t="shared" si="62"/>
        <v>Correct</v>
      </c>
      <c r="AA147" s="91" t="str">
        <f t="shared" si="62"/>
        <v>Correct</v>
      </c>
      <c r="AB147" s="91" t="str">
        <f t="shared" si="62"/>
        <v>Correct</v>
      </c>
      <c r="AC147" s="91" t="str">
        <f t="shared" si="62"/>
        <v>Correct</v>
      </c>
      <c r="AD147" s="91" t="str">
        <f t="shared" si="62"/>
        <v>Correct</v>
      </c>
      <c r="AE147" s="91" t="str">
        <f t="shared" si="62"/>
        <v>Correct</v>
      </c>
      <c r="AF147" s="91" t="str">
        <f t="shared" si="62"/>
        <v>Correct</v>
      </c>
      <c r="AG147" s="91" t="str">
        <f t="shared" si="62"/>
        <v>Correct</v>
      </c>
    </row>
    <row r="148" spans="1:33">
      <c r="A148" s="17"/>
      <c r="B148" s="17"/>
      <c r="S148" s="86"/>
    </row>
    <row r="149" spans="1:33" s="113" customFormat="1" ht="26">
      <c r="E149" s="347"/>
      <c r="F149" s="360"/>
      <c r="G149" s="360"/>
      <c r="H149" s="360"/>
      <c r="I149" s="360"/>
      <c r="J149" s="360"/>
      <c r="K149" s="360"/>
      <c r="L149" s="360"/>
      <c r="M149" s="360"/>
      <c r="N149" s="360"/>
      <c r="O149" s="360"/>
      <c r="P149" s="360"/>
      <c r="Q149" s="360"/>
      <c r="R149" s="360"/>
      <c r="S149" s="360"/>
      <c r="T149" s="360"/>
    </row>
    <row r="150" spans="1:33" s="113" customFormat="1">
      <c r="F150" s="360"/>
      <c r="G150" s="360"/>
      <c r="H150" s="360"/>
      <c r="I150" s="360"/>
      <c r="J150" s="360"/>
      <c r="K150" s="360"/>
      <c r="L150" s="360"/>
      <c r="M150" s="360"/>
      <c r="N150" s="360"/>
      <c r="O150" s="360"/>
      <c r="P150" s="360"/>
      <c r="Q150" s="360"/>
      <c r="R150" s="360"/>
      <c r="S150" s="360"/>
      <c r="T150" s="360"/>
    </row>
    <row r="151" spans="1:33" s="113" customFormat="1" ht="19">
      <c r="E151" s="348"/>
      <c r="F151" s="360"/>
      <c r="G151" s="360"/>
      <c r="H151" s="360"/>
      <c r="I151" s="360"/>
      <c r="J151" s="360"/>
      <c r="K151" s="360"/>
      <c r="L151" s="360"/>
      <c r="M151" s="360"/>
      <c r="N151" s="360"/>
      <c r="O151" s="360"/>
      <c r="P151" s="360"/>
      <c r="Q151" s="360"/>
      <c r="R151" s="360"/>
      <c r="S151" s="360"/>
      <c r="T151" s="360"/>
      <c r="U151" s="349"/>
      <c r="V151" s="349"/>
      <c r="W151" s="349"/>
      <c r="X151" s="349"/>
      <c r="Y151" s="349"/>
      <c r="Z151" s="349"/>
      <c r="AA151" s="349"/>
      <c r="AB151" s="349"/>
      <c r="AC151" s="349"/>
      <c r="AD151" s="349"/>
      <c r="AE151" s="349"/>
      <c r="AF151" s="349"/>
      <c r="AG151" s="349"/>
    </row>
    <row r="152" spans="1:33" s="113" customFormat="1">
      <c r="E152" s="350"/>
      <c r="F152" s="360"/>
      <c r="G152" s="360"/>
      <c r="H152" s="360"/>
      <c r="I152" s="360"/>
      <c r="J152" s="360"/>
      <c r="K152" s="360"/>
      <c r="L152" s="360"/>
      <c r="M152" s="360"/>
      <c r="N152" s="360"/>
      <c r="O152" s="360"/>
      <c r="P152" s="360"/>
      <c r="Q152" s="360"/>
      <c r="R152" s="360"/>
      <c r="S152" s="360"/>
      <c r="T152" s="360"/>
      <c r="U152" s="261"/>
      <c r="V152" s="261"/>
      <c r="W152" s="261"/>
      <c r="X152" s="261"/>
      <c r="Y152" s="261"/>
      <c r="Z152" s="261"/>
      <c r="AA152" s="261"/>
      <c r="AB152" s="261"/>
      <c r="AC152" s="261"/>
      <c r="AD152" s="261"/>
      <c r="AE152" s="261"/>
      <c r="AF152" s="261"/>
      <c r="AG152" s="261"/>
    </row>
    <row r="153" spans="1:33" s="113" customFormat="1">
      <c r="E153" s="350"/>
      <c r="F153" s="360"/>
      <c r="G153" s="360"/>
      <c r="H153" s="360"/>
      <c r="I153" s="360"/>
      <c r="J153" s="360"/>
      <c r="K153" s="360"/>
      <c r="L153" s="360"/>
      <c r="M153" s="360"/>
      <c r="N153" s="360"/>
      <c r="O153" s="360"/>
      <c r="P153" s="360"/>
      <c r="Q153" s="360"/>
      <c r="R153" s="360"/>
      <c r="S153" s="360"/>
      <c r="T153" s="360"/>
      <c r="U153" s="261"/>
      <c r="V153" s="261"/>
      <c r="W153" s="261"/>
      <c r="X153" s="261"/>
      <c r="Y153" s="261"/>
      <c r="Z153" s="261"/>
      <c r="AA153" s="261"/>
      <c r="AB153" s="261"/>
      <c r="AC153" s="261"/>
      <c r="AD153" s="261"/>
      <c r="AE153" s="261"/>
      <c r="AF153" s="261"/>
      <c r="AG153" s="261"/>
    </row>
    <row r="154" spans="1:33" s="113" customFormat="1">
      <c r="F154" s="360"/>
      <c r="G154" s="360"/>
      <c r="H154" s="360"/>
      <c r="I154" s="360"/>
      <c r="J154" s="360"/>
      <c r="K154" s="360"/>
      <c r="L154" s="360"/>
      <c r="M154" s="360"/>
      <c r="N154" s="360"/>
      <c r="O154" s="360"/>
      <c r="P154" s="360"/>
      <c r="Q154" s="360"/>
      <c r="R154" s="360"/>
      <c r="S154" s="360"/>
      <c r="T154" s="360"/>
      <c r="U154" s="261"/>
      <c r="V154" s="261"/>
      <c r="W154" s="261"/>
      <c r="X154" s="261"/>
      <c r="Y154" s="261"/>
      <c r="Z154" s="261"/>
      <c r="AA154" s="261"/>
      <c r="AB154" s="261"/>
      <c r="AC154" s="261"/>
      <c r="AD154" s="261"/>
      <c r="AE154" s="261"/>
      <c r="AF154" s="261"/>
      <c r="AG154" s="261"/>
    </row>
    <row r="155" spans="1:33" s="113" customFormat="1">
      <c r="F155" s="360"/>
      <c r="G155" s="360"/>
      <c r="H155" s="360"/>
      <c r="I155" s="360"/>
      <c r="J155" s="360"/>
      <c r="K155" s="360"/>
      <c r="L155" s="360"/>
      <c r="M155" s="360"/>
      <c r="N155" s="360"/>
      <c r="O155" s="360"/>
      <c r="P155" s="360"/>
      <c r="Q155" s="360"/>
      <c r="R155" s="360"/>
      <c r="S155" s="360"/>
      <c r="T155" s="360"/>
      <c r="U155" s="261"/>
      <c r="V155" s="261"/>
      <c r="W155" s="261"/>
      <c r="X155" s="261"/>
      <c r="Y155" s="261"/>
      <c r="Z155" s="261"/>
      <c r="AA155" s="261"/>
      <c r="AB155" s="261"/>
      <c r="AC155" s="261"/>
      <c r="AD155" s="261"/>
      <c r="AE155" s="261"/>
      <c r="AF155" s="261"/>
      <c r="AG155" s="261"/>
    </row>
    <row r="156" spans="1:33" s="113" customFormat="1">
      <c r="F156" s="360"/>
      <c r="G156" s="360"/>
      <c r="H156" s="360"/>
      <c r="I156" s="360"/>
      <c r="J156" s="360"/>
      <c r="K156" s="360"/>
      <c r="L156" s="360"/>
      <c r="M156" s="360"/>
      <c r="N156" s="360"/>
      <c r="O156" s="360"/>
      <c r="P156" s="360"/>
      <c r="Q156" s="360"/>
      <c r="R156" s="360"/>
      <c r="S156" s="360"/>
      <c r="T156" s="360"/>
      <c r="U156" s="261"/>
      <c r="V156" s="261"/>
      <c r="W156" s="261"/>
      <c r="X156" s="261"/>
      <c r="Y156" s="261"/>
      <c r="Z156" s="261"/>
      <c r="AA156" s="261"/>
      <c r="AB156" s="261"/>
      <c r="AC156" s="261"/>
      <c r="AD156" s="261"/>
      <c r="AE156" s="261"/>
      <c r="AF156" s="261"/>
      <c r="AG156" s="261"/>
    </row>
    <row r="157" spans="1:33" s="113" customFormat="1">
      <c r="E157" s="239"/>
      <c r="F157" s="360"/>
      <c r="G157" s="360"/>
      <c r="H157" s="360"/>
      <c r="I157" s="360"/>
      <c r="J157" s="360"/>
      <c r="K157" s="360"/>
      <c r="L157" s="360"/>
      <c r="M157" s="360"/>
      <c r="N157" s="360"/>
      <c r="O157" s="360"/>
      <c r="P157" s="360"/>
      <c r="Q157" s="360"/>
      <c r="R157" s="360"/>
      <c r="S157" s="360"/>
      <c r="T157" s="360"/>
      <c r="U157" s="261"/>
      <c r="V157" s="261"/>
      <c r="W157" s="261"/>
      <c r="X157" s="261"/>
      <c r="Y157" s="261"/>
      <c r="Z157" s="261"/>
      <c r="AA157" s="261"/>
      <c r="AB157" s="261"/>
      <c r="AC157" s="261"/>
      <c r="AD157" s="261"/>
      <c r="AE157" s="261"/>
      <c r="AF157" s="261"/>
      <c r="AG157" s="261"/>
    </row>
    <row r="158" spans="1:33" s="113" customFormat="1">
      <c r="F158" s="360"/>
      <c r="G158" s="360"/>
      <c r="H158" s="360"/>
      <c r="I158" s="360"/>
      <c r="J158" s="360"/>
      <c r="K158" s="360"/>
      <c r="L158" s="360"/>
      <c r="M158" s="360"/>
      <c r="N158" s="360"/>
      <c r="O158" s="360"/>
      <c r="P158" s="360"/>
      <c r="Q158" s="360"/>
      <c r="R158" s="360"/>
      <c r="S158" s="360"/>
      <c r="T158" s="360"/>
    </row>
    <row r="159" spans="1:33">
      <c r="A159" s="17"/>
      <c r="B159" s="17"/>
      <c r="R159" s="120"/>
    </row>
    <row r="160" spans="1:33">
      <c r="A160" s="17"/>
      <c r="B160" s="17"/>
      <c r="R160" s="120"/>
    </row>
    <row r="161" spans="1:19">
      <c r="A161" s="17"/>
      <c r="B161" s="17"/>
      <c r="R161" s="120"/>
    </row>
    <row r="162" spans="1:19">
      <c r="A162" s="17"/>
      <c r="B162" s="17"/>
    </row>
    <row r="163" spans="1:19">
      <c r="A163" s="17"/>
      <c r="B163" s="17"/>
      <c r="S163" s="86"/>
    </row>
    <row r="164" spans="1:19">
      <c r="A164" s="17"/>
      <c r="B164" s="17"/>
      <c r="S164" s="86"/>
    </row>
    <row r="165" spans="1:19">
      <c r="A165" s="17"/>
      <c r="B165" s="17"/>
      <c r="S165" s="86"/>
    </row>
    <row r="166" spans="1:19">
      <c r="A166" s="17"/>
      <c r="B166" s="17"/>
      <c r="S166" s="86"/>
    </row>
    <row r="167" spans="1:19">
      <c r="A167" s="17"/>
      <c r="B167" s="17"/>
      <c r="S167" s="86"/>
    </row>
    <row r="169" spans="1:19">
      <c r="A169" s="17"/>
      <c r="B169" s="17"/>
      <c r="S169" s="86"/>
    </row>
    <row r="171" spans="1:19">
      <c r="A171" s="17"/>
      <c r="B171" s="17"/>
      <c r="S171" s="86"/>
    </row>
    <row r="172" spans="1:19">
      <c r="A172" s="17"/>
      <c r="B172" s="17"/>
      <c r="S172" s="86"/>
    </row>
    <row r="173" spans="1:19">
      <c r="A173" s="17"/>
      <c r="B173" s="17"/>
      <c r="S173" s="86"/>
    </row>
    <row r="174" spans="1:19">
      <c r="A174" s="17"/>
      <c r="B174" s="17"/>
      <c r="S174" s="86"/>
    </row>
    <row r="175" spans="1:19">
      <c r="A175" s="17"/>
      <c r="B175" s="17"/>
      <c r="S175" s="86"/>
    </row>
    <row r="176" spans="1:19">
      <c r="A176" s="17"/>
      <c r="B176" s="17"/>
      <c r="S176" s="86"/>
    </row>
    <row r="177" spans="1:19">
      <c r="A177" s="17"/>
      <c r="B177" s="17"/>
      <c r="S177" s="86"/>
    </row>
    <row r="179" spans="1:19">
      <c r="A179" s="17"/>
      <c r="B179" s="17"/>
      <c r="S179" s="86"/>
    </row>
    <row r="181" spans="1:19">
      <c r="A181" s="17"/>
      <c r="B181" s="17"/>
      <c r="S181" s="86"/>
    </row>
    <row r="182" spans="1:19">
      <c r="A182" s="17"/>
      <c r="B182" s="17"/>
      <c r="S182" s="86"/>
    </row>
    <row r="183" spans="1:19">
      <c r="A183" s="17"/>
      <c r="B183" s="17"/>
      <c r="S183" s="86"/>
    </row>
    <row r="184" spans="1:19">
      <c r="A184" s="17"/>
      <c r="B184" s="17"/>
      <c r="S184" s="86"/>
    </row>
    <row r="185" spans="1:19">
      <c r="A185" s="17"/>
      <c r="B185" s="17"/>
      <c r="S185" s="86"/>
    </row>
    <row r="186" spans="1:19">
      <c r="A186" s="17"/>
      <c r="B186" s="17"/>
      <c r="S186" s="86"/>
    </row>
    <row r="187" spans="1:19">
      <c r="A187" s="17"/>
      <c r="B187" s="17"/>
      <c r="S187" s="86"/>
    </row>
    <row r="188" spans="1:19">
      <c r="A188" s="17"/>
      <c r="B188" s="17"/>
      <c r="S188" s="86"/>
    </row>
    <row r="189" spans="1:19">
      <c r="A189" s="17"/>
      <c r="B189" s="17"/>
      <c r="S189" s="86"/>
    </row>
    <row r="190" spans="1:19">
      <c r="A190" s="17"/>
      <c r="B190" s="17"/>
      <c r="S190" s="86"/>
    </row>
    <row r="191" spans="1:19">
      <c r="A191" s="17"/>
      <c r="B191" s="17"/>
      <c r="S191" s="86"/>
    </row>
    <row r="192" spans="1:19">
      <c r="A192" s="17"/>
      <c r="B192" s="17"/>
      <c r="S192" s="86"/>
    </row>
    <row r="193" spans="1:19">
      <c r="A193" s="17"/>
      <c r="B193" s="17"/>
      <c r="S193" s="86"/>
    </row>
  </sheetData>
  <customSheetViews>
    <customSheetView guid="{8967CA62-3554-8A40-ACFF-3515F2B518C8}" scale="85" showGridLines="0" topLeftCell="M97">
      <selection activeCell="B86" sqref="A86:XFD88"/>
      <colBreaks count="1" manualBreakCount="1">
        <brk id="28" max="1048575" man="1"/>
      </colBreaks>
      <pageMargins left="0.7" right="0.7" top="0.75" bottom="0.75" header="0.3" footer="0.3"/>
      <pageSetup paperSize="9" orientation="portrait" horizontalDpi="4294967292" verticalDpi="4294967292"/>
    </customSheetView>
    <customSheetView guid="{EB877D66-0749-4C48-89AA-FFA94A34014C}" scale="85" showGridLines="0" state="hidden" topLeftCell="M97">
      <selection activeCell="N48" sqref="N48"/>
      <colBreaks count="1" manualBreakCount="1">
        <brk id="28" max="1048575" man="1"/>
      </colBreaks>
      <pageMargins left="0.7" right="0.7" top="0.75" bottom="0.75" header="0.3" footer="0.3"/>
      <pageSetup paperSize="9" orientation="portrait" horizontalDpi="4294967292" verticalDpi="4294967292"/>
    </customSheetView>
  </customSheetViews>
  <pageMargins left="0.7" right="0.7" top="0.75" bottom="0.75" header="0.3" footer="0.3"/>
  <pageSetup paperSize="9" orientation="portrait" horizontalDpi="4294967292" verticalDpi="4294967292"/>
  <colBreaks count="1" manualBreakCount="1">
    <brk id="28" max="1048575" man="1"/>
  </colBreaks>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23</vt:i4>
      </vt:variant>
    </vt:vector>
  </HeadingPairs>
  <TitlesOfParts>
    <vt:vector size="23" baseType="lpstr">
      <vt:lpstr>Cover</vt:lpstr>
      <vt:lpstr>User Manual</vt:lpstr>
      <vt:lpstr>Data</vt:lpstr>
      <vt:lpstr>Data (Calculations)</vt:lpstr>
      <vt:lpstr>Full Results</vt:lpstr>
      <vt:lpstr>Prediction tool</vt:lpstr>
      <vt:lpstr>Results</vt:lpstr>
      <vt:lpstr>Citations</vt:lpstr>
      <vt:lpstr>BaselineResults</vt:lpstr>
      <vt:lpstr>BaselineData</vt:lpstr>
      <vt:lpstr>Full Results Baseline</vt:lpstr>
      <vt:lpstr>Live births</vt:lpstr>
      <vt:lpstr>ANC1</vt:lpstr>
      <vt:lpstr>Testing</vt:lpstr>
      <vt:lpstr>Treatment</vt:lpstr>
      <vt:lpstr>Prevalence</vt:lpstr>
      <vt:lpstr>Reported cases</vt:lpstr>
      <vt:lpstr>Test type</vt:lpstr>
      <vt:lpstr>Week</vt:lpstr>
      <vt:lpstr>English</vt:lpstr>
      <vt:lpstr>Français</vt:lpstr>
      <vt:lpstr>Español</vt:lpstr>
      <vt:lpstr>Figure Legends</vt:lpstr>
    </vt:vector>
  </TitlesOfParts>
  <Company>_x0014_University of Oxford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zooadmin</dc:creator>
  <cp:lastModifiedBy>Microsoft Office User</cp:lastModifiedBy>
  <dcterms:created xsi:type="dcterms:W3CDTF">2016-03-07T10:00:46Z</dcterms:created>
  <dcterms:modified xsi:type="dcterms:W3CDTF">2020-09-22T01:38:59Z</dcterms:modified>
</cp:coreProperties>
</file>