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cozzav\AppData\Local\Microsoft\Windows\INetCache\Content.Outlook\8W7WE5JZ\"/>
    </mc:Choice>
  </mc:AlternateContent>
  <xr:revisionPtr revIDLastSave="0" documentId="13_ncr:1_{37A9DC61-F4A0-456C-B239-AE3742322741}" xr6:coauthVersionLast="47" xr6:coauthVersionMax="47" xr10:uidLastSave="{00000000-0000-0000-0000-000000000000}"/>
  <bookViews>
    <workbookView xWindow="28680" yWindow="-120" windowWidth="29040" windowHeight="15720" tabRatio="828" activeTab="1" xr2:uid="{575F991F-7E9A-49D6-8FCD-7429B17D2289}"/>
  </bookViews>
  <sheets>
    <sheet name="1. Instructions" sheetId="5" r:id="rId1"/>
    <sheet name="Input" sheetId="11" r:id="rId2"/>
    <sheet name="Results" sheetId="12" r:id="rId3"/>
    <sheet name="Scenarios" sheetId="19" r:id="rId4"/>
    <sheet name="R_import" sheetId="21" r:id="rId5"/>
    <sheet name="3. Model" sheetId="8" state="hidden" r:id="rId6"/>
    <sheet name="3.1. Current vaccine model" sheetId="24" r:id="rId7"/>
    <sheet name="3.2 Hypothetical vaccine model" sheetId="25" r:id="rId8"/>
    <sheet name="R_export" sheetId="20" r:id="rId9"/>
    <sheet name="uncertainty" sheetId="15" state="hidden" r:id="rId10"/>
    <sheet name="scenarios est" sheetId="18" state="hidden" r:id="rId11"/>
  </sheets>
  <externalReferences>
    <externalReference r:id="rId12"/>
    <externalReference r:id="rId13"/>
  </externalReferences>
  <definedNames>
    <definedName name="Annual_coverage">'[1]2. Población y vacuna'!$B$16</definedName>
    <definedName name="Cd_1">'scenarios est'!$D$13</definedName>
    <definedName name="Cd_10">'scenarios est'!$D$22</definedName>
    <definedName name="Cd_11">'scenarios est'!$D$23</definedName>
    <definedName name="Cd_12">'scenarios est'!$D$24</definedName>
    <definedName name="Cd_2">'scenarios est'!$D$14</definedName>
    <definedName name="Cd_3">'scenarios est'!$D$15</definedName>
    <definedName name="Cd_4">'scenarios est'!$D$16</definedName>
    <definedName name="Cd_5">'scenarios est'!$D$17</definedName>
    <definedName name="Cd_6">'scenarios est'!$D$18</definedName>
    <definedName name="Cd_7">'scenarios est'!$D$19</definedName>
    <definedName name="Cd_8">'scenarios est'!$D$20</definedName>
    <definedName name="Cd_9">'scenarios est'!$D$21</definedName>
    <definedName name="Co_1">Input!$E$9</definedName>
    <definedName name="Co_10">Input!$E$18</definedName>
    <definedName name="Co_11">Input!$E$19</definedName>
    <definedName name="Co_12">Input!$E$20</definedName>
    <definedName name="Co_2">Input!$E$10</definedName>
    <definedName name="Co_3">Input!$E$11</definedName>
    <definedName name="Co_4">Input!$E$12</definedName>
    <definedName name="Co_5">Input!$E$13</definedName>
    <definedName name="Co_6">Input!$E$14</definedName>
    <definedName name="Co_7">Input!$E$15</definedName>
    <definedName name="Co_8">Input!$E$16</definedName>
    <definedName name="Co_9">Input!$E$17</definedName>
    <definedName name="H_1">Input!$I$9</definedName>
    <definedName name="H_10">Input!$I$18</definedName>
    <definedName name="H_11">Input!$I$19</definedName>
    <definedName name="H_12">Input!$I$20</definedName>
    <definedName name="H_2">Input!$I$10</definedName>
    <definedName name="H_3">Input!$I$11</definedName>
    <definedName name="H_4">Input!$I$12</definedName>
    <definedName name="H_5">Input!$I$13</definedName>
    <definedName name="H_6">Input!$I$14</definedName>
    <definedName name="H_7">Input!$I$15</definedName>
    <definedName name="H_8">Input!$I$16</definedName>
    <definedName name="H_9">Input!$I$17</definedName>
    <definedName name="hnh">Input!$B$14</definedName>
    <definedName name="ISc">Input!$B$3</definedName>
    <definedName name="lCo_1">Input!$E$26</definedName>
    <definedName name="lCo_10">Input!$E$35</definedName>
    <definedName name="lCo_11">Input!$E$36</definedName>
    <definedName name="lCo_12">Input!$E$37</definedName>
    <definedName name="lCo_2">Input!$E$27</definedName>
    <definedName name="lCo_3">Input!$E$28</definedName>
    <definedName name="lCo_4">Input!$E$29</definedName>
    <definedName name="lCo_5">Input!$E$30</definedName>
    <definedName name="lCo_6">Input!$E$31</definedName>
    <definedName name="lCo_7">Input!$E$32</definedName>
    <definedName name="lCo_8">Input!$E$33</definedName>
    <definedName name="lCo_9">Input!$E$34</definedName>
    <definedName name="lH_1">Input!$I$25</definedName>
    <definedName name="lH_10">Input!$I$34</definedName>
    <definedName name="lH_11">Input!$I$35</definedName>
    <definedName name="lH_12">Input!$I$36</definedName>
    <definedName name="lH_2">Input!$I$26</definedName>
    <definedName name="lH_3">Input!$I$27</definedName>
    <definedName name="lH_4">Input!$I$28</definedName>
    <definedName name="lH_5">Input!$I$29</definedName>
    <definedName name="lH_6">Input!$I$30</definedName>
    <definedName name="lH_7">Input!$I$31</definedName>
    <definedName name="lH_8">Input!$I$32</definedName>
    <definedName name="lH_9">Input!$I$33</definedName>
    <definedName name="lhnh">Input!$B$15</definedName>
    <definedName name="lVE">Input!$B$9</definedName>
    <definedName name="mai">Input!$B$19</definedName>
    <definedName name="mb">Input!$B$25</definedName>
    <definedName name="nh1_1" localSheetId="6">'3.1. Current vaccine model'!$S$6</definedName>
    <definedName name="nh1_1" localSheetId="7">'3.2 Hypothetical vaccine model'!$E$6</definedName>
    <definedName name="nh1_1">'3. Model'!$S$6</definedName>
    <definedName name="nh1_10" localSheetId="6">'3.1. Current vaccine model'!$S$15</definedName>
    <definedName name="nh1_10" localSheetId="7">'3.2 Hypothetical vaccine model'!$E$15</definedName>
    <definedName name="nh1_10">'3. Model'!$S$15</definedName>
    <definedName name="nh1_11" localSheetId="6">'3.1. Current vaccine model'!$S$16</definedName>
    <definedName name="nh1_11" localSheetId="7">'3.2 Hypothetical vaccine model'!$E$16</definedName>
    <definedName name="nh1_11">'3. Model'!$S$16</definedName>
    <definedName name="nh1_12" localSheetId="6">'3.1. Current vaccine model'!$S$17</definedName>
    <definedName name="nh1_12" localSheetId="7">'3.2 Hypothetical vaccine model'!$E$17</definedName>
    <definedName name="nh1_12">'3. Model'!$S$17</definedName>
    <definedName name="nh1_2" localSheetId="6">'3.1. Current vaccine model'!$S$7</definedName>
    <definedName name="nh1_2" localSheetId="7">'3.2 Hypothetical vaccine model'!$E$7</definedName>
    <definedName name="nh1_2">'3. Model'!$S$7</definedName>
    <definedName name="nh1_3" localSheetId="6">'3.1. Current vaccine model'!$S$8</definedName>
    <definedName name="nh1_3" localSheetId="7">'3.2 Hypothetical vaccine model'!$E$8</definedName>
    <definedName name="nh1_3">'3. Model'!$S$8</definedName>
    <definedName name="nh1_4" localSheetId="6">'3.1. Current vaccine model'!$S$9</definedName>
    <definedName name="nh1_4" localSheetId="7">'3.2 Hypothetical vaccine model'!$E$9</definedName>
    <definedName name="nh1_4">'3. Model'!$S$9</definedName>
    <definedName name="nh1_5" localSheetId="6">'3.1. Current vaccine model'!$S$10</definedName>
    <definedName name="nh1_5" localSheetId="7">'3.2 Hypothetical vaccine model'!$E$10</definedName>
    <definedName name="nh1_5">'3. Model'!$S$10</definedName>
    <definedName name="nh1_6" localSheetId="6">'3.1. Current vaccine model'!$S$11</definedName>
    <definedName name="nh1_6" localSheetId="7">'3.2 Hypothetical vaccine model'!$E$11</definedName>
    <definedName name="nh1_6">'3. Model'!$S$11</definedName>
    <definedName name="nh1_7" localSheetId="6">'3.1. Current vaccine model'!$S$12</definedName>
    <definedName name="nh1_7" localSheetId="7">'3.2 Hypothetical vaccine model'!$E$12</definedName>
    <definedName name="nh1_7">'3. Model'!$S$12</definedName>
    <definedName name="nh1_8" localSheetId="6">'3.1. Current vaccine model'!$S$13</definedName>
    <definedName name="nh1_8" localSheetId="7">'3.2 Hypothetical vaccine model'!$E$13</definedName>
    <definedName name="nh1_8">'3. Model'!$S$13</definedName>
    <definedName name="nh1_9" localSheetId="6">'3.1. Current vaccine model'!$S$14</definedName>
    <definedName name="nh1_9" localSheetId="7">'3.2 Hypothetical vaccine model'!$E$14</definedName>
    <definedName name="nh1_9">'3. Model'!$S$14</definedName>
    <definedName name="nnn">Input!#REF!</definedName>
    <definedName name="Rhnh">Input!$B$14</definedName>
    <definedName name="ScI">Input!$B$3</definedName>
    <definedName name="Scl">Input!$B$3</definedName>
    <definedName name="sCo_1">Scenarios!$B$15</definedName>
    <definedName name="sCo_2">Scenarios!$B$16</definedName>
    <definedName name="sCo_3">Scenarios!$B$17</definedName>
    <definedName name="sCo_4">Scenarios!$B$18</definedName>
    <definedName name="sCo1_1">'scenarios est'!$E$13</definedName>
    <definedName name="sCo1_10">'scenarios est'!$E$22</definedName>
    <definedName name="sCo1_11">'scenarios est'!$E$23</definedName>
    <definedName name="sCo1_12">'scenarios est'!$E$24</definedName>
    <definedName name="sCo1_2">'scenarios est'!$E$14</definedName>
    <definedName name="sCo1_3">'scenarios est'!$E$15</definedName>
    <definedName name="sCo1_4">'scenarios est'!$E$16</definedName>
    <definedName name="sCo1_5">'scenarios est'!$E$17</definedName>
    <definedName name="sCo1_6">'scenarios est'!$E$18</definedName>
    <definedName name="sCo1_7">'scenarios est'!$E$19</definedName>
    <definedName name="sCo1_8">'scenarios est'!$E$20</definedName>
    <definedName name="sCo1_9">'scenarios est'!$E$21</definedName>
    <definedName name="sCo2_1">'scenarios est'!$F$13</definedName>
    <definedName name="sCo2_10">'scenarios est'!$F$22</definedName>
    <definedName name="sCo2_11">'scenarios est'!$F$23</definedName>
    <definedName name="sCo2_12">'scenarios est'!$F$24</definedName>
    <definedName name="sCo2_2">'scenarios est'!$F$14</definedName>
    <definedName name="sCo2_3">'scenarios est'!$F$15</definedName>
    <definedName name="sCo2_4">'scenarios est'!$F$16</definedName>
    <definedName name="sCo2_5">'scenarios est'!$F$17</definedName>
    <definedName name="sCo2_6">'scenarios est'!$F$18</definedName>
    <definedName name="sCo2_7">'scenarios est'!$F$19</definedName>
    <definedName name="sCo2_8">'scenarios est'!$F$20</definedName>
    <definedName name="sCo2_9">'scenarios est'!$F$21</definedName>
    <definedName name="sCo3_1">'scenarios est'!$G$13</definedName>
    <definedName name="sCo3_10">'scenarios est'!$G$22</definedName>
    <definedName name="sCo3_11">'scenarios est'!$G$23</definedName>
    <definedName name="sCo3_12">'scenarios est'!$G$24</definedName>
    <definedName name="sCo3_2">'scenarios est'!$G$14</definedName>
    <definedName name="sCo3_3">'scenarios est'!$G$15</definedName>
    <definedName name="sCo3_4">'scenarios est'!$G$16</definedName>
    <definedName name="sCo3_5">'scenarios est'!$G$17</definedName>
    <definedName name="sCo3_6">'scenarios est'!$G$18</definedName>
    <definedName name="sCo3_7">'scenarios est'!$G$19</definedName>
    <definedName name="sCo3_8">'scenarios est'!$G$20</definedName>
    <definedName name="sCo3_9">'scenarios est'!$G$21</definedName>
    <definedName name="sCo4_1">'scenarios est'!$H$13</definedName>
    <definedName name="sCo4_10">'scenarios est'!$H$22</definedName>
    <definedName name="sCo4_11">'scenarios est'!$H$23</definedName>
    <definedName name="sCo4_12">'scenarios est'!$H$24</definedName>
    <definedName name="sCo4_2">'scenarios est'!$H$14</definedName>
    <definedName name="sCo4_3">'scenarios est'!$H$15</definedName>
    <definedName name="sCo4_4">'scenarios est'!$H$16</definedName>
    <definedName name="sCo4_5">'scenarios est'!$H$17</definedName>
    <definedName name="sCo4_6">'scenarios est'!$H$18</definedName>
    <definedName name="sCo4_7">'scenarios est'!$H$19</definedName>
    <definedName name="sCo4_8">'scenarios est'!$H$20</definedName>
    <definedName name="sCo4_9">'scenarios est'!$H$21</definedName>
    <definedName name="season">Input!$E$3</definedName>
    <definedName name="SI">Input!$B$3</definedName>
    <definedName name="Target">'[1]2. Población y vacuna'!$B$6</definedName>
    <definedName name="Target_pop" localSheetId="0">'[1]2. Población y vacuna'!$B$7</definedName>
    <definedName name="Target_pop">'[2]2. Pop and vaccine inputs'!$B$7</definedName>
    <definedName name="tCo1_1">'scenarios est'!$J$13</definedName>
    <definedName name="tCo1_10">'scenarios est'!$J$22</definedName>
    <definedName name="tCo1_11">'scenarios est'!$J$23</definedName>
    <definedName name="tCo1_12">'scenarios est'!$J$24</definedName>
    <definedName name="tCo1_2">'scenarios est'!$J$14</definedName>
    <definedName name="tCo1_3">'scenarios est'!$J$15</definedName>
    <definedName name="tCo1_4">'scenarios est'!$J$16</definedName>
    <definedName name="tCo1_5">'scenarios est'!$J$17</definedName>
    <definedName name="tCo1_6">'scenarios est'!$J$18</definedName>
    <definedName name="tCo1_7">'scenarios est'!$J$19</definedName>
    <definedName name="tCo1_8">'scenarios est'!$J$20</definedName>
    <definedName name="tCo1_9">'scenarios est'!$J$21</definedName>
    <definedName name="tCo2_1">'scenarios est'!$K$13</definedName>
    <definedName name="tCo2_10">'scenarios est'!$K$22</definedName>
    <definedName name="tCo2_11">'scenarios est'!$K$23</definedName>
    <definedName name="tCo2_12">'scenarios est'!$K$24</definedName>
    <definedName name="tCo2_2">'scenarios est'!$K$14</definedName>
    <definedName name="tCo2_3">'scenarios est'!$K$15</definedName>
    <definedName name="tCo2_4">'scenarios est'!$K$16</definedName>
    <definedName name="tCo2_5">'scenarios est'!$K$17</definedName>
    <definedName name="tCo2_6">'scenarios est'!$K$18</definedName>
    <definedName name="tCo2_7">'scenarios est'!$K$19</definedName>
    <definedName name="tCo2_8">'scenarios est'!$K$20</definedName>
    <definedName name="tCo2_9">'scenarios est'!$K$21</definedName>
    <definedName name="tCo3_1">'scenarios est'!$L$13</definedName>
    <definedName name="tCo3_10">'scenarios est'!$L$22</definedName>
    <definedName name="tCo3_11">'scenarios est'!$L$23</definedName>
    <definedName name="tCo3_12">'scenarios est'!$L$24</definedName>
    <definedName name="tCo3_2">'scenarios est'!$L$14</definedName>
    <definedName name="tCo3_3">'scenarios est'!$L$15</definedName>
    <definedName name="tCo3_4">'scenarios est'!$L$16</definedName>
    <definedName name="tCo3_5">'scenarios est'!$L$17</definedName>
    <definedName name="tCo3_6">'scenarios est'!$L$18</definedName>
    <definedName name="tCo3_7">'scenarios est'!$L$19</definedName>
    <definedName name="tCo3_8">'scenarios est'!$L$20</definedName>
    <definedName name="tCo3_9">'scenarios est'!$L$21</definedName>
    <definedName name="tCo4_1">'scenarios est'!$M$13</definedName>
    <definedName name="tCo4_10">'scenarios est'!$M$22</definedName>
    <definedName name="tCo4_11">'scenarios est'!$M$23</definedName>
    <definedName name="tCo4_12">'scenarios est'!$M$24</definedName>
    <definedName name="tCo4_2">'scenarios est'!$M$14</definedName>
    <definedName name="tCo4_3">'scenarios est'!$M$15</definedName>
    <definedName name="tCo4_4">'scenarios est'!$M$16</definedName>
    <definedName name="tCo4_5">'scenarios est'!$M$17</definedName>
    <definedName name="tCo4_6">'scenarios est'!$M$18</definedName>
    <definedName name="tCo4_7">'scenarios est'!$M$19</definedName>
    <definedName name="tCo4_8">'scenarios est'!$M$20</definedName>
    <definedName name="tCo4_9">'scenarios est'!$M$21</definedName>
    <definedName name="TCv">Input!$B$28</definedName>
    <definedName name="TCv_1">'scenarios est'!$E$25</definedName>
    <definedName name="TCv_2">'scenarios est'!$F$25</definedName>
    <definedName name="TCv_3">'scenarios est'!$G$25</definedName>
    <definedName name="TCv_4">'scenarios est'!$H$25</definedName>
    <definedName name="TG">Input!$H$3</definedName>
    <definedName name="TP">Input!$H$4</definedName>
    <definedName name="uCo_1">Input!$F$26</definedName>
    <definedName name="uCo_10">Input!$F$35</definedName>
    <definedName name="uCo_11">Input!$F$36</definedName>
    <definedName name="uCo_12">Input!$F$37</definedName>
    <definedName name="uCo_2">Input!$F$27</definedName>
    <definedName name="uCo_3">Input!$F$28</definedName>
    <definedName name="uCo_4">Input!$F$29</definedName>
    <definedName name="uCo_5">Input!$F$30</definedName>
    <definedName name="uCo_6">Input!$F$31</definedName>
    <definedName name="uCo_7">Input!$F$32</definedName>
    <definedName name="uCo_8">Input!$F$33</definedName>
    <definedName name="uCo_9">Input!$F$34</definedName>
    <definedName name="uH_1">Input!$J$25</definedName>
    <definedName name="uH_10">Input!$J$34</definedName>
    <definedName name="uH_11">Input!$J$35</definedName>
    <definedName name="uH_12">Input!$J$36</definedName>
    <definedName name="uH_2">Input!$J$26</definedName>
    <definedName name="uH_3">Input!$J$27</definedName>
    <definedName name="uH_4">Input!$J$28</definedName>
    <definedName name="uH_5">Input!$J$29</definedName>
    <definedName name="uH_6">Input!$J$30</definedName>
    <definedName name="uH_7">Input!$J$31</definedName>
    <definedName name="uH_8">Input!$J$32</definedName>
    <definedName name="uH_9">Input!$J$33</definedName>
    <definedName name="uhnh">Input!$B$16</definedName>
    <definedName name="uVE">Input!$B$10</definedName>
    <definedName name="VE">Input!$B$8</definedName>
    <definedName name="way">Input!$B$3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 i="11" l="1"/>
  <c r="G50" i="12" l="1"/>
  <c r="N50" i="12"/>
  <c r="L50" i="12"/>
  <c r="K79" i="19"/>
  <c r="K78" i="19"/>
  <c r="AC242" i="18"/>
  <c r="E242" i="18"/>
  <c r="C242" i="18"/>
  <c r="B242" i="18"/>
  <c r="A242" i="18"/>
  <c r="AC233" i="18"/>
  <c r="E233" i="18"/>
  <c r="C233" i="18"/>
  <c r="B233" i="18"/>
  <c r="A233" i="18"/>
  <c r="AC224" i="18"/>
  <c r="E224" i="18"/>
  <c r="C224" i="18"/>
  <c r="B224" i="18"/>
  <c r="A224" i="18"/>
  <c r="AC215" i="18"/>
  <c r="E215" i="18"/>
  <c r="C215" i="18"/>
  <c r="B215" i="18"/>
  <c r="A215" i="18"/>
  <c r="AC206" i="18"/>
  <c r="E206" i="18"/>
  <c r="C206" i="18"/>
  <c r="B206" i="18"/>
  <c r="A206" i="18"/>
  <c r="AC197" i="18"/>
  <c r="E197" i="18"/>
  <c r="C197" i="18"/>
  <c r="B197" i="18"/>
  <c r="A197" i="18"/>
  <c r="AC188" i="18"/>
  <c r="E188" i="18"/>
  <c r="C188" i="18"/>
  <c r="B188" i="18"/>
  <c r="A188" i="18"/>
  <c r="AC179" i="18"/>
  <c r="E179" i="18"/>
  <c r="C179" i="18"/>
  <c r="B179" i="18"/>
  <c r="A179" i="18"/>
  <c r="AC170" i="18"/>
  <c r="E170" i="18"/>
  <c r="C170" i="18"/>
  <c r="B170" i="18"/>
  <c r="A170" i="18"/>
  <c r="AC161" i="18"/>
  <c r="E161" i="18"/>
  <c r="C161" i="18"/>
  <c r="B161" i="18"/>
  <c r="A161" i="18"/>
  <c r="AC152" i="18"/>
  <c r="E152" i="18"/>
  <c r="C152" i="18"/>
  <c r="B152" i="18"/>
  <c r="A152" i="18"/>
  <c r="AC143" i="18"/>
  <c r="E143" i="18"/>
  <c r="C143" i="18"/>
  <c r="B143" i="18"/>
  <c r="A143" i="18"/>
  <c r="AC134" i="18"/>
  <c r="E134" i="18"/>
  <c r="C134" i="18"/>
  <c r="B134" i="18"/>
  <c r="A134" i="18"/>
  <c r="AC125" i="18"/>
  <c r="E125" i="18"/>
  <c r="C125" i="18"/>
  <c r="B125" i="18"/>
  <c r="A125" i="18"/>
  <c r="AC116" i="18"/>
  <c r="E116" i="18"/>
  <c r="C116" i="18"/>
  <c r="B116" i="18"/>
  <c r="A116" i="18"/>
  <c r="AC107" i="18"/>
  <c r="E107" i="18"/>
  <c r="C107" i="18"/>
  <c r="B107" i="18"/>
  <c r="A107" i="18"/>
  <c r="G144" i="8"/>
  <c r="B138" i="8"/>
  <c r="E153" i="8" l="1"/>
  <c r="E152" i="8"/>
  <c r="E151" i="8"/>
  <c r="E150" i="8"/>
  <c r="E149" i="8"/>
  <c r="E148" i="8"/>
  <c r="E147" i="8"/>
  <c r="E146" i="8"/>
  <c r="E145" i="8"/>
  <c r="E144" i="8"/>
  <c r="E143" i="8"/>
  <c r="E142" i="8"/>
  <c r="C141" i="8"/>
  <c r="N35" i="8"/>
  <c r="D9" i="11" l="1"/>
  <c r="A6" i="25" s="1"/>
  <c r="C17" i="25"/>
  <c r="C16" i="25"/>
  <c r="C15" i="25"/>
  <c r="C14" i="25"/>
  <c r="C13" i="25"/>
  <c r="C12" i="25"/>
  <c r="C11" i="25"/>
  <c r="C10" i="25"/>
  <c r="C9" i="25"/>
  <c r="C8" i="25"/>
  <c r="C7" i="25"/>
  <c r="C6" i="25"/>
  <c r="O7" i="25"/>
  <c r="P7" i="25" s="1"/>
  <c r="O8" i="25"/>
  <c r="P8" i="25" s="1"/>
  <c r="O9" i="25"/>
  <c r="P9" i="25" s="1"/>
  <c r="O10" i="25"/>
  <c r="P10" i="25" s="1"/>
  <c r="O11" i="25"/>
  <c r="P11" i="25" s="1"/>
  <c r="O12" i="25"/>
  <c r="P12" i="25" s="1"/>
  <c r="O13" i="25"/>
  <c r="P13" i="25" s="1"/>
  <c r="O14" i="25"/>
  <c r="P14" i="25" s="1"/>
  <c r="O15" i="25"/>
  <c r="P15" i="25" s="1"/>
  <c r="O16" i="25"/>
  <c r="P16" i="25" s="1"/>
  <c r="O17" i="25"/>
  <c r="P17" i="25" s="1"/>
  <c r="O6" i="25"/>
  <c r="P6" i="25" s="1"/>
  <c r="B6" i="25"/>
  <c r="J7" i="24"/>
  <c r="K7" i="24" s="1"/>
  <c r="J8" i="24"/>
  <c r="K8" i="24" s="1"/>
  <c r="J9" i="24"/>
  <c r="K9" i="24" s="1"/>
  <c r="J10" i="24"/>
  <c r="K10" i="24" s="1"/>
  <c r="J11" i="24"/>
  <c r="K11" i="24" s="1"/>
  <c r="J12" i="24"/>
  <c r="K12" i="24" s="1"/>
  <c r="J13" i="24"/>
  <c r="K13" i="24" s="1"/>
  <c r="J14" i="24"/>
  <c r="K14" i="24" s="1"/>
  <c r="J15" i="24"/>
  <c r="K15" i="24" s="1"/>
  <c r="J16" i="24"/>
  <c r="K16" i="24" s="1"/>
  <c r="J17" i="24"/>
  <c r="K17" i="24" s="1"/>
  <c r="J6" i="24"/>
  <c r="K6" i="24" s="1"/>
  <c r="B17" i="24"/>
  <c r="B16" i="24"/>
  <c r="D16" i="24" s="1"/>
  <c r="B15" i="24"/>
  <c r="B14" i="24"/>
  <c r="D14" i="24" s="1"/>
  <c r="B13" i="24"/>
  <c r="D13" i="24" s="1"/>
  <c r="B12" i="24"/>
  <c r="B11" i="24"/>
  <c r="B10" i="24"/>
  <c r="B8" i="24"/>
  <c r="D8" i="24" s="1"/>
  <c r="B9" i="24"/>
  <c r="B7" i="24"/>
  <c r="B6" i="24"/>
  <c r="C6" i="24" s="1"/>
  <c r="P6" i="24"/>
  <c r="I50" i="12" l="1"/>
  <c r="Q50" i="12"/>
  <c r="S50" i="12"/>
  <c r="D242" i="18"/>
  <c r="D170" i="18"/>
  <c r="D161" i="18"/>
  <c r="D179" i="18"/>
  <c r="D107" i="18"/>
  <c r="D134" i="18"/>
  <c r="D143" i="18"/>
  <c r="D152" i="18"/>
  <c r="D188" i="18"/>
  <c r="D116" i="18"/>
  <c r="D224" i="18"/>
  <c r="D233" i="18"/>
  <c r="D197" i="18"/>
  <c r="D125" i="18"/>
  <c r="D206" i="18"/>
  <c r="D215" i="18"/>
  <c r="E13" i="25"/>
  <c r="E14" i="25"/>
  <c r="E7" i="25"/>
  <c r="E15" i="25"/>
  <c r="E6" i="25"/>
  <c r="N6" i="25" s="1"/>
  <c r="T6" i="25" s="1"/>
  <c r="U6" i="25" s="1"/>
  <c r="E8" i="25"/>
  <c r="E16" i="25"/>
  <c r="E9" i="25"/>
  <c r="E17" i="25"/>
  <c r="E10" i="25"/>
  <c r="E11" i="25"/>
  <c r="E12" i="25"/>
  <c r="D10" i="11"/>
  <c r="H10" i="11" s="1"/>
  <c r="A6" i="24"/>
  <c r="B142" i="8"/>
  <c r="H9" i="11"/>
  <c r="D26" i="11"/>
  <c r="M6" i="25"/>
  <c r="R6" i="25" s="1"/>
  <c r="S6" i="25" s="1"/>
  <c r="Q7" i="25"/>
  <c r="Q9" i="25"/>
  <c r="D6" i="25"/>
  <c r="Q6" i="25"/>
  <c r="Q10" i="25"/>
  <c r="Q11" i="25"/>
  <c r="Q8" i="25"/>
  <c r="Q14" i="25"/>
  <c r="Q12" i="25"/>
  <c r="P18" i="25"/>
  <c r="D6" i="24"/>
  <c r="O6" i="24" s="1"/>
  <c r="S6" i="24" s="1"/>
  <c r="O18" i="25"/>
  <c r="Q15" i="25"/>
  <c r="Q16" i="25"/>
  <c r="Q17" i="25"/>
  <c r="Q13" i="25"/>
  <c r="N6" i="24"/>
  <c r="Q6" i="24" s="1"/>
  <c r="D7" i="24"/>
  <c r="D15" i="24"/>
  <c r="D9" i="24"/>
  <c r="D17" i="24"/>
  <c r="D10" i="24"/>
  <c r="D11" i="24"/>
  <c r="D12" i="24"/>
  <c r="C15" i="24"/>
  <c r="J18" i="24"/>
  <c r="L13" i="24"/>
  <c r="L9" i="24"/>
  <c r="L15" i="24"/>
  <c r="C9" i="24"/>
  <c r="C13" i="24"/>
  <c r="C8" i="24"/>
  <c r="C12" i="24"/>
  <c r="B18" i="24"/>
  <c r="L8" i="24"/>
  <c r="L12" i="24"/>
  <c r="C7" i="24"/>
  <c r="C11" i="24"/>
  <c r="C17" i="24"/>
  <c r="C16" i="24"/>
  <c r="L7" i="24"/>
  <c r="L11" i="24"/>
  <c r="K18" i="24"/>
  <c r="C10" i="24"/>
  <c r="C14" i="24"/>
  <c r="L16" i="24"/>
  <c r="L6" i="24"/>
  <c r="L10" i="24"/>
  <c r="L14" i="24"/>
  <c r="L17" i="24"/>
  <c r="AB3" i="20"/>
  <c r="AB4" i="20"/>
  <c r="AB5" i="20"/>
  <c r="AB6" i="20"/>
  <c r="AB7" i="20"/>
  <c r="AB8" i="20"/>
  <c r="AB9" i="20"/>
  <c r="AB10" i="20"/>
  <c r="AB11" i="20"/>
  <c r="AB12" i="20"/>
  <c r="AB13" i="20"/>
  <c r="AB2" i="20"/>
  <c r="N13" i="20"/>
  <c r="N12" i="20"/>
  <c r="N11" i="20"/>
  <c r="N10" i="20"/>
  <c r="N9" i="20"/>
  <c r="N8" i="20"/>
  <c r="N7" i="20"/>
  <c r="N6" i="20"/>
  <c r="N5" i="20"/>
  <c r="N4" i="20"/>
  <c r="N3" i="20"/>
  <c r="N2" i="20"/>
  <c r="AC3" i="20"/>
  <c r="AC4" i="20"/>
  <c r="AC5" i="20"/>
  <c r="AC6" i="20"/>
  <c r="AC7" i="20"/>
  <c r="AC8" i="20"/>
  <c r="AC9" i="20"/>
  <c r="AC10" i="20"/>
  <c r="AC11" i="20"/>
  <c r="AC12" i="20"/>
  <c r="AC13" i="20"/>
  <c r="AC2" i="20"/>
  <c r="Y3" i="20"/>
  <c r="Z3" i="20"/>
  <c r="AA3" i="20"/>
  <c r="Y4" i="20"/>
  <c r="Z4" i="20"/>
  <c r="AA4" i="20"/>
  <c r="Y5" i="20"/>
  <c r="Z5" i="20"/>
  <c r="AA5" i="20"/>
  <c r="Y6" i="20"/>
  <c r="Z6" i="20"/>
  <c r="AA6" i="20"/>
  <c r="Y7" i="20"/>
  <c r="Z7" i="20"/>
  <c r="AA7" i="20"/>
  <c r="Y8" i="20"/>
  <c r="Z8" i="20"/>
  <c r="AA8" i="20"/>
  <c r="Y9" i="20"/>
  <c r="Z9" i="20"/>
  <c r="AA9" i="20"/>
  <c r="Y10" i="20"/>
  <c r="Z10" i="20"/>
  <c r="AA10" i="20"/>
  <c r="Y11" i="20"/>
  <c r="Z11" i="20"/>
  <c r="AA11" i="20"/>
  <c r="Y12" i="20"/>
  <c r="Z12" i="20"/>
  <c r="AA12" i="20"/>
  <c r="Y13" i="20"/>
  <c r="Z13" i="20"/>
  <c r="AA13" i="20"/>
  <c r="AA2" i="20"/>
  <c r="Z2" i="20"/>
  <c r="Y2" i="20"/>
  <c r="X9" i="20"/>
  <c r="H26" i="11" l="1"/>
  <c r="M22" i="19"/>
  <c r="H27" i="11"/>
  <c r="M23" i="19"/>
  <c r="D27" i="11"/>
  <c r="A7" i="25"/>
  <c r="D11" i="11"/>
  <c r="D12" i="11" s="1"/>
  <c r="H12" i="11" s="1"/>
  <c r="B143" i="8"/>
  <c r="A7" i="24"/>
  <c r="J37" i="11"/>
  <c r="J30" i="11"/>
  <c r="J27" i="11"/>
  <c r="J31" i="11"/>
  <c r="J35" i="11"/>
  <c r="J32" i="11"/>
  <c r="J26" i="11"/>
  <c r="J34" i="11"/>
  <c r="J28" i="11"/>
  <c r="J36" i="11"/>
  <c r="J33" i="11"/>
  <c r="J29" i="11"/>
  <c r="I33" i="11"/>
  <c r="I36" i="11"/>
  <c r="I30" i="11"/>
  <c r="I35" i="11"/>
  <c r="I32" i="11"/>
  <c r="I29" i="11"/>
  <c r="I37" i="11"/>
  <c r="I26" i="11"/>
  <c r="I31" i="11"/>
  <c r="I27" i="11"/>
  <c r="I34" i="11"/>
  <c r="I28" i="11"/>
  <c r="AA6" i="25"/>
  <c r="L6" i="25"/>
  <c r="X6" i="25"/>
  <c r="AB6" i="25"/>
  <c r="F6" i="25"/>
  <c r="G6" i="25" s="1"/>
  <c r="B7" i="25" s="1"/>
  <c r="J6" i="25"/>
  <c r="X2" i="20"/>
  <c r="X6" i="20"/>
  <c r="X13" i="20"/>
  <c r="X5" i="20"/>
  <c r="X4" i="20"/>
  <c r="X8" i="20"/>
  <c r="X11" i="20"/>
  <c r="X3" i="20"/>
  <c r="X7" i="20"/>
  <c r="X12" i="20"/>
  <c r="X10" i="20"/>
  <c r="O34" i="19"/>
  <c r="V13" i="20"/>
  <c r="V12" i="20"/>
  <c r="V11" i="20"/>
  <c r="V10" i="20"/>
  <c r="V9" i="20"/>
  <c r="V8" i="20"/>
  <c r="V7" i="20"/>
  <c r="V6" i="20"/>
  <c r="V5" i="20"/>
  <c r="V4" i="20"/>
  <c r="V3" i="20"/>
  <c r="V2" i="20"/>
  <c r="W3" i="20"/>
  <c r="W4" i="20"/>
  <c r="W5" i="20"/>
  <c r="W6" i="20"/>
  <c r="W7" i="20"/>
  <c r="W8" i="20"/>
  <c r="W9" i="20"/>
  <c r="W10" i="20"/>
  <c r="W11" i="20"/>
  <c r="W12" i="20"/>
  <c r="W13" i="20"/>
  <c r="W2" i="20"/>
  <c r="M13" i="20"/>
  <c r="M9" i="20"/>
  <c r="A8" i="25" l="1"/>
  <c r="H11" i="11"/>
  <c r="A9" i="25"/>
  <c r="A8" i="24"/>
  <c r="B144" i="8"/>
  <c r="D28" i="11"/>
  <c r="M7" i="25"/>
  <c r="R7" i="25" s="1"/>
  <c r="N7" i="25"/>
  <c r="T7" i="25" s="1"/>
  <c r="V6" i="25"/>
  <c r="Y6" i="25"/>
  <c r="AD6" i="25"/>
  <c r="K6" i="25"/>
  <c r="H6" i="25"/>
  <c r="O3" i="20"/>
  <c r="P3" i="20" s="1"/>
  <c r="Q3" i="20" s="1"/>
  <c r="M3" i="20"/>
  <c r="O4" i="20"/>
  <c r="P4" i="20" s="1"/>
  <c r="Q4" i="20" s="1"/>
  <c r="M4" i="20"/>
  <c r="O7" i="20"/>
  <c r="P7" i="20" s="1"/>
  <c r="Q7" i="20" s="1"/>
  <c r="M7" i="20"/>
  <c r="O8" i="20"/>
  <c r="P8" i="20" s="1"/>
  <c r="Q8" i="20" s="1"/>
  <c r="M8" i="20"/>
  <c r="O2" i="20"/>
  <c r="P2" i="20" s="1"/>
  <c r="Q2" i="20" s="1"/>
  <c r="M2" i="20"/>
  <c r="O10" i="20"/>
  <c r="P10" i="20" s="1"/>
  <c r="Q10" i="20" s="1"/>
  <c r="M10" i="20"/>
  <c r="O11" i="20"/>
  <c r="P11" i="20" s="1"/>
  <c r="Q11" i="20" s="1"/>
  <c r="M11" i="20"/>
  <c r="O12" i="20"/>
  <c r="P12" i="20" s="1"/>
  <c r="Q12" i="20" s="1"/>
  <c r="M12" i="20"/>
  <c r="O5" i="20"/>
  <c r="P5" i="20" s="1"/>
  <c r="Q5" i="20" s="1"/>
  <c r="M5" i="20"/>
  <c r="O6" i="20"/>
  <c r="P6" i="20" s="1"/>
  <c r="Q6" i="20" s="1"/>
  <c r="M6" i="20"/>
  <c r="O9" i="20"/>
  <c r="P9" i="20" s="1"/>
  <c r="Q9" i="20" s="1"/>
  <c r="O13" i="20"/>
  <c r="P13" i="20" s="1"/>
  <c r="Q13" i="20" s="1"/>
  <c r="C3" i="20"/>
  <c r="C4" i="20"/>
  <c r="C5" i="20"/>
  <c r="C6" i="20"/>
  <c r="C7" i="20"/>
  <c r="C8" i="20"/>
  <c r="C9" i="20"/>
  <c r="C10" i="20"/>
  <c r="C11" i="20"/>
  <c r="C12" i="20"/>
  <c r="C13" i="20"/>
  <c r="C2" i="20"/>
  <c r="B3" i="20"/>
  <c r="B4" i="20"/>
  <c r="B5" i="20"/>
  <c r="B6" i="20"/>
  <c r="B7" i="20"/>
  <c r="B8" i="20"/>
  <c r="B9" i="20"/>
  <c r="B10" i="20"/>
  <c r="B11" i="20"/>
  <c r="B12" i="20"/>
  <c r="B13" i="20"/>
  <c r="B2" i="20"/>
  <c r="A3" i="20"/>
  <c r="A4" i="20"/>
  <c r="A5" i="20"/>
  <c r="A6" i="20"/>
  <c r="A7" i="20"/>
  <c r="A8" i="20"/>
  <c r="A9" i="20"/>
  <c r="A10" i="20"/>
  <c r="A11" i="20"/>
  <c r="A12" i="20"/>
  <c r="A13" i="20"/>
  <c r="A2" i="20"/>
  <c r="H28" i="11" l="1"/>
  <c r="M24" i="19"/>
  <c r="D13" i="11"/>
  <c r="A10" i="25" s="1"/>
  <c r="B145" i="8"/>
  <c r="A9" i="24"/>
  <c r="D29" i="11"/>
  <c r="U7" i="25"/>
  <c r="S7" i="25"/>
  <c r="X7" i="25"/>
  <c r="W6" i="25"/>
  <c r="J7" i="25"/>
  <c r="AA7" i="25"/>
  <c r="D7" i="25"/>
  <c r="AB7" i="25"/>
  <c r="F7" i="25"/>
  <c r="I6" i="25"/>
  <c r="AC6" i="25"/>
  <c r="P34" i="19"/>
  <c r="Q34" i="19"/>
  <c r="R34" i="19"/>
  <c r="K13" i="18"/>
  <c r="L13" i="18"/>
  <c r="M13" i="18"/>
  <c r="AD98" i="18" s="1"/>
  <c r="K14" i="18"/>
  <c r="L14" i="18"/>
  <c r="M14" i="18"/>
  <c r="K15" i="18"/>
  <c r="L15" i="18"/>
  <c r="M15" i="18"/>
  <c r="K16" i="18"/>
  <c r="L16" i="18"/>
  <c r="M16" i="18"/>
  <c r="K17" i="18"/>
  <c r="L17" i="18"/>
  <c r="M17" i="18"/>
  <c r="K18" i="18"/>
  <c r="L18" i="18"/>
  <c r="M18" i="18"/>
  <c r="K19" i="18"/>
  <c r="L19" i="18"/>
  <c r="M19" i="18"/>
  <c r="K20" i="18"/>
  <c r="L20" i="18"/>
  <c r="M20" i="18"/>
  <c r="K21" i="18"/>
  <c r="L21" i="18"/>
  <c r="M21" i="18"/>
  <c r="K22" i="18"/>
  <c r="L22" i="18"/>
  <c r="M22" i="18"/>
  <c r="K23" i="18"/>
  <c r="L23" i="18"/>
  <c r="M23" i="18"/>
  <c r="K24" i="18"/>
  <c r="L24" i="18"/>
  <c r="M24" i="18"/>
  <c r="J14" i="18"/>
  <c r="J15" i="18"/>
  <c r="J16" i="18"/>
  <c r="J17" i="18"/>
  <c r="J18" i="18"/>
  <c r="J19" i="18"/>
  <c r="J20" i="18"/>
  <c r="J21" i="18"/>
  <c r="J22" i="18"/>
  <c r="J23" i="18"/>
  <c r="J24" i="18"/>
  <c r="J13" i="18"/>
  <c r="AF89" i="18"/>
  <c r="AD89" i="18"/>
  <c r="AC71" i="18"/>
  <c r="AC98" i="18"/>
  <c r="E98" i="18"/>
  <c r="B27" i="19" s="1"/>
  <c r="D98" i="18"/>
  <c r="C98" i="18"/>
  <c r="B98" i="18"/>
  <c r="A98" i="18"/>
  <c r="AC89" i="18"/>
  <c r="E89" i="18"/>
  <c r="B26" i="19" s="1"/>
  <c r="D89" i="18"/>
  <c r="C89" i="18"/>
  <c r="B89" i="18"/>
  <c r="A89" i="18"/>
  <c r="AC80" i="18"/>
  <c r="E80" i="18"/>
  <c r="B25" i="19" s="1"/>
  <c r="D80" i="18"/>
  <c r="C80" i="18"/>
  <c r="B80" i="18"/>
  <c r="A80" i="18"/>
  <c r="E71" i="18"/>
  <c r="B24" i="19" s="1"/>
  <c r="D71" i="18"/>
  <c r="C71" i="18"/>
  <c r="B71" i="18"/>
  <c r="A71" i="18"/>
  <c r="H29" i="11" l="1"/>
  <c r="M25" i="19"/>
  <c r="AP90" i="18"/>
  <c r="AD71" i="18"/>
  <c r="AP97" i="18"/>
  <c r="AE89" i="18"/>
  <c r="AE71" i="18"/>
  <c r="AG71" i="18"/>
  <c r="AG89" i="18"/>
  <c r="AP81" i="18"/>
  <c r="AF71" i="18"/>
  <c r="AP88" i="18"/>
  <c r="AE98" i="18"/>
  <c r="AZ81" i="18"/>
  <c r="AP70" i="18"/>
  <c r="AZ99" i="18"/>
  <c r="AD80" i="18"/>
  <c r="AE80" i="18"/>
  <c r="AP79" i="18"/>
  <c r="AG98" i="18"/>
  <c r="AF98" i="18"/>
  <c r="M25" i="18"/>
  <c r="D14" i="11"/>
  <c r="A11" i="25" s="1"/>
  <c r="A10" i="24"/>
  <c r="B146" i="8"/>
  <c r="D30" i="11"/>
  <c r="H13" i="11"/>
  <c r="L7" i="25"/>
  <c r="V7" i="25"/>
  <c r="Y7" i="25"/>
  <c r="G7" i="25"/>
  <c r="B8" i="25" s="1"/>
  <c r="AD7" i="25"/>
  <c r="H7" i="25"/>
  <c r="K7" i="25"/>
  <c r="AZ90" i="18"/>
  <c r="AP99" i="18"/>
  <c r="AF80" i="18"/>
  <c r="AG80" i="18"/>
  <c r="AZ72" i="18"/>
  <c r="J25" i="18"/>
  <c r="AZ79" i="18"/>
  <c r="AZ88" i="18"/>
  <c r="AZ97" i="18"/>
  <c r="L25" i="18"/>
  <c r="K25" i="18"/>
  <c r="AP72" i="18"/>
  <c r="AZ70" i="18"/>
  <c r="AQ88" i="18" l="1"/>
  <c r="AQ90" i="18"/>
  <c r="H30" i="11"/>
  <c r="M26" i="19"/>
  <c r="AQ97" i="18"/>
  <c r="AQ70" i="18"/>
  <c r="AQ81" i="18"/>
  <c r="BA97" i="18"/>
  <c r="AQ79" i="18"/>
  <c r="BA81" i="18"/>
  <c r="D15" i="11"/>
  <c r="A12" i="25" s="1"/>
  <c r="A11" i="24"/>
  <c r="B147" i="8"/>
  <c r="H14" i="11"/>
  <c r="D31" i="11"/>
  <c r="BA88" i="18"/>
  <c r="M8" i="25"/>
  <c r="R8" i="25" s="1"/>
  <c r="AA8" i="25" s="1"/>
  <c r="N8" i="25"/>
  <c r="T8" i="25" s="1"/>
  <c r="W7" i="25"/>
  <c r="J8" i="25"/>
  <c r="D8" i="25"/>
  <c r="AC7" i="25"/>
  <c r="I7" i="25"/>
  <c r="BA70" i="18"/>
  <c r="AQ99" i="18"/>
  <c r="AH80" i="18"/>
  <c r="AH98" i="18"/>
  <c r="AH71" i="18"/>
  <c r="AH89" i="18"/>
  <c r="BA79" i="18"/>
  <c r="BA90" i="18"/>
  <c r="BA99" i="18"/>
  <c r="AQ72" i="18"/>
  <c r="BA72" i="18"/>
  <c r="AR90" i="18" l="1"/>
  <c r="AR88" i="18"/>
  <c r="H31" i="11"/>
  <c r="M27" i="19"/>
  <c r="BB81" i="18"/>
  <c r="BB99" i="18"/>
  <c r="AR72" i="18"/>
  <c r="AR97" i="18"/>
  <c r="AR79" i="18"/>
  <c r="AR81" i="18"/>
  <c r="BB88" i="18"/>
  <c r="D16" i="11"/>
  <c r="A13" i="25" s="1"/>
  <c r="A12" i="24"/>
  <c r="B148" i="8"/>
  <c r="D32" i="11"/>
  <c r="H15" i="11"/>
  <c r="AR99" i="18"/>
  <c r="X8" i="25"/>
  <c r="S8" i="25"/>
  <c r="U8" i="25"/>
  <c r="F8" i="25"/>
  <c r="G8" i="25" s="1"/>
  <c r="B9" i="25" s="1"/>
  <c r="AB8" i="25"/>
  <c r="H8" i="25"/>
  <c r="K8" i="25"/>
  <c r="BB72" i="18"/>
  <c r="AI80" i="18"/>
  <c r="AI98" i="18"/>
  <c r="BB97" i="18"/>
  <c r="AI71" i="18"/>
  <c r="AI89" i="18"/>
  <c r="BB79" i="18"/>
  <c r="BB90" i="18"/>
  <c r="AR70" i="18"/>
  <c r="BB70" i="18"/>
  <c r="AS90" i="18"/>
  <c r="AS88" i="18"/>
  <c r="H32" i="11" l="1"/>
  <c r="M28" i="19"/>
  <c r="BC79" i="18"/>
  <c r="AS79" i="18"/>
  <c r="BC97" i="18"/>
  <c r="AS72" i="18"/>
  <c r="AS99" i="18"/>
  <c r="AS81" i="18"/>
  <c r="BC70" i="18"/>
  <c r="BC88" i="18"/>
  <c r="AS97" i="18"/>
  <c r="D17" i="11"/>
  <c r="A14" i="25" s="1"/>
  <c r="A13" i="24"/>
  <c r="B149" i="8"/>
  <c r="D33" i="11"/>
  <c r="H16" i="11"/>
  <c r="L8" i="25"/>
  <c r="V8" i="25"/>
  <c r="Y8" i="25"/>
  <c r="AD8" i="25"/>
  <c r="M9" i="25"/>
  <c r="N9" i="25"/>
  <c r="I8" i="25"/>
  <c r="AJ98" i="18"/>
  <c r="BC99" i="18"/>
  <c r="AJ80" i="18"/>
  <c r="AJ89" i="18"/>
  <c r="AJ71" i="18"/>
  <c r="BC90" i="18"/>
  <c r="BC81" i="18"/>
  <c r="BC72" i="18"/>
  <c r="AS70" i="18"/>
  <c r="AT88" i="18"/>
  <c r="AT90" i="18"/>
  <c r="BD81" i="18" l="1"/>
  <c r="H33" i="11"/>
  <c r="M29" i="19"/>
  <c r="AT99" i="18"/>
  <c r="AT79" i="18"/>
  <c r="BD97" i="18"/>
  <c r="AT70" i="18"/>
  <c r="BD88" i="18"/>
  <c r="AT81" i="18"/>
  <c r="BD72" i="18"/>
  <c r="AT97" i="18"/>
  <c r="R9" i="25"/>
  <c r="S9" i="25" s="1"/>
  <c r="T9" i="25"/>
  <c r="U9" i="25" s="1"/>
  <c r="D18" i="11"/>
  <c r="A15" i="25" s="1"/>
  <c r="B150" i="8"/>
  <c r="A14" i="24"/>
  <c r="H17" i="11"/>
  <c r="D34" i="11"/>
  <c r="W8" i="25"/>
  <c r="AC8" i="25"/>
  <c r="J9" i="25"/>
  <c r="H9" i="25" s="1"/>
  <c r="D9" i="25"/>
  <c r="F9" i="25"/>
  <c r="AK80" i="18"/>
  <c r="AK98" i="18"/>
  <c r="BD99" i="18"/>
  <c r="AK71" i="18"/>
  <c r="AK89" i="18"/>
  <c r="BD79" i="18"/>
  <c r="BD90" i="18"/>
  <c r="AT72" i="18"/>
  <c r="BD70" i="18"/>
  <c r="AU90" i="18"/>
  <c r="AU88" i="18"/>
  <c r="BE79" i="18" l="1"/>
  <c r="H34" i="11"/>
  <c r="M30" i="19"/>
  <c r="BE97" i="18"/>
  <c r="AU97" i="18"/>
  <c r="AU72" i="18"/>
  <c r="AU79" i="18"/>
  <c r="BE88" i="18"/>
  <c r="AU81" i="18"/>
  <c r="BE72" i="18"/>
  <c r="AU99" i="18"/>
  <c r="AB9" i="25"/>
  <c r="X9" i="25"/>
  <c r="AA9" i="25"/>
  <c r="D19" i="11"/>
  <c r="A16" i="25" s="1"/>
  <c r="A15" i="24"/>
  <c r="B151" i="8"/>
  <c r="D35" i="11"/>
  <c r="H18" i="11"/>
  <c r="L9" i="25"/>
  <c r="G9" i="25"/>
  <c r="B10" i="25" s="1"/>
  <c r="AL98" i="18"/>
  <c r="K9" i="25"/>
  <c r="BE99" i="18"/>
  <c r="AL80" i="18"/>
  <c r="AL71" i="18"/>
  <c r="AL89" i="18"/>
  <c r="BE81" i="18"/>
  <c r="BE90" i="18"/>
  <c r="BE70" i="18"/>
  <c r="AU70" i="18"/>
  <c r="AV88" i="18"/>
  <c r="AV90" i="18"/>
  <c r="BF81" i="18" l="1"/>
  <c r="BF88" i="18"/>
  <c r="H35" i="11"/>
  <c r="M31" i="19"/>
  <c r="AV97" i="18"/>
  <c r="BF99" i="18"/>
  <c r="AV72" i="18"/>
  <c r="AV81" i="18"/>
  <c r="BF70" i="18"/>
  <c r="AV79" i="18"/>
  <c r="AV99" i="18"/>
  <c r="AM98" i="18"/>
  <c r="Y9" i="25"/>
  <c r="V9" i="25"/>
  <c r="AC9" i="25" s="1"/>
  <c r="AD9" i="25"/>
  <c r="D20" i="11"/>
  <c r="A17" i="25" s="1"/>
  <c r="A16" i="24"/>
  <c r="B152" i="8"/>
  <c r="H19" i="11"/>
  <c r="D36" i="11"/>
  <c r="M10" i="25"/>
  <c r="R10" i="25" s="1"/>
  <c r="AA10" i="25" s="1"/>
  <c r="N10" i="25"/>
  <c r="T10" i="25" s="1"/>
  <c r="J10" i="25"/>
  <c r="D10" i="25"/>
  <c r="I9" i="25"/>
  <c r="BF97" i="18"/>
  <c r="AM80" i="18"/>
  <c r="AM71" i="18"/>
  <c r="AM89" i="18"/>
  <c r="BF79" i="18"/>
  <c r="AN80" i="18" s="1"/>
  <c r="BF90" i="18"/>
  <c r="BF72" i="18"/>
  <c r="AV70" i="18"/>
  <c r="AW88" i="18"/>
  <c r="AW90" i="18"/>
  <c r="AN89" i="18" l="1"/>
  <c r="J89" i="18" s="1"/>
  <c r="G26" i="19" s="1"/>
  <c r="AN98" i="18"/>
  <c r="J98" i="18" s="1"/>
  <c r="G27" i="19" s="1"/>
  <c r="H36" i="11"/>
  <c r="M32" i="19"/>
  <c r="AW97" i="18"/>
  <c r="AW81" i="18"/>
  <c r="AW70" i="18"/>
  <c r="AN71" i="18"/>
  <c r="J71" i="18" s="1"/>
  <c r="G24" i="19" s="1"/>
  <c r="AW79" i="18"/>
  <c r="AW99" i="18"/>
  <c r="W9" i="25"/>
  <c r="D37" i="11"/>
  <c r="A17" i="24"/>
  <c r="B153" i="8"/>
  <c r="H20" i="11"/>
  <c r="U10" i="25"/>
  <c r="X10" i="25"/>
  <c r="S10" i="25"/>
  <c r="F10" i="25"/>
  <c r="G10" i="25" s="1"/>
  <c r="B11" i="25" s="1"/>
  <c r="AB10" i="25"/>
  <c r="H10" i="25"/>
  <c r="K10" i="25"/>
  <c r="AW72" i="18"/>
  <c r="AX88" i="18"/>
  <c r="AX90" i="18"/>
  <c r="N80" i="18"/>
  <c r="K25" i="19" s="1"/>
  <c r="H80" i="18"/>
  <c r="E25" i="19" s="1"/>
  <c r="J80" i="18"/>
  <c r="G25" i="19" s="1"/>
  <c r="L80" i="18"/>
  <c r="I25" i="19" s="1"/>
  <c r="H89" i="18" l="1"/>
  <c r="E26" i="19" s="1"/>
  <c r="N89" i="18"/>
  <c r="K26" i="19" s="1"/>
  <c r="L89" i="18"/>
  <c r="I26" i="19" s="1"/>
  <c r="L98" i="18"/>
  <c r="I27" i="19" s="1"/>
  <c r="N98" i="18"/>
  <c r="K27" i="19" s="1"/>
  <c r="H98" i="18"/>
  <c r="E27" i="19" s="1"/>
  <c r="H37" i="11"/>
  <c r="M33" i="19"/>
  <c r="AX99" i="18"/>
  <c r="AX79" i="18"/>
  <c r="AX72" i="18"/>
  <c r="N71" i="18"/>
  <c r="K24" i="19" s="1"/>
  <c r="H71" i="18"/>
  <c r="E24" i="19" s="1"/>
  <c r="L71" i="18"/>
  <c r="I24" i="19" s="1"/>
  <c r="AX81" i="18"/>
  <c r="AX97" i="18"/>
  <c r="AD10" i="25"/>
  <c r="N11" i="25"/>
  <c r="M11" i="25"/>
  <c r="V10" i="25"/>
  <c r="AC10" i="25" s="1"/>
  <c r="Y10" i="25"/>
  <c r="L10" i="25"/>
  <c r="I10" i="25"/>
  <c r="AX70" i="18"/>
  <c r="AM34" i="8"/>
  <c r="AL34" i="8"/>
  <c r="AC62" i="18"/>
  <c r="E62" i="18"/>
  <c r="C18" i="19" s="1"/>
  <c r="C62" i="18"/>
  <c r="B62" i="18"/>
  <c r="A62" i="18"/>
  <c r="AC53" i="18"/>
  <c r="E53" i="18"/>
  <c r="C17" i="19" s="1"/>
  <c r="C53" i="18"/>
  <c r="B53" i="18"/>
  <c r="A53" i="18"/>
  <c r="I6" i="19"/>
  <c r="C14" i="19" s="1"/>
  <c r="H6" i="19"/>
  <c r="B14" i="19" s="1"/>
  <c r="G6" i="19"/>
  <c r="F6" i="19"/>
  <c r="E6" i="19"/>
  <c r="AC43" i="18"/>
  <c r="E43" i="18"/>
  <c r="C16" i="19" s="1"/>
  <c r="C43" i="18"/>
  <c r="B43" i="18"/>
  <c r="A43" i="18"/>
  <c r="AC34" i="18"/>
  <c r="E34" i="18"/>
  <c r="C15" i="19" s="1"/>
  <c r="C34" i="18"/>
  <c r="B34" i="18"/>
  <c r="A34" i="18"/>
  <c r="AC5" i="18"/>
  <c r="E5" i="18"/>
  <c r="B23" i="19" s="1"/>
  <c r="B67" i="19" s="1"/>
  <c r="D5" i="18"/>
  <c r="C5" i="18"/>
  <c r="B5" i="18"/>
  <c r="A5" i="18"/>
  <c r="B17" i="19" l="1"/>
  <c r="B16" i="19"/>
  <c r="B15" i="19"/>
  <c r="B18" i="19"/>
  <c r="B40" i="19"/>
  <c r="F254" i="18" s="1"/>
  <c r="B49" i="19"/>
  <c r="B58" i="19"/>
  <c r="T11" i="25"/>
  <c r="R11" i="25"/>
  <c r="AA11" i="25" s="1"/>
  <c r="W10" i="25"/>
  <c r="J11" i="25"/>
  <c r="D11" i="25"/>
  <c r="F11" i="25"/>
  <c r="AC54" i="18"/>
  <c r="AC44" i="18"/>
  <c r="AC35" i="18"/>
  <c r="AC63" i="18"/>
  <c r="Q80" i="15"/>
  <c r="F67" i="19" l="1"/>
  <c r="F49" i="19"/>
  <c r="F58" i="19"/>
  <c r="F40" i="19"/>
  <c r="J254" i="18" s="1"/>
  <c r="C58" i="19"/>
  <c r="C67" i="19"/>
  <c r="C49" i="19"/>
  <c r="C40" i="19"/>
  <c r="G254" i="18" s="1"/>
  <c r="D34" i="18"/>
  <c r="D58" i="19"/>
  <c r="D67" i="19"/>
  <c r="D49" i="19"/>
  <c r="D40" i="19"/>
  <c r="H254" i="18" s="1"/>
  <c r="E67" i="19"/>
  <c r="E49" i="19"/>
  <c r="E58" i="19"/>
  <c r="E40" i="19"/>
  <c r="I254" i="18" s="1"/>
  <c r="U11" i="25"/>
  <c r="AB11" i="25"/>
  <c r="X11" i="25"/>
  <c r="S11" i="25"/>
  <c r="G11" i="25"/>
  <c r="B12" i="25" s="1"/>
  <c r="H11" i="25"/>
  <c r="K11" i="25"/>
  <c r="AC64" i="18"/>
  <c r="AC55" i="18"/>
  <c r="AC45" i="18"/>
  <c r="AD11" i="25" l="1"/>
  <c r="L11" i="25"/>
  <c r="M12" i="25"/>
  <c r="N12" i="25"/>
  <c r="V11" i="25"/>
  <c r="AC11" i="25" s="1"/>
  <c r="Y11" i="25"/>
  <c r="I11" i="25"/>
  <c r="T80" i="15" a="1"/>
  <c r="T80" i="15" s="1"/>
  <c r="S80" i="15" a="1"/>
  <c r="S80" i="15" s="1"/>
  <c r="R80" i="15" a="1"/>
  <c r="R80" i="15" s="1"/>
  <c r="E80" i="15"/>
  <c r="D80" i="15"/>
  <c r="C80" i="15"/>
  <c r="B80" i="15"/>
  <c r="A80" i="15"/>
  <c r="E71" i="15"/>
  <c r="D71" i="15"/>
  <c r="C71" i="15"/>
  <c r="B71" i="15"/>
  <c r="A71" i="15"/>
  <c r="T12" i="25" l="1"/>
  <c r="U12" i="25" s="1"/>
  <c r="R12" i="25"/>
  <c r="S12" i="25" s="1"/>
  <c r="W11" i="25"/>
  <c r="J12" i="25"/>
  <c r="D12" i="25"/>
  <c r="F12" i="25"/>
  <c r="E39" i="12"/>
  <c r="E38" i="12"/>
  <c r="AC71" i="15"/>
  <c r="Q71" i="15"/>
  <c r="AC80" i="15"/>
  <c r="S71" i="15"/>
  <c r="R71" i="15"/>
  <c r="T71" i="15"/>
  <c r="AC61" i="15"/>
  <c r="Q61" i="15"/>
  <c r="E61" i="15"/>
  <c r="D61" i="15"/>
  <c r="C61" i="15"/>
  <c r="B61" i="15"/>
  <c r="A61" i="15"/>
  <c r="D52" i="15"/>
  <c r="Q52" i="15"/>
  <c r="AC52" i="15"/>
  <c r="E52" i="15"/>
  <c r="C52" i="15"/>
  <c r="B52" i="15"/>
  <c r="A52" i="15"/>
  <c r="AB12" i="25" l="1"/>
  <c r="L12" i="25"/>
  <c r="X12" i="25"/>
  <c r="V12" i="25" s="1"/>
  <c r="W12" i="25" s="1"/>
  <c r="AA12" i="25"/>
  <c r="G12" i="25"/>
  <c r="B13" i="25" s="1"/>
  <c r="H12" i="25"/>
  <c r="K12" i="25"/>
  <c r="E36" i="12"/>
  <c r="E37" i="12"/>
  <c r="AC43" i="15"/>
  <c r="T43" i="15"/>
  <c r="S43" i="15"/>
  <c r="R43" i="15"/>
  <c r="Q43" i="15"/>
  <c r="E43" i="15"/>
  <c r="D43" i="15"/>
  <c r="C43" i="15"/>
  <c r="B43" i="15"/>
  <c r="A43" i="15"/>
  <c r="AC34" i="15"/>
  <c r="T34" i="15"/>
  <c r="S34" i="15"/>
  <c r="R34" i="15"/>
  <c r="Q34" i="15"/>
  <c r="S35" i="15"/>
  <c r="V35" i="15"/>
  <c r="W35" i="15"/>
  <c r="X35" i="15"/>
  <c r="Y35" i="15"/>
  <c r="Z35" i="15"/>
  <c r="AA35" i="15"/>
  <c r="AB35" i="15"/>
  <c r="AC35" i="15"/>
  <c r="AD35" i="15"/>
  <c r="AE35" i="15"/>
  <c r="AF35" i="15"/>
  <c r="AG35" i="15"/>
  <c r="AH35" i="15"/>
  <c r="AI35" i="15"/>
  <c r="AJ35" i="15"/>
  <c r="AK35" i="15"/>
  <c r="AL35" i="15"/>
  <c r="AM35" i="15"/>
  <c r="AN35" i="15"/>
  <c r="E34" i="15"/>
  <c r="D34" i="15"/>
  <c r="C34" i="15"/>
  <c r="B34" i="15"/>
  <c r="A34" i="15"/>
  <c r="E33" i="12"/>
  <c r="E32" i="12"/>
  <c r="T24" i="15"/>
  <c r="S24" i="15"/>
  <c r="R24" i="15"/>
  <c r="E24" i="15"/>
  <c r="E15" i="15"/>
  <c r="AC24" i="15"/>
  <c r="Q24" i="15"/>
  <c r="D24" i="15"/>
  <c r="C24" i="15"/>
  <c r="B24" i="15"/>
  <c r="A24" i="15"/>
  <c r="Q15" i="15"/>
  <c r="R15" i="15"/>
  <c r="S15" i="15"/>
  <c r="T15" i="15"/>
  <c r="AC15" i="15"/>
  <c r="D15" i="15"/>
  <c r="C15" i="15"/>
  <c r="B15" i="15"/>
  <c r="A15" i="15"/>
  <c r="Y12" i="25" l="1"/>
  <c r="AD12" i="25"/>
  <c r="M13" i="25"/>
  <c r="R13" i="25" s="1"/>
  <c r="AA13" i="25" s="1"/>
  <c r="N13" i="25"/>
  <c r="T13" i="25" s="1"/>
  <c r="U13" i="25" s="1"/>
  <c r="AC12" i="25"/>
  <c r="I12" i="25"/>
  <c r="D13" i="25"/>
  <c r="E34" i="12"/>
  <c r="E35" i="12"/>
  <c r="E25" i="8"/>
  <c r="AC5" i="15"/>
  <c r="AC53" i="15" s="1"/>
  <c r="Q5" i="15"/>
  <c r="Q53" i="15" s="1"/>
  <c r="AB13" i="25" l="1"/>
  <c r="X13" i="25"/>
  <c r="S13" i="25"/>
  <c r="L13" i="25" s="1"/>
  <c r="J13" i="25"/>
  <c r="K13" i="25" s="1"/>
  <c r="F13" i="25"/>
  <c r="G13" i="25" s="1"/>
  <c r="B14" i="25" s="1"/>
  <c r="T5" i="15"/>
  <c r="S5" i="15"/>
  <c r="R5" i="15"/>
  <c r="D5" i="15"/>
  <c r="B5" i="15"/>
  <c r="A5" i="15"/>
  <c r="E5" i="15"/>
  <c r="C5" i="15"/>
  <c r="Q53" i="8"/>
  <c r="Q54" i="8"/>
  <c r="D30" i="8"/>
  <c r="D35" i="8"/>
  <c r="D40" i="8"/>
  <c r="C30" i="8"/>
  <c r="C35" i="8"/>
  <c r="C40" i="8"/>
  <c r="B98" i="8"/>
  <c r="B99" i="8"/>
  <c r="D99" i="8" s="1"/>
  <c r="B100" i="8"/>
  <c r="D100" i="8" s="1"/>
  <c r="B101" i="8"/>
  <c r="D101" i="8" s="1"/>
  <c r="B102" i="8"/>
  <c r="D102" i="8" s="1"/>
  <c r="B103" i="8"/>
  <c r="D103" i="8" s="1"/>
  <c r="B104" i="8"/>
  <c r="D104" i="8" s="1"/>
  <c r="B105" i="8"/>
  <c r="D105" i="8" s="1"/>
  <c r="B106" i="8"/>
  <c r="D106" i="8" s="1"/>
  <c r="B107" i="8"/>
  <c r="D107" i="8" s="1"/>
  <c r="B108" i="8"/>
  <c r="D108" i="8" s="1"/>
  <c r="B97" i="8"/>
  <c r="P97" i="8"/>
  <c r="Q55" i="8"/>
  <c r="Q56" i="8"/>
  <c r="Q57" i="8"/>
  <c r="Q58" i="8"/>
  <c r="Q59" i="8"/>
  <c r="S59" i="8" s="1"/>
  <c r="V59" i="8" s="1"/>
  <c r="Q60" i="8"/>
  <c r="S60" i="8" s="1"/>
  <c r="Q61" i="8"/>
  <c r="Q62" i="8"/>
  <c r="Q63" i="8"/>
  <c r="S63" i="8" s="1"/>
  <c r="Q64" i="8"/>
  <c r="I72" i="8"/>
  <c r="P53" i="8"/>
  <c r="E10" i="12"/>
  <c r="D10" i="12"/>
  <c r="B10" i="12"/>
  <c r="C10" i="12"/>
  <c r="A10" i="12"/>
  <c r="P6" i="8"/>
  <c r="M14" i="25" l="1"/>
  <c r="R14" i="25" s="1"/>
  <c r="N14" i="25"/>
  <c r="T14" i="25" s="1"/>
  <c r="V13" i="25"/>
  <c r="W13" i="25" s="1"/>
  <c r="Y13" i="25"/>
  <c r="AD13" i="25"/>
  <c r="H13" i="25"/>
  <c r="I13" i="25" s="1"/>
  <c r="F14" i="25"/>
  <c r="H101" i="8"/>
  <c r="F101" i="8" s="1"/>
  <c r="H107" i="8"/>
  <c r="F107" i="8" s="1"/>
  <c r="H99" i="8"/>
  <c r="F99" i="8" s="1"/>
  <c r="H106" i="8"/>
  <c r="F106" i="8" s="1"/>
  <c r="H108" i="8"/>
  <c r="F108" i="8" s="1"/>
  <c r="H105" i="8"/>
  <c r="F105" i="8" s="1"/>
  <c r="H100" i="8"/>
  <c r="F100" i="8" s="1"/>
  <c r="H104" i="8"/>
  <c r="F104" i="8" s="1"/>
  <c r="B86" i="8"/>
  <c r="N53" i="8"/>
  <c r="B53" i="8" s="1"/>
  <c r="C98" i="8"/>
  <c r="D97" i="8"/>
  <c r="C102" i="8"/>
  <c r="C97" i="8"/>
  <c r="C99" i="8"/>
  <c r="C100" i="8"/>
  <c r="N97" i="8"/>
  <c r="Q97" i="8" s="1"/>
  <c r="C106" i="8"/>
  <c r="C101" i="8"/>
  <c r="H102" i="8"/>
  <c r="F102" i="8" s="1"/>
  <c r="H103" i="8"/>
  <c r="F103" i="8" s="1"/>
  <c r="C108" i="8"/>
  <c r="C107" i="8"/>
  <c r="C104" i="8"/>
  <c r="C105" i="8"/>
  <c r="C103" i="8"/>
  <c r="D98" i="8"/>
  <c r="B109" i="8"/>
  <c r="B128" i="8" s="1"/>
  <c r="R57" i="8"/>
  <c r="V60" i="8"/>
  <c r="X60" i="8"/>
  <c r="S56" i="8"/>
  <c r="R56" i="8"/>
  <c r="R55" i="8"/>
  <c r="X59" i="8"/>
  <c r="S64" i="8"/>
  <c r="V64" i="8" s="1"/>
  <c r="V63" i="8"/>
  <c r="S58" i="8"/>
  <c r="X58" i="8" s="1"/>
  <c r="S53" i="8"/>
  <c r="V53" i="8" s="1"/>
  <c r="S57" i="8"/>
  <c r="X57" i="8" s="1"/>
  <c r="S55" i="8"/>
  <c r="X55" i="8" s="1"/>
  <c r="S62" i="8"/>
  <c r="X62" i="8" s="1"/>
  <c r="R53" i="8"/>
  <c r="S54" i="8"/>
  <c r="R63" i="8"/>
  <c r="S61" i="8"/>
  <c r="X63" i="8"/>
  <c r="R61" i="8"/>
  <c r="R62" i="8"/>
  <c r="R54" i="8"/>
  <c r="R60" i="8"/>
  <c r="R59" i="8"/>
  <c r="R58" i="8"/>
  <c r="R64" i="8"/>
  <c r="X14" i="25" l="1"/>
  <c r="S14" i="25"/>
  <c r="U14" i="25"/>
  <c r="AB14" i="25"/>
  <c r="AC13" i="25"/>
  <c r="J14" i="25"/>
  <c r="H14" i="25" s="1"/>
  <c r="AA14" i="25"/>
  <c r="D14" i="25"/>
  <c r="G14" i="25" s="1"/>
  <c r="B15" i="25" s="1"/>
  <c r="E97" i="8"/>
  <c r="R97" i="8"/>
  <c r="V56" i="8"/>
  <c r="B81" i="8"/>
  <c r="B76" i="8"/>
  <c r="H97" i="8"/>
  <c r="I97" i="8" s="1"/>
  <c r="O97" i="8"/>
  <c r="S97" i="8" s="1"/>
  <c r="E100" i="8"/>
  <c r="E101" i="8"/>
  <c r="AA97" i="8"/>
  <c r="E103" i="8"/>
  <c r="H98" i="8"/>
  <c r="E106" i="8"/>
  <c r="E98" i="8"/>
  <c r="E104" i="8"/>
  <c r="E105" i="8"/>
  <c r="E108" i="8"/>
  <c r="E102" i="8"/>
  <c r="D109" i="8"/>
  <c r="E107" i="8"/>
  <c r="E99" i="8"/>
  <c r="X64" i="8"/>
  <c r="T61" i="8"/>
  <c r="U61" i="8" s="1"/>
  <c r="P62" i="8" s="1"/>
  <c r="N62" i="8" s="1"/>
  <c r="C53" i="8"/>
  <c r="X56" i="8"/>
  <c r="T64" i="8"/>
  <c r="U64" i="8" s="1"/>
  <c r="T57" i="8"/>
  <c r="U57" i="8" s="1"/>
  <c r="P58" i="8" s="1"/>
  <c r="N58" i="8" s="1"/>
  <c r="V57" i="8"/>
  <c r="T56" i="8"/>
  <c r="U56" i="8" s="1"/>
  <c r="P57" i="8" s="1"/>
  <c r="N57" i="8" s="1"/>
  <c r="O53" i="8"/>
  <c r="D53" i="8" s="1"/>
  <c r="T63" i="8"/>
  <c r="U63" i="8" s="1"/>
  <c r="P64" i="8" s="1"/>
  <c r="T53" i="8"/>
  <c r="U53" i="8" s="1"/>
  <c r="P54" i="8" s="1"/>
  <c r="N54" i="8" s="1"/>
  <c r="T55" i="8"/>
  <c r="U55" i="8" s="1"/>
  <c r="P56" i="8" s="1"/>
  <c r="V55" i="8"/>
  <c r="T59" i="8"/>
  <c r="U59" i="8" s="1"/>
  <c r="P60" i="8" s="1"/>
  <c r="V54" i="8"/>
  <c r="T60" i="8"/>
  <c r="U60" i="8" s="1"/>
  <c r="P61" i="8" s="1"/>
  <c r="X54" i="8"/>
  <c r="T58" i="8"/>
  <c r="U58" i="8" s="1"/>
  <c r="P59" i="8" s="1"/>
  <c r="T54" i="8"/>
  <c r="U54" i="8" s="1"/>
  <c r="P55" i="8" s="1"/>
  <c r="N55" i="8" s="1"/>
  <c r="X53" i="8"/>
  <c r="T62" i="8"/>
  <c r="U62" i="8" s="1"/>
  <c r="P63" i="8" s="1"/>
  <c r="V61" i="8"/>
  <c r="X61" i="8"/>
  <c r="V62" i="8"/>
  <c r="V58" i="8"/>
  <c r="W53" i="8"/>
  <c r="AA53" i="8"/>
  <c r="L14" i="25" l="1"/>
  <c r="M15" i="25"/>
  <c r="N15" i="25"/>
  <c r="V14" i="25"/>
  <c r="W14" i="25" s="1"/>
  <c r="Y14" i="25"/>
  <c r="K14" i="25"/>
  <c r="AD14" i="25"/>
  <c r="I14" i="25"/>
  <c r="AB97" i="8"/>
  <c r="I101" i="8"/>
  <c r="T97" i="8"/>
  <c r="U97" i="8" s="1"/>
  <c r="P98" i="8" s="1"/>
  <c r="X97" i="8"/>
  <c r="AD97" i="8" s="1"/>
  <c r="I106" i="8"/>
  <c r="F97" i="8"/>
  <c r="G97" i="8" s="1"/>
  <c r="I100" i="8"/>
  <c r="B118" i="8"/>
  <c r="I105" i="8"/>
  <c r="I99" i="8"/>
  <c r="I102" i="8"/>
  <c r="I108" i="8"/>
  <c r="H109" i="8"/>
  <c r="B123" i="8" s="1"/>
  <c r="I103" i="8"/>
  <c r="F98" i="8"/>
  <c r="I104" i="8"/>
  <c r="I107" i="8"/>
  <c r="I98" i="8"/>
  <c r="H53" i="8"/>
  <c r="F53" i="8" s="1"/>
  <c r="O58" i="8"/>
  <c r="O62" i="8"/>
  <c r="W57" i="8"/>
  <c r="Y57" i="8"/>
  <c r="Y64" i="8"/>
  <c r="Y58" i="8"/>
  <c r="W60" i="8"/>
  <c r="O55" i="8"/>
  <c r="W59" i="8"/>
  <c r="W61" i="8"/>
  <c r="Y53" i="8"/>
  <c r="W54" i="8"/>
  <c r="Y61" i="8"/>
  <c r="W55" i="8"/>
  <c r="Y55" i="8"/>
  <c r="W58" i="8"/>
  <c r="W62" i="8"/>
  <c r="E53" i="8"/>
  <c r="O54" i="8"/>
  <c r="N61" i="8"/>
  <c r="O61" i="8"/>
  <c r="N64" i="8"/>
  <c r="O64" i="8"/>
  <c r="O63" i="8"/>
  <c r="N63" i="8"/>
  <c r="N60" i="8"/>
  <c r="O60" i="8"/>
  <c r="Y54" i="8"/>
  <c r="Y59" i="8"/>
  <c r="Y62" i="8"/>
  <c r="Y60" i="8"/>
  <c r="W56" i="8"/>
  <c r="Y63" i="8"/>
  <c r="W64" i="8"/>
  <c r="N59" i="8"/>
  <c r="O59" i="8"/>
  <c r="O57" i="8"/>
  <c r="Y56" i="8"/>
  <c r="W63" i="8"/>
  <c r="N56" i="8"/>
  <c r="O56" i="8"/>
  <c r="AB53" i="8"/>
  <c r="T15" i="25" l="1"/>
  <c r="U15" i="25" s="1"/>
  <c r="R15" i="25"/>
  <c r="AC14" i="25"/>
  <c r="J15" i="25"/>
  <c r="D15" i="25"/>
  <c r="F15" i="25"/>
  <c r="Y97" i="8"/>
  <c r="V97" i="8"/>
  <c r="AC97" i="8" s="1"/>
  <c r="G98" i="8"/>
  <c r="G99" i="8"/>
  <c r="G102" i="8"/>
  <c r="G101" i="8"/>
  <c r="F109" i="8"/>
  <c r="G108" i="8"/>
  <c r="G100" i="8"/>
  <c r="G105" i="8"/>
  <c r="G104" i="8"/>
  <c r="G107" i="8"/>
  <c r="G103" i="8"/>
  <c r="G106" i="8"/>
  <c r="I53" i="8"/>
  <c r="G53" i="8"/>
  <c r="AD53" i="8"/>
  <c r="AB15" i="25" l="1"/>
  <c r="X15" i="25"/>
  <c r="AA15" i="25"/>
  <c r="S15" i="25"/>
  <c r="L15" i="25" s="1"/>
  <c r="H15" i="25"/>
  <c r="K15" i="25"/>
  <c r="G15" i="25"/>
  <c r="B16" i="25" s="1"/>
  <c r="W97" i="8"/>
  <c r="AC53" i="8"/>
  <c r="V15" i="25" l="1"/>
  <c r="W15" i="25" s="1"/>
  <c r="AD15" i="25"/>
  <c r="Y15" i="25"/>
  <c r="M16" i="25"/>
  <c r="R16" i="25" s="1"/>
  <c r="N16" i="25"/>
  <c r="T16" i="25" s="1"/>
  <c r="U16" i="25" s="1"/>
  <c r="I15" i="25"/>
  <c r="Q65" i="8"/>
  <c r="B83" i="8" s="1"/>
  <c r="S65" i="8"/>
  <c r="B73" i="8" s="1"/>
  <c r="AG65" i="8" l="1"/>
  <c r="AJ65" i="8"/>
  <c r="AH65" i="8"/>
  <c r="AC15" i="25"/>
  <c r="X16" i="25"/>
  <c r="S16" i="25"/>
  <c r="L16" i="25" s="1"/>
  <c r="AB16" i="25"/>
  <c r="F16" i="25"/>
  <c r="AA16" i="25"/>
  <c r="J16" i="25"/>
  <c r="D16" i="25"/>
  <c r="X65" i="8"/>
  <c r="B78" i="8" s="1"/>
  <c r="G16" i="25" l="1"/>
  <c r="B17" i="25" s="1"/>
  <c r="M17" i="25" s="1"/>
  <c r="R17" i="25" s="1"/>
  <c r="V16" i="25"/>
  <c r="W16" i="25" s="1"/>
  <c r="Y16" i="25"/>
  <c r="N17" i="25"/>
  <c r="T17" i="25" s="1"/>
  <c r="H16" i="25"/>
  <c r="AD16" i="25"/>
  <c r="K16" i="25"/>
  <c r="V65" i="8"/>
  <c r="AI65" i="8" s="1"/>
  <c r="T18" i="25" l="1"/>
  <c r="U17" i="25"/>
  <c r="X17" i="25"/>
  <c r="S17" i="25"/>
  <c r="R18" i="25"/>
  <c r="AC16" i="25"/>
  <c r="I16" i="25"/>
  <c r="AB17" i="25"/>
  <c r="F17" i="25"/>
  <c r="E18" i="25"/>
  <c r="AH18" i="25" s="1"/>
  <c r="J17" i="25"/>
  <c r="AA17" i="25"/>
  <c r="C18" i="25"/>
  <c r="AG18" i="25" s="1"/>
  <c r="D17" i="25"/>
  <c r="J10" i="8"/>
  <c r="K10" i="8" s="1"/>
  <c r="AN7" i="8"/>
  <c r="AO7" i="8" s="1"/>
  <c r="AN14" i="8"/>
  <c r="AO14" i="8" s="1"/>
  <c r="J103" i="8"/>
  <c r="K103" i="8" s="1"/>
  <c r="J102" i="8"/>
  <c r="K102" i="8" s="1"/>
  <c r="J54" i="8"/>
  <c r="K54" i="8" s="1"/>
  <c r="AN10" i="8"/>
  <c r="AO10" i="8" s="1"/>
  <c r="J63" i="8"/>
  <c r="K63" i="8" s="1"/>
  <c r="J55" i="8"/>
  <c r="K55" i="8" s="1"/>
  <c r="J60" i="8"/>
  <c r="K60" i="8" s="1"/>
  <c r="J108" i="8"/>
  <c r="K108" i="8" s="1"/>
  <c r="J99" i="8"/>
  <c r="K99" i="8" s="1"/>
  <c r="J64" i="8"/>
  <c r="K64" i="8" s="1"/>
  <c r="J61" i="8"/>
  <c r="K61" i="8" s="1"/>
  <c r="J98" i="8"/>
  <c r="K98" i="8" s="1"/>
  <c r="J100" i="8"/>
  <c r="K100" i="8" s="1"/>
  <c r="J101" i="8"/>
  <c r="K101" i="8" s="1"/>
  <c r="AN11" i="8"/>
  <c r="AO11" i="8" s="1"/>
  <c r="J13" i="8"/>
  <c r="K13" i="8" s="1"/>
  <c r="F19" i="11"/>
  <c r="J59" i="8"/>
  <c r="K59" i="8" s="1"/>
  <c r="AG34" i="18"/>
  <c r="F14" i="11"/>
  <c r="E31" i="11" s="1"/>
  <c r="J57" i="8"/>
  <c r="K57" i="8" s="1"/>
  <c r="J56" i="8"/>
  <c r="K56" i="8" s="1"/>
  <c r="AD62" i="18"/>
  <c r="J8" i="8"/>
  <c r="K8" i="8" s="1"/>
  <c r="F10" i="11"/>
  <c r="AN15" i="8"/>
  <c r="AO15" i="8" s="1"/>
  <c r="AN8" i="8"/>
  <c r="AO8" i="8" s="1"/>
  <c r="J17" i="8"/>
  <c r="K17" i="8" s="1"/>
  <c r="J58" i="8"/>
  <c r="K58" i="8" s="1"/>
  <c r="AN12" i="8"/>
  <c r="AO12" i="8" s="1"/>
  <c r="J15" i="8"/>
  <c r="K15" i="8" s="1"/>
  <c r="AN9" i="8"/>
  <c r="AO9" i="8" s="1"/>
  <c r="F11" i="11"/>
  <c r="AD5" i="18"/>
  <c r="F15" i="11"/>
  <c r="E32" i="11" s="1"/>
  <c r="F20" i="11"/>
  <c r="J16" i="8"/>
  <c r="K16" i="8" s="1"/>
  <c r="F13" i="11"/>
  <c r="E30" i="11" s="1"/>
  <c r="J9" i="8"/>
  <c r="K9" i="8" s="1"/>
  <c r="J106" i="8"/>
  <c r="K106" i="8" s="1"/>
  <c r="F18" i="11"/>
  <c r="C18" i="18"/>
  <c r="AG43" i="18"/>
  <c r="AF53" i="18"/>
  <c r="C24" i="18"/>
  <c r="C19" i="18"/>
  <c r="J14" i="8"/>
  <c r="K14" i="8" s="1"/>
  <c r="J7" i="8"/>
  <c r="K7" i="8" s="1"/>
  <c r="J107" i="8"/>
  <c r="K107" i="8" s="1"/>
  <c r="AN17" i="8"/>
  <c r="AO17" i="8" s="1"/>
  <c r="J11" i="8"/>
  <c r="K11" i="8" s="1"/>
  <c r="J104" i="8"/>
  <c r="K104" i="8" s="1"/>
  <c r="AF34" i="18"/>
  <c r="F16" i="11"/>
  <c r="J105" i="8"/>
  <c r="K105" i="8" s="1"/>
  <c r="C17" i="18"/>
  <c r="AG53" i="18"/>
  <c r="AG62" i="18"/>
  <c r="AD43" i="18"/>
  <c r="AD34" i="18"/>
  <c r="C22" i="18"/>
  <c r="C20" i="18"/>
  <c r="AD53" i="18"/>
  <c r="C14" i="18"/>
  <c r="J62" i="8"/>
  <c r="K62" i="8" s="1"/>
  <c r="F12" i="11"/>
  <c r="E29" i="11" s="1"/>
  <c r="J12" i="8"/>
  <c r="K12" i="8" s="1"/>
  <c r="AN16" i="8"/>
  <c r="AO16" i="8" s="1"/>
  <c r="AN13" i="8"/>
  <c r="AO13" i="8" s="1"/>
  <c r="AD5" i="15"/>
  <c r="AN6" i="8"/>
  <c r="AO6" i="8" s="1"/>
  <c r="AF43" i="18"/>
  <c r="F17" i="11"/>
  <c r="E34" i="11" s="1"/>
  <c r="AF62" i="18"/>
  <c r="C23" i="18"/>
  <c r="C16" i="18"/>
  <c r="C21" i="18"/>
  <c r="C15" i="18"/>
  <c r="AE15" i="15"/>
  <c r="AE24" i="15"/>
  <c r="C13" i="18"/>
  <c r="AD15" i="15"/>
  <c r="AF5" i="15"/>
  <c r="AD24" i="15"/>
  <c r="AE80" i="15"/>
  <c r="AE43" i="15"/>
  <c r="AF5" i="18"/>
  <c r="AG5" i="15"/>
  <c r="AE71" i="15"/>
  <c r="AE34" i="15"/>
  <c r="F9" i="11"/>
  <c r="AG5" i="18"/>
  <c r="AE43" i="18"/>
  <c r="J97" i="8"/>
  <c r="J6" i="8"/>
  <c r="AE5" i="15"/>
  <c r="AE5" i="18"/>
  <c r="AE34" i="18"/>
  <c r="J53" i="8"/>
  <c r="AE62" i="18"/>
  <c r="AE53" i="18"/>
  <c r="AZ52" i="18"/>
  <c r="AZ25" i="15"/>
  <c r="AD43" i="15"/>
  <c r="AP72" i="15"/>
  <c r="AZ33" i="15"/>
  <c r="AD71" i="15"/>
  <c r="AP81" i="15"/>
  <c r="AZ33" i="18"/>
  <c r="AZ70" i="15"/>
  <c r="AZ6" i="18"/>
  <c r="AP35" i="15"/>
  <c r="AD80" i="15"/>
  <c r="AF24" i="15"/>
  <c r="AG15" i="15"/>
  <c r="AG71" i="15"/>
  <c r="AZ44" i="18"/>
  <c r="AZ54" i="18"/>
  <c r="AZ4" i="18"/>
  <c r="AZ14" i="15"/>
  <c r="AZ44" i="15"/>
  <c r="AP16" i="15"/>
  <c r="AP42" i="15"/>
  <c r="AP70" i="15"/>
  <c r="AD34" i="15"/>
  <c r="AF71" i="15"/>
  <c r="AZ35" i="18"/>
  <c r="AZ79" i="15"/>
  <c r="AP33" i="15"/>
  <c r="AG43" i="15"/>
  <c r="AF80" i="15"/>
  <c r="AF43" i="15"/>
  <c r="AP25" i="15"/>
  <c r="AZ35" i="15"/>
  <c r="AZ42" i="15"/>
  <c r="AP44" i="15"/>
  <c r="AG80" i="15"/>
  <c r="AP79" i="15"/>
  <c r="AZ6" i="15"/>
  <c r="AZ4" i="15"/>
  <c r="AG24" i="15"/>
  <c r="AP4" i="15"/>
  <c r="AZ16" i="15"/>
  <c r="AP6" i="15"/>
  <c r="AP23" i="15"/>
  <c r="AP6" i="18"/>
  <c r="AF34" i="15"/>
  <c r="AP4" i="18"/>
  <c r="AZ23" i="15"/>
  <c r="AZ81" i="15"/>
  <c r="AZ42" i="18"/>
  <c r="AZ72" i="15"/>
  <c r="AG34" i="15"/>
  <c r="AZ63" i="18"/>
  <c r="AF15" i="15"/>
  <c r="AP14" i="15"/>
  <c r="AZ61" i="18"/>
  <c r="BA4" i="18" l="1"/>
  <c r="AJ18" i="25"/>
  <c r="AH43" i="15"/>
  <c r="V17" i="25"/>
  <c r="X18" i="25"/>
  <c r="Y17" i="25"/>
  <c r="L17" i="25"/>
  <c r="G17" i="25"/>
  <c r="AA18" i="25"/>
  <c r="AE18" i="25" s="1"/>
  <c r="AB18" i="25"/>
  <c r="AF18" i="25" s="1"/>
  <c r="H17" i="25"/>
  <c r="AD17" i="25"/>
  <c r="K17" i="25"/>
  <c r="J18" i="25"/>
  <c r="N29" i="19"/>
  <c r="E33" i="11"/>
  <c r="N24" i="19"/>
  <c r="E28" i="11"/>
  <c r="F32" i="11"/>
  <c r="N28" i="19"/>
  <c r="F29" i="11"/>
  <c r="N25" i="19"/>
  <c r="E37" i="11"/>
  <c r="N33" i="19"/>
  <c r="F31" i="11"/>
  <c r="N27" i="19"/>
  <c r="F34" i="11"/>
  <c r="N30" i="19"/>
  <c r="E35" i="11"/>
  <c r="N31" i="19"/>
  <c r="E27" i="11"/>
  <c r="S52" i="15" s="1"/>
  <c r="S53" i="15" s="1"/>
  <c r="N23" i="19"/>
  <c r="F36" i="11"/>
  <c r="N32" i="19"/>
  <c r="E26" i="11"/>
  <c r="R52" i="15" s="1"/>
  <c r="R53" i="15" s="1"/>
  <c r="N22" i="19"/>
  <c r="F30" i="11"/>
  <c r="N26" i="19"/>
  <c r="AQ33" i="15"/>
  <c r="BA79" i="15"/>
  <c r="AQ35" i="15"/>
  <c r="BA25" i="15"/>
  <c r="BA35" i="15"/>
  <c r="AE35" i="18"/>
  <c r="BA52" i="18"/>
  <c r="AG44" i="18"/>
  <c r="AD54" i="18"/>
  <c r="AH71" i="15"/>
  <c r="BA33" i="18"/>
  <c r="F26" i="11"/>
  <c r="AQ14" i="15"/>
  <c r="D20" i="18"/>
  <c r="F20" i="18" s="1"/>
  <c r="F37" i="11"/>
  <c r="BA6" i="18"/>
  <c r="BB4" i="18" s="1"/>
  <c r="AQ4" i="18"/>
  <c r="AQ6" i="15"/>
  <c r="BA14" i="15"/>
  <c r="F35" i="11"/>
  <c r="BA35" i="18"/>
  <c r="BA54" i="18"/>
  <c r="D16" i="18"/>
  <c r="F16" i="18" s="1"/>
  <c r="D13" i="18"/>
  <c r="H13" i="18" s="1"/>
  <c r="E36" i="11"/>
  <c r="BA72" i="15"/>
  <c r="D23" i="18"/>
  <c r="F23" i="18" s="1"/>
  <c r="F27" i="11"/>
  <c r="AP62" i="15" s="1"/>
  <c r="BA33" i="15"/>
  <c r="AH34" i="15"/>
  <c r="J65" i="8"/>
  <c r="J69" i="8" s="1"/>
  <c r="AH15" i="15"/>
  <c r="BA23" i="15"/>
  <c r="BA70" i="15"/>
  <c r="AQ25" i="15"/>
  <c r="AF54" i="18"/>
  <c r="AH24" i="15"/>
  <c r="BA42" i="15"/>
  <c r="AH43" i="18"/>
  <c r="BA42" i="18"/>
  <c r="BA44" i="18"/>
  <c r="AQ4" i="15"/>
  <c r="AR4" i="15" s="1"/>
  <c r="AH5" i="15"/>
  <c r="BA4" i="15"/>
  <c r="AQ42" i="15"/>
  <c r="AQ44" i="15"/>
  <c r="BA81" i="15"/>
  <c r="AH62" i="18"/>
  <c r="BA63" i="18"/>
  <c r="BA61" i="18"/>
  <c r="AH80" i="15"/>
  <c r="BA6" i="15"/>
  <c r="AQ81" i="15"/>
  <c r="AQ79" i="15"/>
  <c r="AQ6" i="18"/>
  <c r="AQ72" i="15"/>
  <c r="AE54" i="18"/>
  <c r="H117" i="8"/>
  <c r="J109" i="8"/>
  <c r="J113" i="8" s="1"/>
  <c r="K97" i="8"/>
  <c r="AQ16" i="15"/>
  <c r="AR14" i="15" s="1"/>
  <c r="BA44" i="15"/>
  <c r="K53" i="8"/>
  <c r="AH5" i="18"/>
  <c r="AH34" i="18"/>
  <c r="AQ70" i="15"/>
  <c r="AE63" i="18"/>
  <c r="J18" i="8"/>
  <c r="J22" i="8" s="1"/>
  <c r="H26" i="8"/>
  <c r="K6" i="8"/>
  <c r="BA16" i="15"/>
  <c r="AQ23" i="15"/>
  <c r="AH53" i="18"/>
  <c r="AE44" i="18"/>
  <c r="AN18" i="8"/>
  <c r="AF44" i="18"/>
  <c r="AP9" i="8"/>
  <c r="AP17" i="8"/>
  <c r="AP8" i="8"/>
  <c r="AP13" i="8"/>
  <c r="AP14" i="8"/>
  <c r="AP6" i="8"/>
  <c r="AP11" i="8"/>
  <c r="AP10" i="8"/>
  <c r="AO18" i="8"/>
  <c r="AP7" i="8"/>
  <c r="AP16" i="8"/>
  <c r="AP12" i="8"/>
  <c r="AD35" i="18"/>
  <c r="AP15" i="8"/>
  <c r="AF63" i="18"/>
  <c r="AG63" i="18"/>
  <c r="D19" i="18"/>
  <c r="D17" i="18"/>
  <c r="E17" i="18" s="1"/>
  <c r="D21" i="18"/>
  <c r="D14" i="18"/>
  <c r="AD44" i="18"/>
  <c r="D22" i="18"/>
  <c r="D24" i="18"/>
  <c r="D18" i="18"/>
  <c r="F28" i="11"/>
  <c r="D15" i="18"/>
  <c r="AG54" i="18"/>
  <c r="C25" i="18"/>
  <c r="F33" i="11"/>
  <c r="AD63" i="18"/>
  <c r="AG35" i="18"/>
  <c r="AF35" i="18"/>
  <c r="AG61" i="15" l="1"/>
  <c r="AI43" i="15"/>
  <c r="AD18" i="25"/>
  <c r="AE52" i="15"/>
  <c r="AE53" i="15" s="1"/>
  <c r="AI80" i="15"/>
  <c r="W17" i="25"/>
  <c r="V18" i="25"/>
  <c r="AC17" i="25"/>
  <c r="AC18" i="25" s="1"/>
  <c r="I17" i="25"/>
  <c r="H18" i="25"/>
  <c r="AI18" i="25" s="1"/>
  <c r="AI53" i="18"/>
  <c r="AD52" i="15"/>
  <c r="AD53" i="15" s="1"/>
  <c r="AP51" i="15"/>
  <c r="AP53" i="15"/>
  <c r="AR33" i="15"/>
  <c r="E16" i="18"/>
  <c r="AR35" i="15"/>
  <c r="AI5" i="18"/>
  <c r="AI71" i="15"/>
  <c r="BB25" i="15"/>
  <c r="G16" i="18"/>
  <c r="AE61" i="15"/>
  <c r="AI24" i="15"/>
  <c r="N34" i="19"/>
  <c r="U34" i="15"/>
  <c r="AZ51" i="15"/>
  <c r="BB16" i="15"/>
  <c r="BB35" i="15"/>
  <c r="AE45" i="18"/>
  <c r="BB23" i="15"/>
  <c r="E23" i="18"/>
  <c r="H23" i="18"/>
  <c r="G23" i="18"/>
  <c r="AG55" i="18"/>
  <c r="AG45" i="18"/>
  <c r="AD64" i="18"/>
  <c r="BB6" i="18"/>
  <c r="BC4" i="18" s="1"/>
  <c r="T52" i="15"/>
  <c r="T53" i="15" s="1"/>
  <c r="BB33" i="18"/>
  <c r="U71" i="15"/>
  <c r="U43" i="15"/>
  <c r="U80" i="15" a="1"/>
  <c r="U80" i="15" s="1"/>
  <c r="U24" i="15"/>
  <c r="AR4" i="18"/>
  <c r="U15" i="15"/>
  <c r="U5" i="15"/>
  <c r="AD61" i="15"/>
  <c r="S61" i="15"/>
  <c r="R61" i="15"/>
  <c r="T61" i="15"/>
  <c r="G13" i="18"/>
  <c r="AI34" i="18"/>
  <c r="G20" i="18"/>
  <c r="BB52" i="18"/>
  <c r="BB54" i="18"/>
  <c r="H16" i="18"/>
  <c r="AF64" i="18"/>
  <c r="E20" i="18"/>
  <c r="H20" i="18"/>
  <c r="AE64" i="18"/>
  <c r="AI43" i="18"/>
  <c r="E13" i="18"/>
  <c r="AP60" i="15"/>
  <c r="AQ62" i="15" s="1"/>
  <c r="AZ62" i="15"/>
  <c r="F13" i="18"/>
  <c r="AR79" i="15"/>
  <c r="AI62" i="18"/>
  <c r="BB35" i="18"/>
  <c r="AG64" i="18"/>
  <c r="BB4" i="15"/>
  <c r="AD45" i="18"/>
  <c r="BB42" i="18"/>
  <c r="AR44" i="15"/>
  <c r="AZ60" i="15"/>
  <c r="AR42" i="15"/>
  <c r="AI34" i="15"/>
  <c r="BB33" i="15"/>
  <c r="AR16" i="15"/>
  <c r="AS14" i="15" s="1"/>
  <c r="BB70" i="15"/>
  <c r="BB72" i="15"/>
  <c r="BB79" i="15"/>
  <c r="AD55" i="18"/>
  <c r="H14" i="18"/>
  <c r="F14" i="18"/>
  <c r="E14" i="18"/>
  <c r="G14" i="18"/>
  <c r="D25" i="18"/>
  <c r="AH35" i="18"/>
  <c r="BB42" i="15"/>
  <c r="AI5" i="15"/>
  <c r="E21" i="18"/>
  <c r="H21" i="18"/>
  <c r="G21" i="18"/>
  <c r="F21" i="18"/>
  <c r="AF52" i="15"/>
  <c r="AF53" i="15" s="1"/>
  <c r="BB6" i="15"/>
  <c r="BB61" i="18"/>
  <c r="AH63" i="18"/>
  <c r="AI15" i="15"/>
  <c r="AH44" i="18"/>
  <c r="BB81" i="15"/>
  <c r="AR25" i="15"/>
  <c r="BB44" i="15"/>
  <c r="L13" i="8"/>
  <c r="L10" i="8"/>
  <c r="L7" i="8"/>
  <c r="L17" i="8"/>
  <c r="L16" i="8"/>
  <c r="L14" i="8"/>
  <c r="K18" i="8"/>
  <c r="L15" i="8"/>
  <c r="L8" i="8"/>
  <c r="L9" i="8"/>
  <c r="H27" i="8"/>
  <c r="L11" i="8"/>
  <c r="L12" i="8"/>
  <c r="L6" i="8"/>
  <c r="L57" i="8"/>
  <c r="L58" i="8"/>
  <c r="I75" i="8" s="1"/>
  <c r="L56" i="8"/>
  <c r="I74" i="8" s="1"/>
  <c r="L63" i="8"/>
  <c r="K65" i="8"/>
  <c r="I73" i="8" s="1"/>
  <c r="L62" i="8"/>
  <c r="L54" i="8"/>
  <c r="L60" i="8"/>
  <c r="L59" i="8"/>
  <c r="L61" i="8"/>
  <c r="L55" i="8"/>
  <c r="L53" i="8"/>
  <c r="M53" i="8" s="1"/>
  <c r="L64" i="8"/>
  <c r="I76" i="8" s="1"/>
  <c r="BB44" i="18"/>
  <c r="AG52" i="15"/>
  <c r="AG53" i="15" s="1"/>
  <c r="G17" i="18"/>
  <c r="F17" i="18"/>
  <c r="H17" i="18"/>
  <c r="G18" i="18"/>
  <c r="H18" i="18"/>
  <c r="E18" i="18"/>
  <c r="F18" i="18"/>
  <c r="F19" i="18"/>
  <c r="H19" i="18"/>
  <c r="G19" i="18"/>
  <c r="E19" i="18"/>
  <c r="BB14" i="15"/>
  <c r="L108" i="8"/>
  <c r="L106" i="8"/>
  <c r="M106" i="8" s="1"/>
  <c r="H118" i="8"/>
  <c r="L103" i="8"/>
  <c r="M103" i="8" s="1"/>
  <c r="L98" i="8"/>
  <c r="M98" i="8" s="1"/>
  <c r="L102" i="8"/>
  <c r="L101" i="8"/>
  <c r="M101" i="8" s="1"/>
  <c r="L99" i="8"/>
  <c r="M99" i="8" s="1"/>
  <c r="K109" i="8"/>
  <c r="L107" i="8"/>
  <c r="M107" i="8" s="1"/>
  <c r="L104" i="8"/>
  <c r="M104" i="8" s="1"/>
  <c r="L105" i="8"/>
  <c r="M105" i="8" s="1"/>
  <c r="L100" i="8"/>
  <c r="L97" i="8"/>
  <c r="M97" i="8" s="1"/>
  <c r="BB63" i="18"/>
  <c r="AR72" i="15"/>
  <c r="AR6" i="15"/>
  <c r="AS4" i="15" s="1"/>
  <c r="AH54" i="18"/>
  <c r="AR23" i="15"/>
  <c r="F24" i="18"/>
  <c r="E24" i="18"/>
  <c r="H24" i="18"/>
  <c r="G24" i="18"/>
  <c r="AF45" i="18"/>
  <c r="E22" i="18"/>
  <c r="F22" i="18"/>
  <c r="H22" i="18"/>
  <c r="G22" i="18"/>
  <c r="AF55" i="18"/>
  <c r="AF61" i="15"/>
  <c r="BC6" i="18"/>
  <c r="AE55" i="18"/>
  <c r="AR6" i="18"/>
  <c r="E15" i="18"/>
  <c r="F15" i="18"/>
  <c r="G15" i="18"/>
  <c r="H15" i="18"/>
  <c r="AZ53" i="15"/>
  <c r="AR70" i="15"/>
  <c r="AR81" i="15"/>
  <c r="V34" i="15" l="1"/>
  <c r="AQ53" i="15"/>
  <c r="AI54" i="18"/>
  <c r="AI44" i="18"/>
  <c r="BC23" i="15"/>
  <c r="AQ51" i="15"/>
  <c r="AS33" i="15"/>
  <c r="AS35" i="15"/>
  <c r="BA51" i="15"/>
  <c r="BC33" i="15"/>
  <c r="AJ24" i="15"/>
  <c r="AJ5" i="18"/>
  <c r="AH61" i="15"/>
  <c r="AP52" i="18"/>
  <c r="AS4" i="18"/>
  <c r="AI35" i="18"/>
  <c r="AI63" i="18"/>
  <c r="AJ53" i="18"/>
  <c r="AJ34" i="15"/>
  <c r="BC25" i="15"/>
  <c r="BA62" i="15"/>
  <c r="BC33" i="18"/>
  <c r="BA60" i="15"/>
  <c r="AS16" i="15"/>
  <c r="AT14" i="15" s="1"/>
  <c r="AS6" i="15"/>
  <c r="W5" i="15" s="1"/>
  <c r="AP54" i="18"/>
  <c r="AS79" i="15"/>
  <c r="V15" i="15"/>
  <c r="BC35" i="15"/>
  <c r="BC79" i="15"/>
  <c r="BC52" i="18"/>
  <c r="V71" i="15"/>
  <c r="BC54" i="18"/>
  <c r="AS42" i="15"/>
  <c r="V24" i="15"/>
  <c r="BC81" i="15"/>
  <c r="V80" i="15" a="1"/>
  <c r="V80" i="15" s="1"/>
  <c r="V5" i="15"/>
  <c r="V43" i="15"/>
  <c r="AQ60" i="15"/>
  <c r="AP42" i="18"/>
  <c r="AP44" i="18"/>
  <c r="AP35" i="18"/>
  <c r="AP33" i="18"/>
  <c r="BC42" i="18"/>
  <c r="AH55" i="18"/>
  <c r="AS44" i="15"/>
  <c r="BC35" i="18"/>
  <c r="BC6" i="15"/>
  <c r="AJ62" i="18"/>
  <c r="AJ34" i="18"/>
  <c r="E25" i="18"/>
  <c r="AJ43" i="18"/>
  <c r="BC44" i="18"/>
  <c r="G25" i="18"/>
  <c r="F25" i="18"/>
  <c r="BC61" i="18"/>
  <c r="AS23" i="15"/>
  <c r="AJ80" i="15"/>
  <c r="AS25" i="15"/>
  <c r="BA53" i="15"/>
  <c r="AK5" i="18"/>
  <c r="BC4" i="15"/>
  <c r="BC70" i="15"/>
  <c r="AJ71" i="15"/>
  <c r="BC72" i="15"/>
  <c r="BC63" i="18"/>
  <c r="N106" i="8"/>
  <c r="O106" i="8"/>
  <c r="N104" i="8"/>
  <c r="O104" i="8"/>
  <c r="H30" i="8"/>
  <c r="AH45" i="18"/>
  <c r="BD4" i="18"/>
  <c r="AS70" i="15"/>
  <c r="N105" i="8"/>
  <c r="O105" i="8"/>
  <c r="AJ5" i="15"/>
  <c r="O108" i="8"/>
  <c r="N108" i="8"/>
  <c r="N107" i="8"/>
  <c r="O107" i="8"/>
  <c r="AH52" i="15"/>
  <c r="BD6" i="18"/>
  <c r="AS6" i="18"/>
  <c r="AS81" i="15"/>
  <c r="M108" i="8"/>
  <c r="H121" i="8"/>
  <c r="O100" i="8"/>
  <c r="N100" i="8"/>
  <c r="AJ15" i="15"/>
  <c r="BC14" i="15"/>
  <c r="BC16" i="15"/>
  <c r="O102" i="8"/>
  <c r="N102" i="8"/>
  <c r="B54" i="8"/>
  <c r="D54" i="8"/>
  <c r="AJ43" i="15"/>
  <c r="BC44" i="15"/>
  <c r="BC42" i="15"/>
  <c r="AP63" i="18"/>
  <c r="H25" i="18"/>
  <c r="AP61" i="18"/>
  <c r="M100" i="8"/>
  <c r="H119" i="8"/>
  <c r="O99" i="8"/>
  <c r="N99" i="8"/>
  <c r="AS72" i="15"/>
  <c r="O98" i="8"/>
  <c r="S98" i="8" s="1"/>
  <c r="N98" i="8"/>
  <c r="Q98" i="8" s="1"/>
  <c r="H120" i="8"/>
  <c r="M102" i="8"/>
  <c r="H31" i="8"/>
  <c r="H32" i="8"/>
  <c r="AH64" i="18"/>
  <c r="AR53" i="15" l="1"/>
  <c r="AT6" i="18"/>
  <c r="W34" i="15"/>
  <c r="U52" i="15"/>
  <c r="U53" i="15" s="1"/>
  <c r="AT35" i="15"/>
  <c r="AZ214" i="18"/>
  <c r="AD215" i="18"/>
  <c r="AP216" i="18"/>
  <c r="AP214" i="18"/>
  <c r="AF215" i="18"/>
  <c r="AE215" i="18"/>
  <c r="AZ216" i="18"/>
  <c r="AG215" i="18"/>
  <c r="AG233" i="18"/>
  <c r="AF233" i="18"/>
  <c r="AP234" i="18"/>
  <c r="AZ234" i="18"/>
  <c r="AE233" i="18"/>
  <c r="AZ232" i="18"/>
  <c r="AD233" i="18"/>
  <c r="AP232" i="18"/>
  <c r="AZ225" i="18"/>
  <c r="AF224" i="18"/>
  <c r="AZ223" i="18"/>
  <c r="AE224" i="18"/>
  <c r="AP223" i="18"/>
  <c r="AG224" i="18"/>
  <c r="AD224" i="18"/>
  <c r="AP225" i="18"/>
  <c r="AP241" i="18"/>
  <c r="AG242" i="18"/>
  <c r="AP243" i="18"/>
  <c r="AF242" i="18"/>
  <c r="AE242" i="18"/>
  <c r="AD242" i="18"/>
  <c r="AZ241" i="18"/>
  <c r="AZ243" i="18"/>
  <c r="AZ189" i="18"/>
  <c r="AD188" i="18"/>
  <c r="AF188" i="18"/>
  <c r="AG188" i="18"/>
  <c r="AP189" i="18"/>
  <c r="AE188" i="18"/>
  <c r="AP187" i="18"/>
  <c r="AZ187" i="18"/>
  <c r="AF197" i="18"/>
  <c r="AP198" i="18"/>
  <c r="AD197" i="18"/>
  <c r="AG197" i="18"/>
  <c r="AZ196" i="18"/>
  <c r="AE197" i="18"/>
  <c r="AZ198" i="18"/>
  <c r="AP196" i="18"/>
  <c r="AP205" i="18"/>
  <c r="AZ207" i="18"/>
  <c r="AE206" i="18"/>
  <c r="AD206" i="18"/>
  <c r="AF206" i="18"/>
  <c r="AG206" i="18"/>
  <c r="AZ205" i="18"/>
  <c r="AP207" i="18"/>
  <c r="AF179" i="18"/>
  <c r="AD179" i="18"/>
  <c r="AG179" i="18"/>
  <c r="AP180" i="18"/>
  <c r="AE179" i="18"/>
  <c r="AP178" i="18"/>
  <c r="AZ178" i="18"/>
  <c r="AZ180" i="18"/>
  <c r="AF161" i="18"/>
  <c r="AG161" i="18"/>
  <c r="AP160" i="18"/>
  <c r="AZ160" i="18"/>
  <c r="AD161" i="18"/>
  <c r="AZ162" i="18"/>
  <c r="AE161" i="18"/>
  <c r="AP162" i="18"/>
  <c r="AE152" i="18"/>
  <c r="AG152" i="18"/>
  <c r="AZ151" i="18"/>
  <c r="AF152" i="18"/>
  <c r="AP153" i="18"/>
  <c r="AD152" i="18"/>
  <c r="AZ153" i="18"/>
  <c r="AP151" i="18"/>
  <c r="AP169" i="18"/>
  <c r="AG170" i="18"/>
  <c r="AZ171" i="18"/>
  <c r="AE170" i="18"/>
  <c r="AP171" i="18"/>
  <c r="AF170" i="18"/>
  <c r="AD170" i="18"/>
  <c r="AZ169" i="18"/>
  <c r="AE143" i="18"/>
  <c r="AZ142" i="18"/>
  <c r="AF143" i="18"/>
  <c r="AP144" i="18"/>
  <c r="AG143" i="18"/>
  <c r="AZ144" i="18"/>
  <c r="AP142" i="18"/>
  <c r="AD143" i="18"/>
  <c r="D53" i="18"/>
  <c r="AZ126" i="18"/>
  <c r="AP124" i="18"/>
  <c r="AZ124" i="18"/>
  <c r="AP126" i="18"/>
  <c r="AG125" i="18"/>
  <c r="AE125" i="18"/>
  <c r="AF125" i="18"/>
  <c r="AD125" i="18"/>
  <c r="D62" i="18"/>
  <c r="AD134" i="18"/>
  <c r="AE134" i="18"/>
  <c r="AZ135" i="18"/>
  <c r="AP133" i="18"/>
  <c r="AZ133" i="18"/>
  <c r="AP135" i="18"/>
  <c r="AF134" i="18"/>
  <c r="AG134" i="18"/>
  <c r="AP106" i="18"/>
  <c r="AZ108" i="18"/>
  <c r="AG107" i="18"/>
  <c r="AZ106" i="18"/>
  <c r="AF107" i="18"/>
  <c r="AD107" i="18"/>
  <c r="AP108" i="18"/>
  <c r="AE107" i="18"/>
  <c r="D43" i="18"/>
  <c r="AP115" i="18"/>
  <c r="AG116" i="18"/>
  <c r="AD116" i="18"/>
  <c r="AF116" i="18"/>
  <c r="AZ117" i="18"/>
  <c r="AE116" i="18"/>
  <c r="AZ115" i="18"/>
  <c r="AP117" i="18"/>
  <c r="AI64" i="18"/>
  <c r="AK24" i="15"/>
  <c r="BD81" i="15"/>
  <c r="AI55" i="18"/>
  <c r="AR51" i="15"/>
  <c r="V52" i="15" s="1"/>
  <c r="V53" i="15" s="1"/>
  <c r="AI61" i="15"/>
  <c r="AI45" i="18"/>
  <c r="AJ63" i="18"/>
  <c r="AJ54" i="18"/>
  <c r="BD35" i="18"/>
  <c r="AK34" i="15"/>
  <c r="BD33" i="15"/>
  <c r="AT33" i="15"/>
  <c r="AU35" i="15" s="1"/>
  <c r="BB53" i="15"/>
  <c r="AK53" i="18"/>
  <c r="AK54" i="18" s="1"/>
  <c r="BD25" i="15"/>
  <c r="AI52" i="15"/>
  <c r="AI53" i="15" s="1"/>
  <c r="AK5" i="15"/>
  <c r="AT79" i="15"/>
  <c r="BD23" i="15"/>
  <c r="AQ54" i="18"/>
  <c r="BD35" i="15"/>
  <c r="BB62" i="15"/>
  <c r="AK80" i="15"/>
  <c r="AK62" i="18"/>
  <c r="AK63" i="18" s="1"/>
  <c r="AQ52" i="18"/>
  <c r="BB60" i="15"/>
  <c r="AT70" i="15"/>
  <c r="AT16" i="15"/>
  <c r="X15" i="15" s="1"/>
  <c r="W15" i="15"/>
  <c r="AT4" i="15"/>
  <c r="AQ42" i="18"/>
  <c r="AT6" i="15"/>
  <c r="BD4" i="15"/>
  <c r="BD54" i="18"/>
  <c r="BD6" i="15"/>
  <c r="AQ44" i="18"/>
  <c r="AT44" i="15"/>
  <c r="BD79" i="15"/>
  <c r="AT42" i="15"/>
  <c r="W43" i="15"/>
  <c r="BD52" i="18"/>
  <c r="W71" i="15"/>
  <c r="BB51" i="15"/>
  <c r="AR62" i="15"/>
  <c r="AR60" i="15"/>
  <c r="U61" i="15"/>
  <c r="AQ33" i="18"/>
  <c r="W80" i="15" a="1"/>
  <c r="W80" i="15" s="1"/>
  <c r="W24" i="15"/>
  <c r="BD61" i="18"/>
  <c r="BD63" i="18"/>
  <c r="BD44" i="18"/>
  <c r="BD42" i="18"/>
  <c r="AJ44" i="18"/>
  <c r="AK43" i="18"/>
  <c r="BD33" i="18"/>
  <c r="AQ35" i="18"/>
  <c r="AK34" i="18"/>
  <c r="AK43" i="15"/>
  <c r="AJ35" i="18"/>
  <c r="BD72" i="15"/>
  <c r="BD16" i="15"/>
  <c r="AT25" i="15"/>
  <c r="AK71" i="15"/>
  <c r="BD70" i="15"/>
  <c r="AT23" i="15"/>
  <c r="BD42" i="15"/>
  <c r="AK15" i="15"/>
  <c r="AT4" i="18"/>
  <c r="AU6" i="18" s="1"/>
  <c r="AT72" i="15"/>
  <c r="R98" i="8"/>
  <c r="AA98" i="8"/>
  <c r="X98" i="8"/>
  <c r="AH53" i="15"/>
  <c r="BE4" i="18"/>
  <c r="AL5" i="18"/>
  <c r="BE6" i="18"/>
  <c r="AB98" i="8"/>
  <c r="T98" i="8"/>
  <c r="BD44" i="15"/>
  <c r="AB54" i="8"/>
  <c r="E54" i="8"/>
  <c r="BD14" i="15"/>
  <c r="AQ63" i="18"/>
  <c r="AQ61" i="18"/>
  <c r="C54" i="8"/>
  <c r="H54" i="8"/>
  <c r="AA54" i="8"/>
  <c r="AT81" i="15"/>
  <c r="O103" i="8"/>
  <c r="N103" i="8"/>
  <c r="O101" i="8"/>
  <c r="N101" i="8"/>
  <c r="AL53" i="18" l="1"/>
  <c r="AS53" i="15"/>
  <c r="X34" i="15"/>
  <c r="AQ234" i="18"/>
  <c r="AS51" i="15"/>
  <c r="AH242" i="18"/>
  <c r="AQ117" i="18"/>
  <c r="BA225" i="18"/>
  <c r="AL80" i="15"/>
  <c r="AH233" i="18"/>
  <c r="AH215" i="18"/>
  <c r="BA243" i="18"/>
  <c r="AQ241" i="18"/>
  <c r="BA223" i="18"/>
  <c r="AQ223" i="18"/>
  <c r="AQ225" i="18"/>
  <c r="BA189" i="18"/>
  <c r="AQ232" i="18"/>
  <c r="AH224" i="18"/>
  <c r="BA216" i="18"/>
  <c r="BA234" i="18"/>
  <c r="BA187" i="18"/>
  <c r="AQ243" i="18"/>
  <c r="BA214" i="18"/>
  <c r="BA241" i="18"/>
  <c r="AQ214" i="18"/>
  <c r="AQ216" i="18"/>
  <c r="BA232" i="18"/>
  <c r="AQ180" i="18"/>
  <c r="AQ169" i="18"/>
  <c r="AH143" i="18"/>
  <c r="AH179" i="18"/>
  <c r="BA207" i="18"/>
  <c r="AQ178" i="18"/>
  <c r="AQ189" i="18"/>
  <c r="AQ207" i="18"/>
  <c r="AQ196" i="18"/>
  <c r="AH197" i="18"/>
  <c r="AQ187" i="18"/>
  <c r="BA178" i="18"/>
  <c r="BA205" i="18"/>
  <c r="AI206" i="18" s="1"/>
  <c r="AQ198" i="18"/>
  <c r="BA198" i="18"/>
  <c r="AH188" i="18"/>
  <c r="AQ160" i="18"/>
  <c r="BA180" i="18"/>
  <c r="BA196" i="18"/>
  <c r="AH206" i="18"/>
  <c r="AQ205" i="18"/>
  <c r="AQ144" i="18"/>
  <c r="BA151" i="18"/>
  <c r="AQ153" i="18"/>
  <c r="BA115" i="18"/>
  <c r="AH161" i="18"/>
  <c r="BA160" i="18"/>
  <c r="AQ162" i="18"/>
  <c r="AH152" i="18"/>
  <c r="BA153" i="18"/>
  <c r="AH116" i="18"/>
  <c r="BA142" i="18"/>
  <c r="AQ142" i="18"/>
  <c r="AQ171" i="18"/>
  <c r="AQ151" i="18"/>
  <c r="AH170" i="18"/>
  <c r="BA162" i="18"/>
  <c r="BA144" i="18"/>
  <c r="BA171" i="18"/>
  <c r="AH134" i="18"/>
  <c r="BA169" i="18"/>
  <c r="AH107" i="18"/>
  <c r="BA117" i="18"/>
  <c r="BA108" i="18"/>
  <c r="BA106" i="18"/>
  <c r="BA135" i="18"/>
  <c r="AQ115" i="18"/>
  <c r="AQ135" i="18"/>
  <c r="BA124" i="18"/>
  <c r="AQ126" i="18"/>
  <c r="AQ108" i="18"/>
  <c r="BA133" i="18"/>
  <c r="AQ124" i="18"/>
  <c r="AQ106" i="18"/>
  <c r="AH125" i="18"/>
  <c r="AQ133" i="18"/>
  <c r="BA126" i="18"/>
  <c r="AJ64" i="18"/>
  <c r="AL71" i="15"/>
  <c r="AJ55" i="18"/>
  <c r="AL34" i="18"/>
  <c r="AL35" i="18" s="1"/>
  <c r="BE35" i="15"/>
  <c r="AJ61" i="15"/>
  <c r="AU79" i="15"/>
  <c r="AU33" i="15"/>
  <c r="AV35" i="15" s="1"/>
  <c r="BC51" i="15"/>
  <c r="AJ52" i="15"/>
  <c r="AJ53" i="15" s="1"/>
  <c r="BE33" i="15"/>
  <c r="AL34" i="15"/>
  <c r="AL5" i="15"/>
  <c r="AL24" i="15"/>
  <c r="BE25" i="15"/>
  <c r="BE23" i="15"/>
  <c r="AU16" i="15"/>
  <c r="AL43" i="18"/>
  <c r="AL44" i="18" s="1"/>
  <c r="AL43" i="15"/>
  <c r="BC60" i="15"/>
  <c r="AR52" i="18"/>
  <c r="BC62" i="15"/>
  <c r="AU72" i="15"/>
  <c r="AL62" i="18"/>
  <c r="AL63" i="18" s="1"/>
  <c r="AR54" i="18"/>
  <c r="AU14" i="15"/>
  <c r="BE6" i="15"/>
  <c r="AU4" i="15"/>
  <c r="AR44" i="18"/>
  <c r="AU6" i="15"/>
  <c r="AR42" i="18"/>
  <c r="X5" i="15"/>
  <c r="BE52" i="18"/>
  <c r="BE79" i="15"/>
  <c r="AU44" i="15"/>
  <c r="BE4" i="15"/>
  <c r="BE81" i="15"/>
  <c r="BC53" i="15"/>
  <c r="AU23" i="15"/>
  <c r="AU42" i="15"/>
  <c r="X43" i="15"/>
  <c r="AS60" i="15"/>
  <c r="AU4" i="18"/>
  <c r="AV6" i="18" s="1"/>
  <c r="BE54" i="18"/>
  <c r="V61" i="15"/>
  <c r="X24" i="15"/>
  <c r="AR35" i="18"/>
  <c r="X71" i="15"/>
  <c r="W52" i="15"/>
  <c r="W53" i="15" s="1"/>
  <c r="AS62" i="15"/>
  <c r="X80" i="15" a="1"/>
  <c r="X80" i="15" s="1"/>
  <c r="AK64" i="18"/>
  <c r="BE61" i="18"/>
  <c r="BE63" i="18"/>
  <c r="AJ45" i="18"/>
  <c r="BE44" i="18"/>
  <c r="AK44" i="18"/>
  <c r="AK55" i="18" s="1"/>
  <c r="BE42" i="18"/>
  <c r="BE35" i="18"/>
  <c r="BE33" i="18"/>
  <c r="AR33" i="18"/>
  <c r="AK35" i="18"/>
  <c r="AL54" i="18"/>
  <c r="AU25" i="15"/>
  <c r="AM5" i="18"/>
  <c r="BE42" i="15"/>
  <c r="BF4" i="18"/>
  <c r="BE70" i="15"/>
  <c r="BE72" i="15"/>
  <c r="AU70" i="15"/>
  <c r="AU81" i="15"/>
  <c r="AR61" i="18"/>
  <c r="I54" i="8"/>
  <c r="AD54" i="8"/>
  <c r="F54" i="8"/>
  <c r="AT53" i="15"/>
  <c r="BF6" i="18"/>
  <c r="BE44" i="15"/>
  <c r="U98" i="8"/>
  <c r="P99" i="8" s="1"/>
  <c r="AR63" i="18"/>
  <c r="M54" i="8"/>
  <c r="BE16" i="15"/>
  <c r="AL15" i="15"/>
  <c r="BE14" i="15"/>
  <c r="AD98" i="8"/>
  <c r="Y98" i="8"/>
  <c r="V98" i="8"/>
  <c r="AI224" i="18" l="1"/>
  <c r="AR117" i="18"/>
  <c r="Y15" i="15"/>
  <c r="AT51" i="15"/>
  <c r="AU53" i="15" s="1"/>
  <c r="Y5" i="15"/>
  <c r="Y34" i="15"/>
  <c r="BB214" i="18"/>
  <c r="AR243" i="18"/>
  <c r="AR225" i="18"/>
  <c r="AR223" i="18"/>
  <c r="BB225" i="18"/>
  <c r="BB189" i="18"/>
  <c r="AR171" i="18"/>
  <c r="BB117" i="18"/>
  <c r="AR162" i="18"/>
  <c r="AR160" i="18"/>
  <c r="BB223" i="18"/>
  <c r="AI161" i="18"/>
  <c r="BB196" i="18"/>
  <c r="AR214" i="18"/>
  <c r="AR232" i="18"/>
  <c r="BB187" i="18"/>
  <c r="AR234" i="18"/>
  <c r="AR142" i="18"/>
  <c r="AR216" i="18"/>
  <c r="AI215" i="18"/>
  <c r="AR241" i="18"/>
  <c r="BB241" i="18"/>
  <c r="BB243" i="18"/>
  <c r="AI242" i="18"/>
  <c r="BB234" i="18"/>
  <c r="BB216" i="18"/>
  <c r="BB232" i="18"/>
  <c r="AI233" i="18"/>
  <c r="AR153" i="18"/>
  <c r="AI188" i="18"/>
  <c r="BB205" i="18"/>
  <c r="AR198" i="18"/>
  <c r="AR205" i="18"/>
  <c r="BB153" i="18"/>
  <c r="AR187" i="18"/>
  <c r="AI179" i="18"/>
  <c r="AR196" i="18"/>
  <c r="AR180" i="18"/>
  <c r="AR178" i="18"/>
  <c r="AR207" i="18"/>
  <c r="BB178" i="18"/>
  <c r="BB198" i="18"/>
  <c r="BB180" i="18"/>
  <c r="AI197" i="18"/>
  <c r="BB207" i="18"/>
  <c r="AR189" i="18"/>
  <c r="BB108" i="18"/>
  <c r="BB126" i="18"/>
  <c r="AR169" i="18"/>
  <c r="BB151" i="18"/>
  <c r="BC153" i="18" s="1"/>
  <c r="AI152" i="18"/>
  <c r="BB144" i="18"/>
  <c r="BB160" i="18"/>
  <c r="AR151" i="18"/>
  <c r="AR144" i="18"/>
  <c r="BB162" i="18"/>
  <c r="BB169" i="18"/>
  <c r="BB171" i="18"/>
  <c r="AI143" i="18"/>
  <c r="BB142" i="18"/>
  <c r="AI170" i="18"/>
  <c r="AI116" i="18"/>
  <c r="BB115" i="18"/>
  <c r="AR115" i="18"/>
  <c r="AI125" i="18"/>
  <c r="AR106" i="18"/>
  <c r="BB106" i="18"/>
  <c r="AI107" i="18"/>
  <c r="AR126" i="18"/>
  <c r="AR135" i="18"/>
  <c r="AR124" i="18"/>
  <c r="BB133" i="18"/>
  <c r="BB135" i="18"/>
  <c r="AI134" i="18"/>
  <c r="BB124" i="18"/>
  <c r="AR108" i="18"/>
  <c r="AR133" i="18"/>
  <c r="AV79" i="15"/>
  <c r="BF35" i="15"/>
  <c r="AV16" i="15"/>
  <c r="AM80" i="15"/>
  <c r="AM53" i="18"/>
  <c r="AM54" i="18" s="1"/>
  <c r="AV72" i="15"/>
  <c r="BF25" i="15"/>
  <c r="AV33" i="15"/>
  <c r="AW35" i="15" s="1"/>
  <c r="BD53" i="15"/>
  <c r="BF33" i="15"/>
  <c r="AM34" i="15"/>
  <c r="BD62" i="15"/>
  <c r="AK61" i="15"/>
  <c r="AM62" i="18"/>
  <c r="AM63" i="18" s="1"/>
  <c r="BD60" i="15"/>
  <c r="AM5" i="15"/>
  <c r="AS54" i="18"/>
  <c r="BF23" i="15"/>
  <c r="AM24" i="15"/>
  <c r="AM43" i="15"/>
  <c r="AK52" i="15"/>
  <c r="AK53" i="15" s="1"/>
  <c r="AM34" i="18"/>
  <c r="AM35" i="18" s="1"/>
  <c r="AV14" i="15"/>
  <c r="BF4" i="15"/>
  <c r="AS52" i="18"/>
  <c r="AV6" i="15"/>
  <c r="AS42" i="18"/>
  <c r="AS44" i="18"/>
  <c r="BF81" i="15"/>
  <c r="AV4" i="15"/>
  <c r="BF79" i="15"/>
  <c r="BD51" i="15"/>
  <c r="Y43" i="15"/>
  <c r="BF6" i="15"/>
  <c r="AV23" i="15"/>
  <c r="AV4" i="18"/>
  <c r="AW4" i="18" s="1"/>
  <c r="BF54" i="18"/>
  <c r="AS33" i="18"/>
  <c r="BF52" i="18"/>
  <c r="AT62" i="15"/>
  <c r="AV42" i="15"/>
  <c r="AV44" i="15"/>
  <c r="AV25" i="15"/>
  <c r="BF44" i="18"/>
  <c r="AN43" i="18" s="1"/>
  <c r="Y24" i="15"/>
  <c r="BF44" i="15"/>
  <c r="W61" i="15"/>
  <c r="AT60" i="15"/>
  <c r="X52" i="15"/>
  <c r="X53" i="15" s="1"/>
  <c r="AV70" i="15"/>
  <c r="Y71" i="15"/>
  <c r="Y80" i="15" a="1"/>
  <c r="Y80" i="15" s="1"/>
  <c r="AL45" i="18"/>
  <c r="BF61" i="18"/>
  <c r="BF63" i="18"/>
  <c r="AL64" i="18"/>
  <c r="AM43" i="18"/>
  <c r="AM44" i="18" s="1"/>
  <c r="AK45" i="18"/>
  <c r="BF42" i="18"/>
  <c r="BF35" i="18"/>
  <c r="BF33" i="18"/>
  <c r="AS35" i="18"/>
  <c r="AM15" i="15"/>
  <c r="AN5" i="18"/>
  <c r="L5" i="18" s="1"/>
  <c r="I23" i="19" s="1"/>
  <c r="AS63" i="18"/>
  <c r="AS61" i="18"/>
  <c r="BF42" i="15"/>
  <c r="BF14" i="15"/>
  <c r="AU51" i="15"/>
  <c r="AM71" i="15"/>
  <c r="BF70" i="15"/>
  <c r="BF72" i="15"/>
  <c r="AV81" i="15"/>
  <c r="AC98" i="8"/>
  <c r="W98" i="8"/>
  <c r="G54" i="8"/>
  <c r="AC54" i="8"/>
  <c r="B55" i="8"/>
  <c r="D55" i="8"/>
  <c r="BF16" i="15"/>
  <c r="AL55" i="18"/>
  <c r="Q99" i="8"/>
  <c r="S99" i="8"/>
  <c r="AS117" i="18" l="1"/>
  <c r="AT54" i="18"/>
  <c r="Z15" i="15"/>
  <c r="AW14" i="15"/>
  <c r="Z34" i="15"/>
  <c r="Z5" i="15"/>
  <c r="BC196" i="18"/>
  <c r="BC216" i="18"/>
  <c r="AS169" i="18"/>
  <c r="AJ188" i="18"/>
  <c r="BC223" i="18"/>
  <c r="AS160" i="18"/>
  <c r="AS223" i="18"/>
  <c r="AN34" i="15"/>
  <c r="L34" i="15" s="1"/>
  <c r="L34" i="12" s="1"/>
  <c r="BC225" i="18"/>
  <c r="BC117" i="18"/>
  <c r="AS225" i="18"/>
  <c r="AJ224" i="18"/>
  <c r="AS144" i="18"/>
  <c r="AS196" i="18"/>
  <c r="BC234" i="18"/>
  <c r="BC243" i="18"/>
  <c r="BC187" i="18"/>
  <c r="BC241" i="18"/>
  <c r="AS216" i="18"/>
  <c r="AS162" i="18"/>
  <c r="AS214" i="18"/>
  <c r="BC189" i="18"/>
  <c r="AJ242" i="18"/>
  <c r="AS232" i="18"/>
  <c r="AS151" i="18"/>
  <c r="AS234" i="18"/>
  <c r="BC232" i="18"/>
  <c r="BC214" i="18"/>
  <c r="AJ215" i="18"/>
  <c r="AJ206" i="18"/>
  <c r="AS243" i="18"/>
  <c r="AS241" i="18"/>
  <c r="AJ233" i="18"/>
  <c r="BC106" i="18"/>
  <c r="BC160" i="18"/>
  <c r="AS187" i="18"/>
  <c r="AJ197" i="18"/>
  <c r="BC198" i="18"/>
  <c r="BC180" i="18"/>
  <c r="AS198" i="18"/>
  <c r="BC205" i="18"/>
  <c r="AS180" i="18"/>
  <c r="AS205" i="18"/>
  <c r="BC178" i="18"/>
  <c r="AS207" i="18"/>
  <c r="AS108" i="18"/>
  <c r="BC126" i="18"/>
  <c r="AS189" i="18"/>
  <c r="BC207" i="18"/>
  <c r="AS178" i="18"/>
  <c r="AJ179" i="18"/>
  <c r="AJ170" i="18"/>
  <c r="AS142" i="18"/>
  <c r="AS171" i="18"/>
  <c r="BC162" i="18"/>
  <c r="BC151" i="18"/>
  <c r="BD153" i="18" s="1"/>
  <c r="AJ161" i="18"/>
  <c r="AS153" i="18"/>
  <c r="AJ152" i="18"/>
  <c r="BC169" i="18"/>
  <c r="BC171" i="18"/>
  <c r="BC115" i="18"/>
  <c r="AJ116" i="18"/>
  <c r="BC142" i="18"/>
  <c r="BC144" i="18"/>
  <c r="AJ143" i="18"/>
  <c r="AJ107" i="18"/>
  <c r="AS115" i="18"/>
  <c r="AT115" i="18" s="1"/>
  <c r="BC108" i="18"/>
  <c r="AJ134" i="18"/>
  <c r="AS133" i="18"/>
  <c r="BC135" i="18"/>
  <c r="AS106" i="18"/>
  <c r="AJ125" i="18"/>
  <c r="BC124" i="18"/>
  <c r="BC133" i="18"/>
  <c r="AS124" i="18"/>
  <c r="AS126" i="18"/>
  <c r="AS135" i="18"/>
  <c r="AW81" i="15"/>
  <c r="AW72" i="15"/>
  <c r="AN24" i="15"/>
  <c r="H24" i="15" s="1"/>
  <c r="H33" i="12" s="1"/>
  <c r="AN43" i="15"/>
  <c r="N43" i="15" s="1"/>
  <c r="N35" i="12" s="1"/>
  <c r="BE53" i="15"/>
  <c r="BE60" i="15"/>
  <c r="AW33" i="15"/>
  <c r="AX33" i="15" s="1"/>
  <c r="AL61" i="15"/>
  <c r="BE62" i="15"/>
  <c r="AN53" i="18"/>
  <c r="N53" i="18" s="1"/>
  <c r="L17" i="19" s="1"/>
  <c r="AW16" i="15"/>
  <c r="AX14" i="15" s="1"/>
  <c r="AN5" i="15"/>
  <c r="H5" i="15" s="1"/>
  <c r="AN34" i="18"/>
  <c r="H34" i="18" s="1"/>
  <c r="F15" i="19" s="1"/>
  <c r="AL52" i="15"/>
  <c r="AL53" i="15" s="1"/>
  <c r="AW6" i="15"/>
  <c r="AN62" i="18"/>
  <c r="L62" i="18" s="1"/>
  <c r="AN15" i="15"/>
  <c r="J15" i="15" s="1"/>
  <c r="J32" i="12" s="1"/>
  <c r="AT42" i="18"/>
  <c r="AW4" i="15"/>
  <c r="AN80" i="15"/>
  <c r="AT52" i="18"/>
  <c r="AU52" i="18" s="1"/>
  <c r="AT44" i="18"/>
  <c r="BE51" i="15"/>
  <c r="AM64" i="18"/>
  <c r="Z24" i="15"/>
  <c r="AT33" i="18"/>
  <c r="AW70" i="15"/>
  <c r="Z71" i="15"/>
  <c r="AW23" i="15"/>
  <c r="AW25" i="15"/>
  <c r="AW6" i="18"/>
  <c r="AX6" i="18" s="1"/>
  <c r="Z43" i="15"/>
  <c r="AW44" i="15"/>
  <c r="AW42" i="15"/>
  <c r="Z80" i="15" a="1"/>
  <c r="Z80" i="15" s="1"/>
  <c r="X61" i="15"/>
  <c r="AU60" i="15"/>
  <c r="AU62" i="15"/>
  <c r="AV51" i="15"/>
  <c r="Y52" i="15"/>
  <c r="Y53" i="15" s="1"/>
  <c r="AT61" i="18"/>
  <c r="J43" i="18"/>
  <c r="H16" i="19" s="1"/>
  <c r="AM45" i="18"/>
  <c r="AM55" i="18"/>
  <c r="H5" i="18"/>
  <c r="E23" i="19" s="1"/>
  <c r="N5" i="18"/>
  <c r="K23" i="19" s="1"/>
  <c r="J5" i="18"/>
  <c r="G23" i="19" s="1"/>
  <c r="H43" i="18"/>
  <c r="N43" i="18"/>
  <c r="L43" i="18"/>
  <c r="AN44" i="18"/>
  <c r="AT35" i="18"/>
  <c r="AV53" i="15"/>
  <c r="AT63" i="18"/>
  <c r="AN71" i="15"/>
  <c r="H71" i="15" s="1"/>
  <c r="H38" i="12" s="1"/>
  <c r="AW79" i="15"/>
  <c r="AB55" i="8"/>
  <c r="E55" i="8"/>
  <c r="AB99" i="8"/>
  <c r="T99" i="8"/>
  <c r="AA55" i="8"/>
  <c r="H55" i="8"/>
  <c r="C55" i="8"/>
  <c r="X99" i="8"/>
  <c r="AA99" i="8"/>
  <c r="R99" i="8"/>
  <c r="AK197" i="18" l="1"/>
  <c r="AM52" i="15"/>
  <c r="AM53" i="15" s="1"/>
  <c r="BD214" i="18"/>
  <c r="AA5" i="15"/>
  <c r="AA34" i="15"/>
  <c r="AA15" i="15"/>
  <c r="AA71" i="15"/>
  <c r="H34" i="15"/>
  <c r="H34" i="12" s="1"/>
  <c r="N34" i="15"/>
  <c r="N34" i="12" s="1"/>
  <c r="J34" i="15"/>
  <c r="J34" i="12" s="1"/>
  <c r="AK224" i="18"/>
  <c r="AT162" i="18"/>
  <c r="BD189" i="18"/>
  <c r="AT169" i="18"/>
  <c r="BD234" i="18"/>
  <c r="AT223" i="18"/>
  <c r="BD241" i="18"/>
  <c r="BD117" i="18"/>
  <c r="AT160" i="18"/>
  <c r="BD223" i="18"/>
  <c r="BD225" i="18"/>
  <c r="BD187" i="18"/>
  <c r="AT196" i="18"/>
  <c r="AT142" i="18"/>
  <c r="AT225" i="18"/>
  <c r="AK242" i="18"/>
  <c r="AT216" i="18"/>
  <c r="AT153" i="18"/>
  <c r="AK188" i="18"/>
  <c r="BD243" i="18"/>
  <c r="AT214" i="18"/>
  <c r="AK233" i="18"/>
  <c r="AT207" i="18"/>
  <c r="BD106" i="18"/>
  <c r="BD232" i="18"/>
  <c r="AK215" i="18"/>
  <c r="BD160" i="18"/>
  <c r="AT189" i="18"/>
  <c r="AT198" i="18"/>
  <c r="AU198" i="18" s="1"/>
  <c r="BD216" i="18"/>
  <c r="BD205" i="18"/>
  <c r="AT243" i="18"/>
  <c r="AT187" i="18"/>
  <c r="AT232" i="18"/>
  <c r="AT234" i="18"/>
  <c r="AT241" i="18"/>
  <c r="AT144" i="18"/>
  <c r="BD198" i="18"/>
  <c r="BD196" i="18"/>
  <c r="AT205" i="18"/>
  <c r="AK179" i="18"/>
  <c r="AT178" i="18"/>
  <c r="AT180" i="18"/>
  <c r="BD207" i="18"/>
  <c r="BD180" i="18"/>
  <c r="BD178" i="18"/>
  <c r="BD142" i="18"/>
  <c r="AK161" i="18"/>
  <c r="BD162" i="18"/>
  <c r="AT151" i="18"/>
  <c r="AK206" i="18"/>
  <c r="AK134" i="18"/>
  <c r="BD151" i="18"/>
  <c r="BE153" i="18" s="1"/>
  <c r="AT171" i="18"/>
  <c r="BD171" i="18"/>
  <c r="AK152" i="18"/>
  <c r="BD115" i="18"/>
  <c r="AK116" i="18"/>
  <c r="BD169" i="18"/>
  <c r="AK170" i="18"/>
  <c r="AT126" i="18"/>
  <c r="AK143" i="18"/>
  <c r="BD144" i="18"/>
  <c r="AT117" i="18"/>
  <c r="AU115" i="18" s="1"/>
  <c r="AT135" i="18"/>
  <c r="AT124" i="18"/>
  <c r="AK107" i="18"/>
  <c r="BD108" i="18"/>
  <c r="BD133" i="18"/>
  <c r="BD135" i="18"/>
  <c r="AT133" i="18"/>
  <c r="AT108" i="18"/>
  <c r="AT106" i="18"/>
  <c r="BD126" i="18"/>
  <c r="BD124" i="18"/>
  <c r="AK125" i="18"/>
  <c r="L43" i="15"/>
  <c r="L35" i="12" s="1"/>
  <c r="J43" i="15"/>
  <c r="J35" i="12" s="1"/>
  <c r="J24" i="15"/>
  <c r="J33" i="12" s="1"/>
  <c r="H43" i="15"/>
  <c r="H35" i="12" s="1"/>
  <c r="AU42" i="18"/>
  <c r="N24" i="15"/>
  <c r="N33" i="12" s="1"/>
  <c r="L24" i="15"/>
  <c r="L33" i="12" s="1"/>
  <c r="AM61" i="15"/>
  <c r="AN54" i="18"/>
  <c r="AN55" i="18" s="1"/>
  <c r="L53" i="18"/>
  <c r="J17" i="19" s="1"/>
  <c r="J53" i="18"/>
  <c r="H17" i="19" s="1"/>
  <c r="H53" i="18"/>
  <c r="F17" i="19" s="1"/>
  <c r="L34" i="18"/>
  <c r="J15" i="19" s="1"/>
  <c r="AX35" i="15"/>
  <c r="AB34" i="15" s="1"/>
  <c r="BF62" i="15"/>
  <c r="BF60" i="15"/>
  <c r="J34" i="18"/>
  <c r="H15" i="19" s="1"/>
  <c r="AX4" i="15"/>
  <c r="AN35" i="18"/>
  <c r="AN45" i="18" s="1"/>
  <c r="AX16" i="15"/>
  <c r="AB15" i="15" s="1"/>
  <c r="L5" i="15"/>
  <c r="J62" i="18"/>
  <c r="H18" i="19" s="1"/>
  <c r="AX72" i="15"/>
  <c r="J5" i="15"/>
  <c r="N15" i="15"/>
  <c r="N32" i="12" s="1"/>
  <c r="N34" i="18"/>
  <c r="L15" i="19" s="1"/>
  <c r="N5" i="15"/>
  <c r="N62" i="18"/>
  <c r="L18" i="19" s="1"/>
  <c r="AX6" i="15"/>
  <c r="BF53" i="15"/>
  <c r="AX70" i="15"/>
  <c r="AB71" i="15" s="1"/>
  <c r="BF51" i="15"/>
  <c r="AN63" i="18"/>
  <c r="H15" i="15"/>
  <c r="H32" i="12" s="1"/>
  <c r="H62" i="18"/>
  <c r="F18" i="19" s="1"/>
  <c r="L15" i="15"/>
  <c r="L32" i="12" s="1"/>
  <c r="J80" i="15"/>
  <c r="J39" i="12" s="1"/>
  <c r="H80" i="15"/>
  <c r="H39" i="12" s="1"/>
  <c r="L80" i="15"/>
  <c r="L39" i="12" s="1"/>
  <c r="N80" i="15"/>
  <c r="N39" i="12" s="1"/>
  <c r="AU54" i="18"/>
  <c r="AV52" i="18" s="1"/>
  <c r="AU44" i="18"/>
  <c r="AU33" i="18"/>
  <c r="AX4" i="18"/>
  <c r="AA24" i="15"/>
  <c r="AX25" i="15"/>
  <c r="AX23" i="15"/>
  <c r="AW53" i="15"/>
  <c r="AW51" i="15"/>
  <c r="AX42" i="15"/>
  <c r="AA43" i="15"/>
  <c r="AX44" i="15"/>
  <c r="AX79" i="15"/>
  <c r="AA80" i="15" a="1"/>
  <c r="AA80" i="15" s="1"/>
  <c r="M55" i="8"/>
  <c r="D56" i="8" s="1"/>
  <c r="Y61" i="15"/>
  <c r="AV60" i="15"/>
  <c r="AV62" i="15"/>
  <c r="Z52" i="15"/>
  <c r="Z53" i="15" s="1"/>
  <c r="AU61" i="18"/>
  <c r="F16" i="19"/>
  <c r="L16" i="19"/>
  <c r="J16" i="19"/>
  <c r="AU35" i="18"/>
  <c r="AU63" i="18"/>
  <c r="U99" i="8"/>
  <c r="P100" i="8" s="1"/>
  <c r="S100" i="8" s="1"/>
  <c r="AX81" i="15"/>
  <c r="J71" i="15"/>
  <c r="J38" i="12" s="1"/>
  <c r="N71" i="15"/>
  <c r="N38" i="12" s="1"/>
  <c r="L71" i="15"/>
  <c r="L38" i="12" s="1"/>
  <c r="J18" i="19"/>
  <c r="AD55" i="8"/>
  <c r="F55" i="8"/>
  <c r="I55" i="8"/>
  <c r="V99" i="8"/>
  <c r="AD99" i="8"/>
  <c r="Y99" i="8"/>
  <c r="BE214" i="18" l="1"/>
  <c r="AU171" i="18"/>
  <c r="G15" i="15"/>
  <c r="F15" i="15" s="1"/>
  <c r="F32" i="12" s="1"/>
  <c r="G34" i="15"/>
  <c r="I34" i="15" s="1"/>
  <c r="I34" i="12" s="1"/>
  <c r="AN64" i="18"/>
  <c r="G71" i="15"/>
  <c r="I71" i="15" s="1"/>
  <c r="I38" i="12" s="1"/>
  <c r="BE243" i="18"/>
  <c r="AB5" i="15"/>
  <c r="G5" i="15" s="1"/>
  <c r="F5" i="15" s="1"/>
  <c r="BE189" i="18"/>
  <c r="AU160" i="18"/>
  <c r="AU162" i="18"/>
  <c r="AL224" i="18"/>
  <c r="BE225" i="18"/>
  <c r="BE117" i="18"/>
  <c r="BE232" i="18"/>
  <c r="AU225" i="18"/>
  <c r="BE223" i="18"/>
  <c r="AU144" i="18"/>
  <c r="AU214" i="18"/>
  <c r="AL215" i="18"/>
  <c r="AU205" i="18"/>
  <c r="AU243" i="18"/>
  <c r="AU216" i="18"/>
  <c r="AU196" i="18"/>
  <c r="AV196" i="18" s="1"/>
  <c r="BE187" i="18"/>
  <c r="AM188" i="18" s="1"/>
  <c r="AU142" i="18"/>
  <c r="BE216" i="18"/>
  <c r="AM215" i="18" s="1"/>
  <c r="AL107" i="18"/>
  <c r="AL188" i="18"/>
  <c r="AU187" i="18"/>
  <c r="AL161" i="18"/>
  <c r="BE241" i="18"/>
  <c r="AU223" i="18"/>
  <c r="BE178" i="18"/>
  <c r="AU153" i="18"/>
  <c r="BE234" i="18"/>
  <c r="BE205" i="18"/>
  <c r="BE160" i="18"/>
  <c r="AL197" i="18"/>
  <c r="AL233" i="18"/>
  <c r="AU189" i="18"/>
  <c r="AU180" i="18"/>
  <c r="AU241" i="18"/>
  <c r="AU232" i="18"/>
  <c r="AL206" i="18"/>
  <c r="BE198" i="18"/>
  <c r="AU151" i="18"/>
  <c r="AU234" i="18"/>
  <c r="BE196" i="18"/>
  <c r="AL179" i="18"/>
  <c r="AU207" i="18"/>
  <c r="BE162" i="18"/>
  <c r="AU178" i="18"/>
  <c r="BE180" i="18"/>
  <c r="BE207" i="18"/>
  <c r="AL116" i="18"/>
  <c r="BE151" i="18"/>
  <c r="BF153" i="18" s="1"/>
  <c r="BE115" i="18"/>
  <c r="BE169" i="18"/>
  <c r="AL152" i="18"/>
  <c r="AU169" i="18"/>
  <c r="AV171" i="18" s="1"/>
  <c r="AU126" i="18"/>
  <c r="AL170" i="18"/>
  <c r="BE171" i="18"/>
  <c r="BE144" i="18"/>
  <c r="AL143" i="18"/>
  <c r="BE142" i="18"/>
  <c r="BE108" i="18"/>
  <c r="AU117" i="18"/>
  <c r="AV117" i="18" s="1"/>
  <c r="BE133" i="18"/>
  <c r="AU124" i="18"/>
  <c r="BE106" i="18"/>
  <c r="AL134" i="18"/>
  <c r="AU106" i="18"/>
  <c r="BE135" i="18"/>
  <c r="AU135" i="18"/>
  <c r="AL125" i="18"/>
  <c r="AU133" i="18"/>
  <c r="BE124" i="18"/>
  <c r="BE126" i="18"/>
  <c r="AU108" i="18"/>
  <c r="AV44" i="18"/>
  <c r="AN61" i="15"/>
  <c r="N61" i="15" s="1"/>
  <c r="N37" i="12" s="1"/>
  <c r="AN52" i="15"/>
  <c r="AN53" i="15" s="1"/>
  <c r="AV54" i="18"/>
  <c r="AW54" i="18" s="1"/>
  <c r="I15" i="15"/>
  <c r="I32" i="12" s="1"/>
  <c r="AV42" i="18"/>
  <c r="G32" i="12"/>
  <c r="AV35" i="18"/>
  <c r="AB24" i="15"/>
  <c r="G24" i="15" s="1"/>
  <c r="I24" i="15" s="1"/>
  <c r="I33" i="12" s="1"/>
  <c r="AX53" i="15"/>
  <c r="AX51" i="15"/>
  <c r="B56" i="8"/>
  <c r="C56" i="8" s="1"/>
  <c r="AA52" i="15"/>
  <c r="AA53" i="15" s="1"/>
  <c r="AB43" i="15"/>
  <c r="G43" i="15" s="1"/>
  <c r="AB80" i="15" a="1"/>
  <c r="AB80" i="15" s="1"/>
  <c r="G80" i="15" s="1"/>
  <c r="G39" i="12" s="1"/>
  <c r="AW62" i="15"/>
  <c r="AW60" i="15"/>
  <c r="Z61" i="15"/>
  <c r="AV61" i="18"/>
  <c r="AV63" i="18"/>
  <c r="AV33" i="18"/>
  <c r="Q100" i="8"/>
  <c r="R100" i="8" s="1"/>
  <c r="AB56" i="8"/>
  <c r="E56" i="8"/>
  <c r="AC99" i="8"/>
  <c r="W99" i="8"/>
  <c r="AC55" i="8"/>
  <c r="G55" i="8"/>
  <c r="AB100" i="8"/>
  <c r="T100" i="8"/>
  <c r="F34" i="15" l="1"/>
  <c r="F34" i="12" s="1"/>
  <c r="F71" i="15"/>
  <c r="F38" i="12" s="1"/>
  <c r="G38" i="12"/>
  <c r="G34" i="12"/>
  <c r="BF241" i="18"/>
  <c r="AV144" i="18"/>
  <c r="AV160" i="18"/>
  <c r="AV162" i="18"/>
  <c r="I5" i="15"/>
  <c r="M5" i="15" s="1"/>
  <c r="K5" i="15" s="1"/>
  <c r="BF223" i="18"/>
  <c r="BF162" i="18"/>
  <c r="AV198" i="18"/>
  <c r="AW196" i="18" s="1"/>
  <c r="BF232" i="18"/>
  <c r="AV225" i="18"/>
  <c r="BF225" i="18"/>
  <c r="AM224" i="18"/>
  <c r="BF117" i="18"/>
  <c r="AV142" i="18"/>
  <c r="AV243" i="18"/>
  <c r="AV187" i="18"/>
  <c r="AV214" i="18"/>
  <c r="AV205" i="18"/>
  <c r="AV216" i="18"/>
  <c r="BF187" i="18"/>
  <c r="AV189" i="18"/>
  <c r="BF189" i="18"/>
  <c r="BF216" i="18"/>
  <c r="BF214" i="18"/>
  <c r="BF234" i="18"/>
  <c r="AV223" i="18"/>
  <c r="BF243" i="18"/>
  <c r="BF178" i="18"/>
  <c r="AV153" i="18"/>
  <c r="AV151" i="18"/>
  <c r="AV234" i="18"/>
  <c r="AV178" i="18"/>
  <c r="AV241" i="18"/>
  <c r="AM233" i="18"/>
  <c r="AV207" i="18"/>
  <c r="BF160" i="18"/>
  <c r="AM161" i="18"/>
  <c r="AM206" i="18"/>
  <c r="BF198" i="18"/>
  <c r="AM170" i="18"/>
  <c r="AM116" i="18"/>
  <c r="BF115" i="18"/>
  <c r="BF196" i="18"/>
  <c r="AM197" i="18"/>
  <c r="AV232" i="18"/>
  <c r="AM179" i="18"/>
  <c r="AM152" i="18"/>
  <c r="BF180" i="18"/>
  <c r="AV180" i="18"/>
  <c r="BF207" i="18"/>
  <c r="BF205" i="18"/>
  <c r="BF106" i="18"/>
  <c r="BF151" i="18"/>
  <c r="AN152" i="18" s="1"/>
  <c r="AV106" i="18"/>
  <c r="BF171" i="18"/>
  <c r="AV169" i="18"/>
  <c r="AW171" i="18" s="1"/>
  <c r="BF169" i="18"/>
  <c r="AV126" i="18"/>
  <c r="BF142" i="18"/>
  <c r="BF144" i="18"/>
  <c r="AM143" i="18"/>
  <c r="BF135" i="18"/>
  <c r="AV115" i="18"/>
  <c r="AW115" i="18" s="1"/>
  <c r="AM134" i="18"/>
  <c r="AV135" i="18"/>
  <c r="AV124" i="18"/>
  <c r="BF108" i="18"/>
  <c r="AM107" i="18"/>
  <c r="BF124" i="18"/>
  <c r="BF133" i="18"/>
  <c r="AN134" i="18" s="1"/>
  <c r="AV133" i="18"/>
  <c r="AM125" i="18"/>
  <c r="BF126" i="18"/>
  <c r="AV108" i="18"/>
  <c r="AW44" i="18"/>
  <c r="J61" i="15"/>
  <c r="J37" i="12" s="1"/>
  <c r="H61" i="15"/>
  <c r="H37" i="12" s="1"/>
  <c r="L61" i="15"/>
  <c r="L37" i="12" s="1"/>
  <c r="N52" i="15"/>
  <c r="N36" i="12" s="1"/>
  <c r="H52" i="15"/>
  <c r="H36" i="12" s="1"/>
  <c r="J52" i="15"/>
  <c r="J36" i="12" s="1"/>
  <c r="L52" i="15"/>
  <c r="L36" i="12" s="1"/>
  <c r="AW52" i="18"/>
  <c r="AX54" i="18" s="1"/>
  <c r="M15" i="15"/>
  <c r="M32" i="12" s="1"/>
  <c r="AA56" i="8"/>
  <c r="AW42" i="18"/>
  <c r="F24" i="15"/>
  <c r="F33" i="12" s="1"/>
  <c r="AW33" i="18"/>
  <c r="AB52" i="15"/>
  <c r="AB53" i="15" s="1"/>
  <c r="H56" i="8"/>
  <c r="F56" i="8" s="1"/>
  <c r="G33" i="12"/>
  <c r="M24" i="15"/>
  <c r="M33" i="12" s="1"/>
  <c r="F80" i="15"/>
  <c r="F39" i="12" s="1"/>
  <c r="I80" i="15"/>
  <c r="I39" i="12" s="1"/>
  <c r="F36" i="15"/>
  <c r="G35" i="12"/>
  <c r="I43" i="15"/>
  <c r="I35" i="12" s="1"/>
  <c r="F43" i="15"/>
  <c r="AA100" i="8"/>
  <c r="X100" i="8"/>
  <c r="V100" i="8" s="1"/>
  <c r="AA61" i="15"/>
  <c r="M34" i="15"/>
  <c r="AX60" i="15"/>
  <c r="AX62" i="15"/>
  <c r="AW61" i="18"/>
  <c r="AW63" i="18"/>
  <c r="AW35" i="18"/>
  <c r="M71" i="15"/>
  <c r="K71" i="15" s="1"/>
  <c r="K38" i="12" s="1"/>
  <c r="M56" i="8"/>
  <c r="U100" i="8"/>
  <c r="P101" i="8" s="1"/>
  <c r="AW198" i="18" l="1"/>
  <c r="AW144" i="18"/>
  <c r="AW162" i="18"/>
  <c r="AW160" i="18"/>
  <c r="AN161" i="18"/>
  <c r="H161" i="18" s="1"/>
  <c r="AN233" i="18"/>
  <c r="L233" i="18" s="1"/>
  <c r="AW223" i="18"/>
  <c r="AN224" i="18"/>
  <c r="L224" i="18" s="1"/>
  <c r="AW189" i="18"/>
  <c r="AN116" i="18"/>
  <c r="N116" i="18" s="1"/>
  <c r="AW216" i="18"/>
  <c r="AW241" i="18"/>
  <c r="AW142" i="18"/>
  <c r="AX142" i="18" s="1"/>
  <c r="AN215" i="18"/>
  <c r="H215" i="18" s="1"/>
  <c r="AW205" i="18"/>
  <c r="AN197" i="18"/>
  <c r="L197" i="18" s="1"/>
  <c r="AW214" i="18"/>
  <c r="AN188" i="18"/>
  <c r="N188" i="18" s="1"/>
  <c r="AW187" i="18"/>
  <c r="AN206" i="18"/>
  <c r="L206" i="18" s="1"/>
  <c r="AW180" i="18"/>
  <c r="AW207" i="18"/>
  <c r="AN179" i="18"/>
  <c r="N179" i="18" s="1"/>
  <c r="AW225" i="18"/>
  <c r="AW153" i="18"/>
  <c r="AW151" i="18"/>
  <c r="AN107" i="18"/>
  <c r="L107" i="18" s="1"/>
  <c r="AX160" i="18"/>
  <c r="AW178" i="18"/>
  <c r="AW243" i="18"/>
  <c r="AW106" i="18"/>
  <c r="L134" i="18"/>
  <c r="H152" i="18"/>
  <c r="AW232" i="18"/>
  <c r="AW234" i="18"/>
  <c r="AN143" i="18"/>
  <c r="AX198" i="18"/>
  <c r="AN170" i="18"/>
  <c r="J170" i="18" s="1"/>
  <c r="J161" i="18"/>
  <c r="AW124" i="18"/>
  <c r="AX196" i="18"/>
  <c r="J152" i="18"/>
  <c r="L152" i="18"/>
  <c r="N152" i="18"/>
  <c r="AW169" i="18"/>
  <c r="AX169" i="18" s="1"/>
  <c r="AW135" i="18"/>
  <c r="AW117" i="18"/>
  <c r="AX117" i="18" s="1"/>
  <c r="AW126" i="18"/>
  <c r="AN125" i="18"/>
  <c r="N125" i="18" s="1"/>
  <c r="H134" i="18"/>
  <c r="J134" i="18"/>
  <c r="AW133" i="18"/>
  <c r="N134" i="18"/>
  <c r="AW108" i="18"/>
  <c r="AX42" i="18"/>
  <c r="K15" i="15"/>
  <c r="K32" i="12" s="1"/>
  <c r="AX52" i="18"/>
  <c r="AX44" i="18"/>
  <c r="AX35" i="18"/>
  <c r="K24" i="15"/>
  <c r="K33" i="12" s="1"/>
  <c r="I56" i="8"/>
  <c r="G52" i="15"/>
  <c r="F52" i="15" s="1"/>
  <c r="F36" i="12" s="1"/>
  <c r="AD56" i="8"/>
  <c r="Y100" i="8"/>
  <c r="M80" i="15"/>
  <c r="M39" i="12" s="1"/>
  <c r="AD100" i="8"/>
  <c r="AB61" i="15"/>
  <c r="G61" i="15" s="1"/>
  <c r="M43" i="15"/>
  <c r="F35" i="12"/>
  <c r="F45" i="15"/>
  <c r="AX61" i="18"/>
  <c r="K34" i="15"/>
  <c r="K34" i="12" s="1"/>
  <c r="M34" i="12"/>
  <c r="AX63" i="18"/>
  <c r="AX33" i="18"/>
  <c r="M38" i="12"/>
  <c r="AC56" i="8"/>
  <c r="G56" i="8"/>
  <c r="D57" i="8"/>
  <c r="B57" i="8"/>
  <c r="AC100" i="8"/>
  <c r="W100" i="8"/>
  <c r="S101" i="8"/>
  <c r="Q101" i="8"/>
  <c r="AX225" i="18" l="1"/>
  <c r="AX162" i="18"/>
  <c r="L161" i="18"/>
  <c r="N161" i="18"/>
  <c r="H233" i="18"/>
  <c r="N233" i="18"/>
  <c r="J233" i="18"/>
  <c r="J116" i="18"/>
  <c r="N224" i="18"/>
  <c r="J224" i="18"/>
  <c r="H224" i="18"/>
  <c r="AX214" i="18"/>
  <c r="AX144" i="18"/>
  <c r="AX178" i="18"/>
  <c r="N197" i="18"/>
  <c r="L116" i="18"/>
  <c r="AX189" i="18"/>
  <c r="AX207" i="18"/>
  <c r="H116" i="18"/>
  <c r="H197" i="18"/>
  <c r="J197" i="18"/>
  <c r="N215" i="18"/>
  <c r="AX216" i="18"/>
  <c r="AX187" i="18"/>
  <c r="L215" i="18"/>
  <c r="J215" i="18"/>
  <c r="J188" i="18"/>
  <c r="L188" i="18"/>
  <c r="H188" i="18"/>
  <c r="J206" i="18"/>
  <c r="AX205" i="18"/>
  <c r="N206" i="18"/>
  <c r="H206" i="18"/>
  <c r="AX153" i="18"/>
  <c r="AX151" i="18"/>
  <c r="J179" i="18"/>
  <c r="H179" i="18"/>
  <c r="L179" i="18"/>
  <c r="AX223" i="18"/>
  <c r="AX180" i="18"/>
  <c r="AX106" i="18"/>
  <c r="N107" i="18"/>
  <c r="H107" i="18"/>
  <c r="J107" i="18"/>
  <c r="AX126" i="18"/>
  <c r="AX243" i="18"/>
  <c r="AX241" i="18"/>
  <c r="AX234" i="18"/>
  <c r="AX232" i="18"/>
  <c r="L143" i="18"/>
  <c r="N143" i="18"/>
  <c r="H143" i="18"/>
  <c r="J143" i="18"/>
  <c r="L170" i="18"/>
  <c r="H170" i="18"/>
  <c r="N170" i="18"/>
  <c r="AX171" i="18"/>
  <c r="AX133" i="18"/>
  <c r="AX115" i="18"/>
  <c r="AX124" i="18"/>
  <c r="L125" i="18"/>
  <c r="AX135" i="18"/>
  <c r="H125" i="18"/>
  <c r="J125" i="18"/>
  <c r="AX108" i="18"/>
  <c r="G36" i="12"/>
  <c r="I52" i="15"/>
  <c r="I36" i="12" s="1"/>
  <c r="K80" i="15"/>
  <c r="K39" i="12" s="1"/>
  <c r="I61" i="15"/>
  <c r="I37" i="12" s="1"/>
  <c r="G37" i="12"/>
  <c r="F61" i="15"/>
  <c r="F37" i="12" s="1"/>
  <c r="M35" i="12"/>
  <c r="K43" i="15"/>
  <c r="K35" i="12" s="1"/>
  <c r="AA57" i="8"/>
  <c r="H57" i="8"/>
  <c r="C57" i="8"/>
  <c r="AB57" i="8"/>
  <c r="E57" i="8"/>
  <c r="AA101" i="8"/>
  <c r="X101" i="8"/>
  <c r="R101" i="8"/>
  <c r="AB101" i="8"/>
  <c r="T101" i="8"/>
  <c r="M52" i="15" l="1"/>
  <c r="K52" i="15" s="1"/>
  <c r="K36" i="12" s="1"/>
  <c r="M61" i="15"/>
  <c r="M37" i="12" s="1"/>
  <c r="U101" i="8"/>
  <c r="P102" i="8" s="1"/>
  <c r="S102" i="8" s="1"/>
  <c r="M57" i="8"/>
  <c r="AD101" i="8"/>
  <c r="V101" i="8"/>
  <c r="Y101" i="8"/>
  <c r="F57" i="8"/>
  <c r="AD57" i="8"/>
  <c r="I57" i="8"/>
  <c r="M36" i="12" l="1"/>
  <c r="K61" i="15"/>
  <c r="K37" i="12" s="1"/>
  <c r="Q102" i="8"/>
  <c r="R102" i="8" s="1"/>
  <c r="AC101" i="8"/>
  <c r="W101" i="8"/>
  <c r="B58" i="8"/>
  <c r="D58" i="8"/>
  <c r="AC57" i="8"/>
  <c r="G57" i="8"/>
  <c r="AB102" i="8"/>
  <c r="T102" i="8"/>
  <c r="X102" i="8" l="1"/>
  <c r="AD102" i="8" s="1"/>
  <c r="AA102" i="8"/>
  <c r="AB58" i="8"/>
  <c r="E58" i="8"/>
  <c r="U102" i="8"/>
  <c r="P103" i="8" s="1"/>
  <c r="AA58" i="8"/>
  <c r="H58" i="8"/>
  <c r="C58" i="8"/>
  <c r="Y102" i="8" l="1"/>
  <c r="V102" i="8"/>
  <c r="AC102" i="8" s="1"/>
  <c r="M58" i="8"/>
  <c r="D59" i="8" s="1"/>
  <c r="AD58" i="8"/>
  <c r="F58" i="8"/>
  <c r="I58" i="8"/>
  <c r="S103" i="8"/>
  <c r="Q103" i="8"/>
  <c r="B59" i="8" l="1"/>
  <c r="H59" i="8" s="1"/>
  <c r="W102" i="8"/>
  <c r="AB103" i="8"/>
  <c r="T103" i="8"/>
  <c r="AB59" i="8"/>
  <c r="E59" i="8"/>
  <c r="AA103" i="8"/>
  <c r="X103" i="8"/>
  <c r="R103" i="8"/>
  <c r="AC58" i="8"/>
  <c r="G58" i="8"/>
  <c r="C59" i="8" l="1"/>
  <c r="M59" i="8" s="1"/>
  <c r="AA59" i="8"/>
  <c r="U103" i="8"/>
  <c r="P104" i="8" s="1"/>
  <c r="AD59" i="8"/>
  <c r="F59" i="8"/>
  <c r="I59" i="8"/>
  <c r="V103" i="8"/>
  <c r="AD103" i="8"/>
  <c r="Y103" i="8"/>
  <c r="AC59" i="8" l="1"/>
  <c r="G59" i="8"/>
  <c r="Q104" i="8"/>
  <c r="S104" i="8"/>
  <c r="D60" i="8"/>
  <c r="B60" i="8"/>
  <c r="AC103" i="8"/>
  <c r="W103" i="8"/>
  <c r="AA104" i="8" l="1"/>
  <c r="X104" i="8"/>
  <c r="R104" i="8"/>
  <c r="AA60" i="8"/>
  <c r="H60" i="8"/>
  <c r="C60" i="8"/>
  <c r="AB60" i="8"/>
  <c r="E60" i="8"/>
  <c r="AB104" i="8"/>
  <c r="T104" i="8"/>
  <c r="M60" i="8" l="1"/>
  <c r="D61" i="8" s="1"/>
  <c r="U104" i="8"/>
  <c r="P105" i="8" s="1"/>
  <c r="S105" i="8" s="1"/>
  <c r="AD104" i="8"/>
  <c r="V104" i="8"/>
  <c r="Y104" i="8"/>
  <c r="F60" i="8"/>
  <c r="AD60" i="8"/>
  <c r="I60" i="8"/>
  <c r="B61" i="8" l="1"/>
  <c r="AA61" i="8" s="1"/>
  <c r="Q105" i="8"/>
  <c r="AA105" i="8" s="1"/>
  <c r="AC104" i="8"/>
  <c r="W104" i="8"/>
  <c r="AC60" i="8"/>
  <c r="G60" i="8"/>
  <c r="AB61" i="8"/>
  <c r="E61" i="8"/>
  <c r="AB105" i="8"/>
  <c r="T105" i="8"/>
  <c r="R105" i="8" l="1"/>
  <c r="U105" i="8" s="1"/>
  <c r="P106" i="8" s="1"/>
  <c r="X105" i="8"/>
  <c r="AD105" i="8" s="1"/>
  <c r="H61" i="8"/>
  <c r="AD61" i="8" s="1"/>
  <c r="C61" i="8"/>
  <c r="M61" i="8" s="1"/>
  <c r="V105" i="8" l="1"/>
  <c r="AC105" i="8" s="1"/>
  <c r="I61" i="8"/>
  <c r="F61" i="8"/>
  <c r="AC61" i="8" s="1"/>
  <c r="Y105" i="8"/>
  <c r="B62" i="8"/>
  <c r="D62" i="8"/>
  <c r="S106" i="8"/>
  <c r="Q106" i="8"/>
  <c r="W105" i="8" l="1"/>
  <c r="G61" i="8"/>
  <c r="AB62" i="8"/>
  <c r="E62" i="8"/>
  <c r="X106" i="8"/>
  <c r="AA106" i="8"/>
  <c r="R106" i="8"/>
  <c r="AA62" i="8"/>
  <c r="H62" i="8"/>
  <c r="C62" i="8"/>
  <c r="AB106" i="8"/>
  <c r="T106" i="8"/>
  <c r="M62" i="8" l="1"/>
  <c r="D63" i="8" s="1"/>
  <c r="U106" i="8"/>
  <c r="P107" i="8" s="1"/>
  <c r="Q107" i="8" s="1"/>
  <c r="V106" i="8"/>
  <c r="AD106" i="8"/>
  <c r="Y106" i="8"/>
  <c r="AD62" i="8"/>
  <c r="F62" i="8"/>
  <c r="I62" i="8"/>
  <c r="B63" i="8" l="1"/>
  <c r="H63" i="8" s="1"/>
  <c r="S107" i="8"/>
  <c r="AB63" i="8"/>
  <c r="E63" i="8"/>
  <c r="AC62" i="8"/>
  <c r="G62" i="8"/>
  <c r="AC106" i="8"/>
  <c r="W106" i="8"/>
  <c r="AA107" i="8"/>
  <c r="R107" i="8"/>
  <c r="T107" i="8" l="1"/>
  <c r="U107" i="8" s="1"/>
  <c r="P108" i="8" s="1"/>
  <c r="Q108" i="8" s="1"/>
  <c r="C63" i="8"/>
  <c r="M63" i="8" s="1"/>
  <c r="B64" i="8" s="1"/>
  <c r="AA63" i="8"/>
  <c r="AB107" i="8"/>
  <c r="X107" i="8"/>
  <c r="Y107" i="8" s="1"/>
  <c r="AD63" i="8"/>
  <c r="F63" i="8"/>
  <c r="I63" i="8"/>
  <c r="V107" i="8" l="1"/>
  <c r="W107" i="8" s="1"/>
  <c r="AD107" i="8"/>
  <c r="D64" i="8"/>
  <c r="D65" i="8" s="1"/>
  <c r="B74" i="8" s="1"/>
  <c r="S108" i="8"/>
  <c r="B125" i="8" s="1"/>
  <c r="AC63" i="8"/>
  <c r="G63" i="8"/>
  <c r="AA64" i="8"/>
  <c r="B65" i="8"/>
  <c r="B84" i="8" s="1"/>
  <c r="C64" i="8"/>
  <c r="AA108" i="8"/>
  <c r="R108" i="8"/>
  <c r="Q109" i="8"/>
  <c r="B127" i="8" s="1"/>
  <c r="B129" i="8" s="1"/>
  <c r="B130" i="8"/>
  <c r="AG109" i="8" l="1"/>
  <c r="AG115" i="8" s="1"/>
  <c r="AC107" i="8"/>
  <c r="AB64" i="8"/>
  <c r="AB65" i="8" s="1"/>
  <c r="H64" i="8"/>
  <c r="H65" i="8" s="1"/>
  <c r="B79" i="8" s="1"/>
  <c r="E64" i="8"/>
  <c r="M64" i="8" s="1"/>
  <c r="X108" i="8"/>
  <c r="V108" i="8" s="1"/>
  <c r="B120" i="8"/>
  <c r="S109" i="8"/>
  <c r="AJ109" i="8" s="1"/>
  <c r="AJ115" i="8" s="1"/>
  <c r="T108" i="8"/>
  <c r="U108" i="8" s="1"/>
  <c r="AB108" i="8"/>
  <c r="AB109" i="8" s="1"/>
  <c r="B75" i="8"/>
  <c r="B85" i="8"/>
  <c r="AA65" i="8"/>
  <c r="AE65" i="8" s="1"/>
  <c r="B89" i="8" s="1"/>
  <c r="AA109" i="8"/>
  <c r="AA115" i="8" s="1"/>
  <c r="AH109" i="8" l="1"/>
  <c r="AH115" i="8" s="1"/>
  <c r="AE109" i="8"/>
  <c r="B133" i="8" s="1"/>
  <c r="Y108" i="8"/>
  <c r="AF65" i="8"/>
  <c r="B88" i="8" s="1"/>
  <c r="AD64" i="8"/>
  <c r="AD65" i="8" s="1"/>
  <c r="AF109" i="8"/>
  <c r="B132" i="8" s="1"/>
  <c r="AF115" i="8" s="1"/>
  <c r="X109" i="8"/>
  <c r="B122" i="8" s="1"/>
  <c r="B124" i="8" s="1"/>
  <c r="AD108" i="8"/>
  <c r="AD109" i="8" s="1"/>
  <c r="AD115" i="8" s="1"/>
  <c r="I64" i="8"/>
  <c r="F64" i="8"/>
  <c r="F65" i="8" s="1"/>
  <c r="O112" i="8"/>
  <c r="B117" i="8"/>
  <c r="B119" i="8" s="1"/>
  <c r="AB115" i="8" s="1"/>
  <c r="B80" i="8"/>
  <c r="AC108" i="8"/>
  <c r="AC109" i="8" s="1"/>
  <c r="V109" i="8"/>
  <c r="AI109" i="8" s="1"/>
  <c r="W108" i="8"/>
  <c r="AE115" i="8" l="1"/>
  <c r="AC115" i="8"/>
  <c r="AC64" i="8"/>
  <c r="AC65" i="8" s="1"/>
  <c r="G64" i="8"/>
  <c r="E6" i="24" l="1"/>
  <c r="M6" i="24" s="1"/>
  <c r="H6" i="24"/>
  <c r="C142" i="8" s="1"/>
  <c r="F6" i="24" l="1"/>
  <c r="G6" i="24" s="1"/>
  <c r="N7" i="24"/>
  <c r="O7" i="24"/>
  <c r="I6" i="24"/>
  <c r="X6" i="24"/>
  <c r="Y6" i="24" s="1"/>
  <c r="AB6" i="24"/>
  <c r="T6" i="24"/>
  <c r="R6" i="24"/>
  <c r="AA6" i="24"/>
  <c r="U6" i="24" l="1"/>
  <c r="P7" i="24" s="1"/>
  <c r="S7" i="24" s="1"/>
  <c r="V6" i="24"/>
  <c r="AD6" i="24"/>
  <c r="D142" i="8" s="1"/>
  <c r="Q7" i="24" l="1"/>
  <c r="AA7" i="24" s="1"/>
  <c r="T7" i="24"/>
  <c r="W6" i="24"/>
  <c r="AC6" i="24"/>
  <c r="H7" i="24"/>
  <c r="C143" i="8" s="1"/>
  <c r="E7" i="24"/>
  <c r="M7" i="24" s="1"/>
  <c r="AB7" i="24"/>
  <c r="R7" i="24" l="1"/>
  <c r="U7" i="24" s="1"/>
  <c r="P8" i="24" s="1"/>
  <c r="X7" i="24"/>
  <c r="AD7" i="24" s="1"/>
  <c r="D143" i="8" s="1"/>
  <c r="O8" i="24"/>
  <c r="N8" i="24"/>
  <c r="H8" i="24"/>
  <c r="C144" i="8" s="1"/>
  <c r="F7" i="24"/>
  <c r="I7" i="24"/>
  <c r="E8" i="24"/>
  <c r="M8" i="24" s="1"/>
  <c r="Y7" i="24" l="1"/>
  <c r="V7" i="24"/>
  <c r="AC7" i="24" s="1"/>
  <c r="S8" i="24"/>
  <c r="AB8" i="24" s="1"/>
  <c r="Q8" i="24"/>
  <c r="N9" i="24"/>
  <c r="O9" i="24"/>
  <c r="H9" i="24"/>
  <c r="C145" i="8" s="1"/>
  <c r="E9" i="24"/>
  <c r="M9" i="24" s="1"/>
  <c r="I8" i="24"/>
  <c r="F8" i="24"/>
  <c r="G7" i="24"/>
  <c r="X8" i="24" l="1"/>
  <c r="AD8" i="24" s="1"/>
  <c r="I9" i="24"/>
  <c r="W7" i="24"/>
  <c r="T8" i="24"/>
  <c r="R8" i="24"/>
  <c r="AA8" i="24"/>
  <c r="D144" i="8" s="1"/>
  <c r="E10" i="24"/>
  <c r="M10" i="24" s="1"/>
  <c r="N10" i="24"/>
  <c r="O10" i="24"/>
  <c r="E11" i="24"/>
  <c r="M11" i="24" s="1"/>
  <c r="H11" i="24"/>
  <c r="C147" i="8" s="1"/>
  <c r="H10" i="24"/>
  <c r="C146" i="8" s="1"/>
  <c r="F9" i="24"/>
  <c r="G9" i="24" s="1"/>
  <c r="G8" i="24"/>
  <c r="Y8" i="24" l="1"/>
  <c r="V8" i="24"/>
  <c r="W8" i="24" s="1"/>
  <c r="I10" i="24"/>
  <c r="U8" i="24"/>
  <c r="P9" i="24" s="1"/>
  <c r="Q9" i="24" s="1"/>
  <c r="N11" i="24"/>
  <c r="O11" i="24"/>
  <c r="H12" i="24"/>
  <c r="C148" i="8" s="1"/>
  <c r="N12" i="24"/>
  <c r="O12" i="24"/>
  <c r="E12" i="24"/>
  <c r="M12" i="24" s="1"/>
  <c r="F10" i="24"/>
  <c r="I11" i="24"/>
  <c r="F11" i="24"/>
  <c r="H13" i="24"/>
  <c r="C149" i="8" s="1"/>
  <c r="S9" i="24" l="1"/>
  <c r="X9" i="24" s="1"/>
  <c r="AC8" i="24"/>
  <c r="I12" i="24"/>
  <c r="F12" i="24"/>
  <c r="G12" i="24" s="1"/>
  <c r="E13" i="24"/>
  <c r="M13" i="24" s="1"/>
  <c r="N13" i="24"/>
  <c r="O13" i="24"/>
  <c r="AA9" i="24"/>
  <c r="R9" i="24"/>
  <c r="H14" i="24"/>
  <c r="C150" i="8" s="1"/>
  <c r="E14" i="24"/>
  <c r="M14" i="24" s="1"/>
  <c r="G10" i="24"/>
  <c r="F13" i="24"/>
  <c r="G11" i="24"/>
  <c r="I13" i="24"/>
  <c r="T9" i="24" l="1"/>
  <c r="U9" i="24" s="1"/>
  <c r="P10" i="24" s="1"/>
  <c r="AB9" i="24"/>
  <c r="F14" i="24"/>
  <c r="G14" i="24" s="1"/>
  <c r="I14" i="24"/>
  <c r="O14" i="24"/>
  <c r="N14" i="24"/>
  <c r="H15" i="24"/>
  <c r="C151" i="8" s="1"/>
  <c r="N15" i="24"/>
  <c r="O15" i="24"/>
  <c r="V9" i="24"/>
  <c r="AD9" i="24"/>
  <c r="D145" i="8" s="1"/>
  <c r="Y9" i="24"/>
  <c r="E15" i="24"/>
  <c r="M15" i="24" s="1"/>
  <c r="G13" i="24"/>
  <c r="I15" i="24" l="1"/>
  <c r="F15" i="24"/>
  <c r="G15" i="24" s="1"/>
  <c r="Q10" i="24"/>
  <c r="S10" i="24"/>
  <c r="W9" i="24"/>
  <c r="AC9" i="24"/>
  <c r="H16" i="24"/>
  <c r="C152" i="8" s="1"/>
  <c r="O16" i="24"/>
  <c r="E16" i="24"/>
  <c r="M16" i="24" s="1"/>
  <c r="D18" i="24"/>
  <c r="E17" i="24"/>
  <c r="M17" i="24" s="1"/>
  <c r="I16" i="24" l="1"/>
  <c r="H17" i="24"/>
  <c r="C153" i="8" s="1"/>
  <c r="N17" i="24"/>
  <c r="O17" i="24"/>
  <c r="F16" i="24"/>
  <c r="G16" i="24" s="1"/>
  <c r="AB10" i="24"/>
  <c r="T10" i="24"/>
  <c r="AA10" i="24"/>
  <c r="X10" i="24"/>
  <c r="R10" i="24"/>
  <c r="F17" i="24" l="1"/>
  <c r="G17" i="24" s="1"/>
  <c r="I17" i="24"/>
  <c r="H18" i="24"/>
  <c r="V10" i="24"/>
  <c r="AD10" i="24"/>
  <c r="D146" i="8" s="1"/>
  <c r="Y10" i="24"/>
  <c r="U10" i="24"/>
  <c r="P11" i="24" s="1"/>
  <c r="F18" i="24" l="1"/>
  <c r="Q11" i="24"/>
  <c r="S11" i="24"/>
  <c r="AC10" i="24"/>
  <c r="W10" i="24"/>
  <c r="X11" i="24" l="1"/>
  <c r="AA11" i="24"/>
  <c r="R11" i="24"/>
  <c r="AB11" i="24"/>
  <c r="T11" i="24"/>
  <c r="U11" i="24" l="1"/>
  <c r="P12" i="24" s="1"/>
  <c r="S12" i="24" s="1"/>
  <c r="V11" i="24"/>
  <c r="AD11" i="24"/>
  <c r="D147" i="8" s="1"/>
  <c r="Y11" i="24"/>
  <c r="Q12" i="24" l="1"/>
  <c r="X12" i="24" s="1"/>
  <c r="AC11" i="24"/>
  <c r="W11" i="24"/>
  <c r="AB12" i="24"/>
  <c r="T12" i="24"/>
  <c r="R12" i="24" l="1"/>
  <c r="U12" i="24" s="1"/>
  <c r="P13" i="24" s="1"/>
  <c r="AA12" i="24"/>
  <c r="V12" i="24"/>
  <c r="AD12" i="24"/>
  <c r="Y12" i="24"/>
  <c r="D148" i="8" l="1"/>
  <c r="Q13" i="24"/>
  <c r="S13" i="24"/>
  <c r="AC12" i="24"/>
  <c r="W12" i="24"/>
  <c r="AB13" i="24" l="1"/>
  <c r="T13" i="24"/>
  <c r="AA13" i="24"/>
  <c r="X13" i="24"/>
  <c r="R13" i="24"/>
  <c r="U13" i="24" l="1"/>
  <c r="P14" i="24" s="1"/>
  <c r="V13" i="24"/>
  <c r="AD13" i="24"/>
  <c r="D149" i="8" s="1"/>
  <c r="Y13" i="24"/>
  <c r="AC13" i="24" l="1"/>
  <c r="W13" i="24"/>
  <c r="S14" i="24"/>
  <c r="Q14" i="24"/>
  <c r="AA14" i="24" l="1"/>
  <c r="X14" i="24"/>
  <c r="R14" i="24"/>
  <c r="AB14" i="24"/>
  <c r="T14" i="24"/>
  <c r="U14" i="24" l="1"/>
  <c r="P15" i="24" s="1"/>
  <c r="S15" i="24" s="1"/>
  <c r="V14" i="24"/>
  <c r="AD14" i="24"/>
  <c r="D150" i="8" s="1"/>
  <c r="Y14" i="24"/>
  <c r="Q15" i="24" l="1"/>
  <c r="AA15" i="24" s="1"/>
  <c r="AC14" i="24"/>
  <c r="W14" i="24"/>
  <c r="AB15" i="24"/>
  <c r="T15" i="24"/>
  <c r="R15" i="24" l="1"/>
  <c r="U15" i="24" s="1"/>
  <c r="P16" i="24" s="1"/>
  <c r="N16" i="24" s="1"/>
  <c r="X15" i="24"/>
  <c r="V15" i="24" s="1"/>
  <c r="Y15" i="24" l="1"/>
  <c r="AD15" i="24"/>
  <c r="D151" i="8" s="1"/>
  <c r="S16" i="24"/>
  <c r="Q16" i="24"/>
  <c r="AC15" i="24"/>
  <c r="W15" i="24"/>
  <c r="AA16" i="24" l="1"/>
  <c r="X16" i="24"/>
  <c r="R16" i="24"/>
  <c r="AB16" i="24"/>
  <c r="T16" i="24"/>
  <c r="V16" i="24" l="1"/>
  <c r="AD16" i="24"/>
  <c r="D152" i="8" s="1"/>
  <c r="Y16" i="24"/>
  <c r="U16" i="24"/>
  <c r="P17" i="24" s="1"/>
  <c r="S17" i="24" l="1"/>
  <c r="Q17" i="24"/>
  <c r="AC16" i="24"/>
  <c r="W16" i="24"/>
  <c r="AB17" i="24" l="1"/>
  <c r="S18" i="24"/>
  <c r="AH18" i="24" s="1"/>
  <c r="T17" i="24"/>
  <c r="AA17" i="24"/>
  <c r="X17" i="24"/>
  <c r="R17" i="24"/>
  <c r="Q18" i="24"/>
  <c r="AG18" i="24" s="1"/>
  <c r="AJ18" i="24" l="1"/>
  <c r="AB18" i="24"/>
  <c r="AF18" i="24" s="1"/>
  <c r="U17" i="24"/>
  <c r="V17" i="24"/>
  <c r="AD17" i="24"/>
  <c r="D153" i="8" s="1"/>
  <c r="Y17" i="24"/>
  <c r="X18" i="24"/>
  <c r="AA18" i="24"/>
  <c r="AE18" i="24" s="1"/>
  <c r="AD18" i="24" l="1"/>
  <c r="AC17" i="24"/>
  <c r="AC18" i="24" s="1"/>
  <c r="V18" i="24"/>
  <c r="AI18" i="24" s="1"/>
  <c r="W17" i="24"/>
  <c r="AL242" i="18" l="1"/>
  <c r="AN242" i="18" l="1"/>
  <c r="AM242" i="18"/>
  <c r="J242" i="18" l="1"/>
  <c r="H242" i="18"/>
  <c r="N242" i="18"/>
  <c r="L242" i="18"/>
  <c r="R13" i="20" l="1"/>
  <c r="S13" i="20" s="1"/>
  <c r="T13" i="20" s="1"/>
  <c r="U13" i="20" s="1"/>
  <c r="R10" i="20"/>
  <c r="R8" i="20"/>
  <c r="S8" i="20" s="1"/>
  <c r="T8" i="20" s="1"/>
  <c r="U8" i="20" s="1"/>
  <c r="S10" i="20" l="1"/>
  <c r="T10" i="20" s="1"/>
  <c r="U10" i="20" s="1"/>
  <c r="R6" i="20"/>
  <c r="S6" i="20" s="1"/>
  <c r="T6" i="20" s="1"/>
  <c r="U6" i="20" s="1"/>
  <c r="R2" i="20" l="1"/>
  <c r="L6" i="20"/>
  <c r="L5" i="20"/>
  <c r="L11" i="20"/>
  <c r="L9" i="20"/>
  <c r="L8" i="20"/>
  <c r="L10" i="20"/>
  <c r="L13" i="20"/>
  <c r="L3" i="20"/>
  <c r="L4" i="20"/>
  <c r="L7" i="20"/>
  <c r="L2" i="20"/>
  <c r="S2" i="20" l="1"/>
  <c r="T2" i="20" s="1"/>
  <c r="U2" i="20" s="1"/>
  <c r="K12" i="20"/>
  <c r="K13" i="20"/>
  <c r="I13" i="20" s="1"/>
  <c r="J13" i="20" s="1"/>
  <c r="K5" i="20"/>
  <c r="I5" i="20" s="1"/>
  <c r="J5" i="20" s="1"/>
  <c r="K11" i="20"/>
  <c r="I11" i="20" s="1"/>
  <c r="J11" i="20" s="1"/>
  <c r="K8" i="20"/>
  <c r="I8" i="20" s="1"/>
  <c r="J8" i="20" s="1"/>
  <c r="K2" i="20"/>
  <c r="I2" i="20" s="1"/>
  <c r="J2" i="20" s="1"/>
  <c r="K3" i="20"/>
  <c r="I3" i="20" s="1"/>
  <c r="J3" i="20" s="1"/>
  <c r="K7" i="20"/>
  <c r="I7" i="20" s="1"/>
  <c r="J7" i="20" s="1"/>
  <c r="K4" i="20"/>
  <c r="I4" i="20" s="1"/>
  <c r="J4" i="20" s="1"/>
  <c r="K6" i="20"/>
  <c r="I6" i="20" s="1"/>
  <c r="J6" i="20" s="1"/>
  <c r="K10" i="20"/>
  <c r="I10" i="20" s="1"/>
  <c r="J10" i="20" s="1"/>
  <c r="K9" i="20"/>
  <c r="I9" i="20" s="1"/>
  <c r="J9" i="20" s="1"/>
  <c r="B6" i="8"/>
  <c r="N6" i="8" s="1"/>
  <c r="Q6" i="8" s="1"/>
  <c r="AL6" i="8" l="1"/>
  <c r="R6" i="8"/>
  <c r="D6" i="8"/>
  <c r="O6" i="8" s="1"/>
  <c r="C6" i="8"/>
  <c r="AA6" i="8"/>
  <c r="Q6" i="15" l="1"/>
  <c r="Q8" i="15" s="1"/>
  <c r="Q6" i="18"/>
  <c r="H6" i="8"/>
  <c r="E6" i="8"/>
  <c r="AQ6" i="8"/>
  <c r="AL22" i="8"/>
  <c r="S6" i="8"/>
  <c r="N23" i="8"/>
  <c r="M6" i="8"/>
  <c r="F6" i="8"/>
  <c r="I6" i="8"/>
  <c r="AR6" i="8" l="1"/>
  <c r="Q206" i="18"/>
  <c r="Q98" i="18"/>
  <c r="Q242" i="18"/>
  <c r="Q89" i="18"/>
  <c r="Q161" i="18"/>
  <c r="Q170" i="18"/>
  <c r="Q43" i="18"/>
  <c r="Q179" i="18"/>
  <c r="Q224" i="18"/>
  <c r="Q197" i="18"/>
  <c r="Q116" i="18"/>
  <c r="Q107" i="18"/>
  <c r="Q71" i="18"/>
  <c r="Q215" i="18"/>
  <c r="Q5" i="18"/>
  <c r="Q62" i="18"/>
  <c r="Q80" i="18"/>
  <c r="Q143" i="18"/>
  <c r="Q188" i="18"/>
  <c r="Q125" i="18"/>
  <c r="AM6" i="8"/>
  <c r="Q53" i="18"/>
  <c r="Q34" i="18"/>
  <c r="Q152" i="18"/>
  <c r="Q134" i="18"/>
  <c r="Q233" i="18"/>
  <c r="AC6" i="15"/>
  <c r="AC8" i="15" s="1"/>
  <c r="T6" i="8"/>
  <c r="Q23" i="8"/>
  <c r="AC6" i="18"/>
  <c r="AC8" i="18" s="1"/>
  <c r="AB6" i="8"/>
  <c r="X6" i="8"/>
  <c r="G6" i="8"/>
  <c r="B7" i="8"/>
  <c r="D7" i="8" s="1"/>
  <c r="O7" i="8" s="1"/>
  <c r="Q63" i="18" l="1"/>
  <c r="Q35" i="18"/>
  <c r="Q44" i="18"/>
  <c r="Q54" i="18"/>
  <c r="AS6" i="8"/>
  <c r="AM22" i="8"/>
  <c r="R23" i="8"/>
  <c r="U6" i="8"/>
  <c r="P7" i="8" s="1"/>
  <c r="Y6" i="8"/>
  <c r="V6" i="8"/>
  <c r="AD6" i="8"/>
  <c r="H7" i="8"/>
  <c r="C7" i="8"/>
  <c r="R6" i="15"/>
  <c r="R8" i="15" s="1"/>
  <c r="R6" i="18"/>
  <c r="E7" i="8"/>
  <c r="Q55" i="18" l="1"/>
  <c r="Q45" i="18"/>
  <c r="Q64" i="18"/>
  <c r="N7" i="8"/>
  <c r="Q7" i="8" s="1"/>
  <c r="S7" i="8"/>
  <c r="W6" i="8"/>
  <c r="AC6" i="8"/>
  <c r="Q8" i="18"/>
  <c r="AT6" i="8"/>
  <c r="AU6" i="8" s="1"/>
  <c r="M7" i="8"/>
  <c r="F7" i="8"/>
  <c r="I7" i="8"/>
  <c r="R3" i="20" l="1"/>
  <c r="S3" i="20" s="1"/>
  <c r="T3" i="20" s="1"/>
  <c r="U3" i="20" s="1"/>
  <c r="AL7" i="8"/>
  <c r="AQ7" i="8" s="1"/>
  <c r="X7" i="8"/>
  <c r="R7" i="8"/>
  <c r="AA7" i="8"/>
  <c r="R98" i="18"/>
  <c r="R89" i="18"/>
  <c r="R170" i="18"/>
  <c r="R179" i="18"/>
  <c r="R34" i="18"/>
  <c r="R152" i="18"/>
  <c r="R134" i="18"/>
  <c r="R233" i="18"/>
  <c r="R206" i="18"/>
  <c r="R242" i="18"/>
  <c r="R161" i="18"/>
  <c r="R43" i="18"/>
  <c r="R53" i="18"/>
  <c r="R224" i="18"/>
  <c r="R197" i="18"/>
  <c r="R116" i="18"/>
  <c r="R107" i="18"/>
  <c r="R71" i="18"/>
  <c r="R215" i="18"/>
  <c r="R5" i="18"/>
  <c r="R62" i="18"/>
  <c r="R80" i="18"/>
  <c r="R143" i="18"/>
  <c r="R188" i="18"/>
  <c r="R125" i="18"/>
  <c r="AM7" i="8"/>
  <c r="AM23" i="8" s="1"/>
  <c r="AD6" i="15"/>
  <c r="AD8" i="15" s="1"/>
  <c r="Q24" i="8"/>
  <c r="AD6" i="18"/>
  <c r="AD8" i="18" s="1"/>
  <c r="T7" i="8"/>
  <c r="AB7" i="8"/>
  <c r="AL23" i="8"/>
  <c r="N24" i="8"/>
  <c r="G7" i="8"/>
  <c r="B8" i="8"/>
  <c r="D8" i="8" s="1"/>
  <c r="O8" i="8" s="1"/>
  <c r="R24" i="8" l="1"/>
  <c r="AS7" i="8"/>
  <c r="R8" i="18" s="1"/>
  <c r="R54" i="18"/>
  <c r="U7" i="8"/>
  <c r="P8" i="8" s="1"/>
  <c r="R44" i="18"/>
  <c r="R63" i="18"/>
  <c r="R35" i="18"/>
  <c r="V7" i="8"/>
  <c r="Y7" i="8"/>
  <c r="AD7" i="8"/>
  <c r="AR7" i="8"/>
  <c r="S6" i="18"/>
  <c r="S6" i="15"/>
  <c r="S8" i="15" s="1"/>
  <c r="E8" i="8"/>
  <c r="H8" i="8"/>
  <c r="C8" i="8"/>
  <c r="R64" i="18" l="1"/>
  <c r="AT7" i="8"/>
  <c r="AU7" i="8" s="1"/>
  <c r="M8" i="8"/>
  <c r="W7" i="8"/>
  <c r="AC7" i="8"/>
  <c r="R45" i="18"/>
  <c r="N8" i="8"/>
  <c r="S8" i="8"/>
  <c r="R55" i="18"/>
  <c r="B9" i="8"/>
  <c r="F8" i="8"/>
  <c r="I8" i="8"/>
  <c r="N9" i="8" l="1"/>
  <c r="D9" i="8"/>
  <c r="O9" i="8" s="1"/>
  <c r="N25" i="8"/>
  <c r="AM8" i="8"/>
  <c r="S53" i="18"/>
  <c r="S34" i="18"/>
  <c r="S152" i="18"/>
  <c r="S134" i="18"/>
  <c r="S233" i="18"/>
  <c r="S98" i="18"/>
  <c r="S206" i="18"/>
  <c r="S242" i="18"/>
  <c r="S89" i="18"/>
  <c r="S161" i="18"/>
  <c r="S170" i="18"/>
  <c r="S179" i="18"/>
  <c r="S215" i="18"/>
  <c r="S43" i="18"/>
  <c r="S224" i="18"/>
  <c r="S197" i="18"/>
  <c r="S116" i="18"/>
  <c r="S107" i="18"/>
  <c r="S71" i="18"/>
  <c r="S5" i="18"/>
  <c r="S62" i="18"/>
  <c r="S80" i="18"/>
  <c r="S143" i="18"/>
  <c r="S188" i="18"/>
  <c r="S125" i="18"/>
  <c r="AE6" i="18"/>
  <c r="AE8" i="18" s="1"/>
  <c r="AE6" i="15"/>
  <c r="AE8" i="15" s="1"/>
  <c r="T8" i="8"/>
  <c r="AB8" i="8"/>
  <c r="Q8" i="8"/>
  <c r="T6" i="18"/>
  <c r="G8" i="8"/>
  <c r="C9" i="8"/>
  <c r="N26" i="8" l="1"/>
  <c r="T6" i="15"/>
  <c r="T8" i="15" s="1"/>
  <c r="H9" i="8"/>
  <c r="F9" i="8" s="1"/>
  <c r="E9" i="8"/>
  <c r="M9" i="8" s="1"/>
  <c r="R4" i="20"/>
  <c r="S4" i="20" s="1"/>
  <c r="T4" i="20" s="1"/>
  <c r="U4" i="20" s="1"/>
  <c r="AL8" i="8"/>
  <c r="X8" i="8"/>
  <c r="R8" i="8"/>
  <c r="U8" i="8" s="1"/>
  <c r="P9" i="8" s="1"/>
  <c r="AA8" i="8"/>
  <c r="Q25" i="8"/>
  <c r="S35" i="18"/>
  <c r="S54" i="18"/>
  <c r="S63" i="18"/>
  <c r="AS8" i="8"/>
  <c r="AM24" i="8"/>
  <c r="S44" i="18"/>
  <c r="I9" i="8" l="1"/>
  <c r="R25" i="8"/>
  <c r="S45" i="18"/>
  <c r="S64" i="18"/>
  <c r="V8" i="8"/>
  <c r="Y8" i="8"/>
  <c r="AD8" i="8"/>
  <c r="AQ8" i="8"/>
  <c r="AL24" i="8"/>
  <c r="S8" i="18"/>
  <c r="AT8" i="8"/>
  <c r="S55" i="18"/>
  <c r="Q9" i="8"/>
  <c r="S9" i="8"/>
  <c r="B10" i="8"/>
  <c r="N10" i="8" s="1"/>
  <c r="G9" i="8"/>
  <c r="D10" i="8" l="1"/>
  <c r="O10" i="8" s="1"/>
  <c r="N27" i="8" s="1"/>
  <c r="AR8" i="8"/>
  <c r="AU8" i="8" s="1"/>
  <c r="T53" i="18"/>
  <c r="T34" i="18"/>
  <c r="T152" i="18"/>
  <c r="T134" i="18"/>
  <c r="T233" i="18"/>
  <c r="T98" i="18"/>
  <c r="AM9" i="8"/>
  <c r="T89" i="18"/>
  <c r="T161" i="18"/>
  <c r="T170" i="18"/>
  <c r="T206" i="18"/>
  <c r="T242" i="18"/>
  <c r="T179" i="18"/>
  <c r="T224" i="18"/>
  <c r="T197" i="18"/>
  <c r="T116" i="18"/>
  <c r="T43" i="18"/>
  <c r="T107" i="18"/>
  <c r="T71" i="18"/>
  <c r="T215" i="18"/>
  <c r="T5" i="18"/>
  <c r="T62" i="18"/>
  <c r="T80" i="18"/>
  <c r="T143" i="18"/>
  <c r="T188" i="18"/>
  <c r="T125" i="18"/>
  <c r="AF6" i="18"/>
  <c r="AF8" i="18" s="1"/>
  <c r="Q26" i="8"/>
  <c r="AF6" i="15"/>
  <c r="AF8" i="15" s="1"/>
  <c r="T9" i="8"/>
  <c r="AB9" i="8"/>
  <c r="R5" i="20"/>
  <c r="S5" i="20" s="1"/>
  <c r="T5" i="20" s="1"/>
  <c r="U5" i="20" s="1"/>
  <c r="AL9" i="8"/>
  <c r="X9" i="8"/>
  <c r="AA9" i="8"/>
  <c r="R9" i="8"/>
  <c r="W8" i="8"/>
  <c r="AC8" i="8"/>
  <c r="U6" i="18"/>
  <c r="U6" i="15"/>
  <c r="U8" i="15" s="1"/>
  <c r="E10" i="8"/>
  <c r="H10" i="8"/>
  <c r="C10" i="8"/>
  <c r="R26" i="8" l="1"/>
  <c r="AS9" i="8"/>
  <c r="AM25" i="8"/>
  <c r="T35" i="18"/>
  <c r="T44" i="18"/>
  <c r="T54" i="18"/>
  <c r="T63" i="18"/>
  <c r="AQ9" i="8"/>
  <c r="AL25" i="8"/>
  <c r="U9" i="8"/>
  <c r="P10" i="8" s="1"/>
  <c r="V9" i="8"/>
  <c r="AD9" i="8"/>
  <c r="Y9" i="8"/>
  <c r="M10" i="8"/>
  <c r="B11" i="8"/>
  <c r="F10" i="8"/>
  <c r="I10" i="8"/>
  <c r="T45" i="18" l="1"/>
  <c r="N11" i="8"/>
  <c r="T55" i="18"/>
  <c r="T64" i="18"/>
  <c r="D11" i="8"/>
  <c r="V6" i="15" s="1"/>
  <c r="V8" i="15" s="1"/>
  <c r="Q10" i="8"/>
  <c r="S10" i="8"/>
  <c r="AR9" i="8"/>
  <c r="AC9" i="8"/>
  <c r="W9" i="8"/>
  <c r="T8" i="18"/>
  <c r="AT9" i="8"/>
  <c r="G10" i="8"/>
  <c r="C11" i="8"/>
  <c r="H11" i="8" l="1"/>
  <c r="I11" i="8" s="1"/>
  <c r="E11" i="8"/>
  <c r="V6" i="18"/>
  <c r="AU9" i="8"/>
  <c r="X10" i="8"/>
  <c r="U34" i="18"/>
  <c r="U134" i="18"/>
  <c r="U53" i="18"/>
  <c r="U152" i="18"/>
  <c r="U233" i="18"/>
  <c r="U98" i="18"/>
  <c r="AM10" i="8"/>
  <c r="U206" i="18"/>
  <c r="U242" i="18"/>
  <c r="U89" i="18"/>
  <c r="U161" i="18"/>
  <c r="U170" i="18"/>
  <c r="U43" i="18"/>
  <c r="U179" i="18"/>
  <c r="U125" i="18"/>
  <c r="U224" i="18"/>
  <c r="U197" i="18"/>
  <c r="U116" i="18"/>
  <c r="U107" i="18"/>
  <c r="U71" i="18"/>
  <c r="U215" i="18"/>
  <c r="U5" i="18"/>
  <c r="U62" i="18"/>
  <c r="U80" i="18"/>
  <c r="U143" i="18"/>
  <c r="U188" i="18"/>
  <c r="Q27" i="8"/>
  <c r="AG6" i="18"/>
  <c r="AG8" i="18" s="1"/>
  <c r="AG6" i="15"/>
  <c r="AG8" i="15" s="1"/>
  <c r="T10" i="8"/>
  <c r="AB10" i="8"/>
  <c r="AL10" i="8"/>
  <c r="AA10" i="8"/>
  <c r="R10" i="8"/>
  <c r="M11" i="8"/>
  <c r="F11" i="8"/>
  <c r="R27" i="8" l="1"/>
  <c r="U44" i="18"/>
  <c r="U63" i="18"/>
  <c r="AS10" i="8"/>
  <c r="AM26" i="8"/>
  <c r="AQ10" i="8"/>
  <c r="AL26" i="8"/>
  <c r="U54" i="18"/>
  <c r="U35" i="18"/>
  <c r="V10" i="8"/>
  <c r="Y10" i="8"/>
  <c r="AD10" i="8"/>
  <c r="U10" i="8"/>
  <c r="P11" i="8" s="1"/>
  <c r="G11" i="8"/>
  <c r="B12" i="8"/>
  <c r="D12" i="8" s="1"/>
  <c r="O12" i="8" s="1"/>
  <c r="W10" i="8" l="1"/>
  <c r="AC10" i="8"/>
  <c r="AR10" i="8"/>
  <c r="U8" i="18"/>
  <c r="AT10" i="8"/>
  <c r="U64" i="18"/>
  <c r="U55" i="18"/>
  <c r="O11" i="8"/>
  <c r="N28" i="8" s="1"/>
  <c r="Q11" i="8"/>
  <c r="U45" i="18"/>
  <c r="W6" i="15"/>
  <c r="W8" i="15" s="1"/>
  <c r="W6" i="18"/>
  <c r="E12" i="8"/>
  <c r="H12" i="8"/>
  <c r="C12" i="8"/>
  <c r="S11" i="8" l="1"/>
  <c r="V98" i="18" s="1"/>
  <c r="M12" i="8"/>
  <c r="AU10" i="8"/>
  <c r="R7" i="20"/>
  <c r="S7" i="20" s="1"/>
  <c r="T7" i="20" s="1"/>
  <c r="U7" i="20" s="1"/>
  <c r="AL11" i="8"/>
  <c r="AA11" i="8"/>
  <c r="R11" i="8"/>
  <c r="F12" i="8"/>
  <c r="I12" i="8"/>
  <c r="B13" i="8"/>
  <c r="N13" i="8" l="1"/>
  <c r="AB11" i="8"/>
  <c r="V143" i="18"/>
  <c r="V152" i="18"/>
  <c r="Q28" i="8"/>
  <c r="V62" i="18"/>
  <c r="V161" i="18"/>
  <c r="V34" i="18"/>
  <c r="V80" i="18"/>
  <c r="V107" i="18"/>
  <c r="V89" i="18"/>
  <c r="V53" i="18"/>
  <c r="V179" i="18"/>
  <c r="V170" i="18"/>
  <c r="X11" i="8"/>
  <c r="V11" i="8" s="1"/>
  <c r="V5" i="18"/>
  <c r="V116" i="18"/>
  <c r="V242" i="18"/>
  <c r="V134" i="18"/>
  <c r="AH6" i="15"/>
  <c r="AH8" i="15" s="1"/>
  <c r="V188" i="18"/>
  <c r="V197" i="18"/>
  <c r="V206" i="18"/>
  <c r="V125" i="18"/>
  <c r="V233" i="18"/>
  <c r="AH6" i="18"/>
  <c r="AH8" i="18" s="1"/>
  <c r="V215" i="18"/>
  <c r="V224" i="18"/>
  <c r="AM11" i="8"/>
  <c r="AS11" i="8" s="1"/>
  <c r="T11" i="8"/>
  <c r="U11" i="8" s="1"/>
  <c r="P12" i="8" s="1"/>
  <c r="V71" i="18"/>
  <c r="V43" i="18"/>
  <c r="V44" i="18" s="1"/>
  <c r="D13" i="8"/>
  <c r="O13" i="8" s="1"/>
  <c r="N30" i="8" s="1"/>
  <c r="AQ11" i="8"/>
  <c r="AR11" i="8" s="1"/>
  <c r="AL27" i="8"/>
  <c r="Y11" i="8"/>
  <c r="C13" i="8"/>
  <c r="G12" i="8"/>
  <c r="R28" i="8" l="1"/>
  <c r="V35" i="18"/>
  <c r="V63" i="18"/>
  <c r="AD11" i="8"/>
  <c r="V54" i="18"/>
  <c r="V64" i="18" s="1"/>
  <c r="AM27" i="8"/>
  <c r="H13" i="8"/>
  <c r="I13" i="8" s="1"/>
  <c r="X6" i="18"/>
  <c r="E13" i="8"/>
  <c r="M13" i="8" s="1"/>
  <c r="AC11" i="8"/>
  <c r="W11" i="8"/>
  <c r="N12" i="8"/>
  <c r="Q12" i="8" s="1"/>
  <c r="V8" i="18"/>
  <c r="AT11" i="8"/>
  <c r="AU11" i="8" s="1"/>
  <c r="X6" i="15"/>
  <c r="X8" i="15" s="1"/>
  <c r="V45" i="18"/>
  <c r="F13" i="8" l="1"/>
  <c r="G13" i="8" s="1"/>
  <c r="V55" i="18"/>
  <c r="S12" i="8"/>
  <c r="X12" i="8" s="1"/>
  <c r="AL12" i="8"/>
  <c r="AQ12" i="8" s="1"/>
  <c r="AR12" i="8" s="1"/>
  <c r="R12" i="8"/>
  <c r="AA12" i="8"/>
  <c r="N29" i="8"/>
  <c r="B14" i="8"/>
  <c r="N14" i="8" s="1"/>
  <c r="AL28" i="8" l="1"/>
  <c r="V12" i="8"/>
  <c r="Y12" i="8"/>
  <c r="AD12" i="8"/>
  <c r="D14" i="8"/>
  <c r="O14" i="8" s="1"/>
  <c r="N31" i="8" s="1"/>
  <c r="W5" i="18"/>
  <c r="W62" i="18"/>
  <c r="W80" i="18"/>
  <c r="W143" i="18"/>
  <c r="W188" i="18"/>
  <c r="W134" i="18"/>
  <c r="W233" i="18"/>
  <c r="W125" i="18"/>
  <c r="W53" i="18"/>
  <c r="W34" i="18"/>
  <c r="W152" i="18"/>
  <c r="W98" i="18"/>
  <c r="W179" i="18"/>
  <c r="W161" i="18"/>
  <c r="AM12" i="8"/>
  <c r="W206" i="18"/>
  <c r="W242" i="18"/>
  <c r="W89" i="18"/>
  <c r="W170" i="18"/>
  <c r="W43" i="18"/>
  <c r="W224" i="18"/>
  <c r="W197" i="18"/>
  <c r="W116" i="18"/>
  <c r="W107" i="18"/>
  <c r="W71" i="18"/>
  <c r="W215" i="18"/>
  <c r="AI6" i="18"/>
  <c r="AI8" i="18" s="1"/>
  <c r="AI6" i="15"/>
  <c r="AI8" i="15" s="1"/>
  <c r="Q29" i="8"/>
  <c r="T12" i="8"/>
  <c r="R29" i="8" s="1"/>
  <c r="AB12" i="8"/>
  <c r="H14" i="8"/>
  <c r="C14" i="8"/>
  <c r="Y6" i="15"/>
  <c r="Y8" i="15" s="1"/>
  <c r="Y6" i="18"/>
  <c r="E14" i="8" l="1"/>
  <c r="M14" i="8" s="1"/>
  <c r="W35" i="18"/>
  <c r="W54" i="18"/>
  <c r="W44" i="18"/>
  <c r="W63" i="18"/>
  <c r="AS12" i="8"/>
  <c r="AM28" i="8"/>
  <c r="W12" i="8"/>
  <c r="AC12" i="8"/>
  <c r="U12" i="8"/>
  <c r="P13" i="8" s="1"/>
  <c r="F14" i="8"/>
  <c r="I14" i="8"/>
  <c r="W45" i="18" l="1"/>
  <c r="W64" i="18"/>
  <c r="W55" i="18"/>
  <c r="Q13" i="8"/>
  <c r="S13" i="8"/>
  <c r="W8" i="18"/>
  <c r="AT12" i="8"/>
  <c r="AU12" i="8" s="1"/>
  <c r="G14" i="8"/>
  <c r="B15" i="8"/>
  <c r="N15" i="8" s="1"/>
  <c r="D15" i="8" l="1"/>
  <c r="O15" i="8" s="1"/>
  <c r="N32" i="8" s="1"/>
  <c r="X125" i="18"/>
  <c r="X5" i="18"/>
  <c r="X62" i="18"/>
  <c r="X80" i="18"/>
  <c r="X143" i="18"/>
  <c r="X188" i="18"/>
  <c r="X53" i="18"/>
  <c r="X34" i="18"/>
  <c r="X152" i="18"/>
  <c r="X134" i="18"/>
  <c r="X233" i="18"/>
  <c r="X170" i="18"/>
  <c r="X98" i="18"/>
  <c r="X206" i="18"/>
  <c r="X242" i="18"/>
  <c r="X89" i="18"/>
  <c r="X161" i="18"/>
  <c r="X43" i="18"/>
  <c r="AM13" i="8"/>
  <c r="X179" i="18"/>
  <c r="X224" i="18"/>
  <c r="X197" i="18"/>
  <c r="X116" i="18"/>
  <c r="X107" i="18"/>
  <c r="X71" i="18"/>
  <c r="X215" i="18"/>
  <c r="Q30" i="8"/>
  <c r="AJ6" i="18"/>
  <c r="AJ8" i="18" s="1"/>
  <c r="AJ6" i="15"/>
  <c r="AJ8" i="15" s="1"/>
  <c r="T13" i="8"/>
  <c r="R30" i="8" s="1"/>
  <c r="AB13" i="8"/>
  <c r="R9" i="20"/>
  <c r="S9" i="20" s="1"/>
  <c r="T9" i="20" s="1"/>
  <c r="U9" i="20" s="1"/>
  <c r="AL13" i="8"/>
  <c r="X13" i="8"/>
  <c r="R13" i="8"/>
  <c r="AA13" i="8"/>
  <c r="Z6" i="18"/>
  <c r="Z6" i="15"/>
  <c r="Z8" i="15" s="1"/>
  <c r="E15" i="8"/>
  <c r="H15" i="8"/>
  <c r="C15" i="8"/>
  <c r="X44" i="18" l="1"/>
  <c r="X54" i="18"/>
  <c r="X35" i="18"/>
  <c r="M15" i="8"/>
  <c r="AS13" i="8"/>
  <c r="AM29" i="8"/>
  <c r="X63" i="18"/>
  <c r="U13" i="8"/>
  <c r="P14" i="8" s="1"/>
  <c r="Q14" i="8" s="1"/>
  <c r="V13" i="8"/>
  <c r="Y13" i="8"/>
  <c r="AD13" i="8"/>
  <c r="AQ13" i="8"/>
  <c r="AR13" i="8" s="1"/>
  <c r="AL29" i="8"/>
  <c r="F15" i="8"/>
  <c r="I15" i="8"/>
  <c r="B16" i="8"/>
  <c r="X64" i="18" l="1"/>
  <c r="X45" i="18"/>
  <c r="X55" i="18"/>
  <c r="N16" i="8"/>
  <c r="D16" i="8"/>
  <c r="AA6" i="15" s="1"/>
  <c r="AA8" i="15" s="1"/>
  <c r="W13" i="8"/>
  <c r="AC13" i="8"/>
  <c r="X8" i="18"/>
  <c r="AT13" i="8"/>
  <c r="AU13" i="8" s="1"/>
  <c r="S14" i="8"/>
  <c r="AL14" i="8"/>
  <c r="R14" i="8"/>
  <c r="AA14" i="8"/>
  <c r="AA6" i="18"/>
  <c r="C16" i="8"/>
  <c r="G15" i="8"/>
  <c r="H16" i="8" l="1"/>
  <c r="E16" i="8"/>
  <c r="Y80" i="18"/>
  <c r="Y125" i="18"/>
  <c r="Y5" i="18"/>
  <c r="Y62" i="18"/>
  <c r="Y143" i="18"/>
  <c r="Y188" i="18"/>
  <c r="Y53" i="18"/>
  <c r="Y34" i="18"/>
  <c r="Y152" i="18"/>
  <c r="Y134" i="18"/>
  <c r="Y233" i="18"/>
  <c r="Y98" i="18"/>
  <c r="Y206" i="18"/>
  <c r="Y242" i="18"/>
  <c r="Y89" i="18"/>
  <c r="Y161" i="18"/>
  <c r="Y170" i="18"/>
  <c r="Y43" i="18"/>
  <c r="Y179" i="18"/>
  <c r="Q31" i="8"/>
  <c r="Y71" i="18"/>
  <c r="Y215" i="18"/>
  <c r="AM14" i="8"/>
  <c r="AK6" i="15"/>
  <c r="AK8" i="15" s="1"/>
  <c r="Y224" i="18"/>
  <c r="Y197" i="18"/>
  <c r="Y116" i="18"/>
  <c r="Y107" i="18"/>
  <c r="AK6" i="18"/>
  <c r="AK8" i="18" s="1"/>
  <c r="T14" i="8"/>
  <c r="R31" i="8" s="1"/>
  <c r="AB14" i="8"/>
  <c r="AQ14" i="8"/>
  <c r="AR14" i="8" s="1"/>
  <c r="AL30" i="8"/>
  <c r="X14" i="8"/>
  <c r="M16" i="8"/>
  <c r="B17" i="8"/>
  <c r="D17" i="8" s="1"/>
  <c r="F16" i="8"/>
  <c r="I16" i="8"/>
  <c r="Y44" i="18" l="1"/>
  <c r="Y35" i="18"/>
  <c r="Y54" i="18"/>
  <c r="Y63" i="18"/>
  <c r="AS14" i="8"/>
  <c r="AM30" i="8"/>
  <c r="N17" i="8"/>
  <c r="V14" i="8"/>
  <c r="Y14" i="8"/>
  <c r="AD14" i="8"/>
  <c r="U14" i="8"/>
  <c r="P15" i="8" s="1"/>
  <c r="AB6" i="15"/>
  <c r="AB8" i="15" s="1"/>
  <c r="AB6" i="18"/>
  <c r="E17" i="8"/>
  <c r="D18" i="8"/>
  <c r="G16" i="8"/>
  <c r="H17" i="8"/>
  <c r="C17" i="8"/>
  <c r="B18" i="8"/>
  <c r="Y45" i="18" l="1"/>
  <c r="Y55" i="18"/>
  <c r="Y64" i="18"/>
  <c r="Q15" i="8"/>
  <c r="S15" i="8"/>
  <c r="W14" i="8"/>
  <c r="AC14" i="8"/>
  <c r="Y8" i="18"/>
  <c r="AT14" i="8"/>
  <c r="AU14" i="8" s="1"/>
  <c r="G2" i="20"/>
  <c r="G11" i="20"/>
  <c r="G4" i="20"/>
  <c r="G7" i="20"/>
  <c r="G13" i="20"/>
  <c r="G10" i="20"/>
  <c r="G6" i="20"/>
  <c r="G9" i="20"/>
  <c r="G3" i="20"/>
  <c r="G5" i="20"/>
  <c r="G12" i="20"/>
  <c r="G8" i="20"/>
  <c r="H2" i="20"/>
  <c r="H11" i="20"/>
  <c r="H4" i="20"/>
  <c r="H10" i="20"/>
  <c r="H13" i="20"/>
  <c r="H6" i="20"/>
  <c r="H12" i="20"/>
  <c r="H7" i="20"/>
  <c r="H9" i="20"/>
  <c r="H5" i="20"/>
  <c r="H8" i="20"/>
  <c r="H3" i="20"/>
  <c r="M17" i="8"/>
  <c r="B6" i="19"/>
  <c r="B4" i="12"/>
  <c r="E50" i="12" s="1"/>
  <c r="B37" i="8"/>
  <c r="F17" i="8"/>
  <c r="I17" i="8"/>
  <c r="H18" i="8"/>
  <c r="B32" i="8" s="1"/>
  <c r="B5" i="19"/>
  <c r="B27" i="8"/>
  <c r="B3" i="12"/>
  <c r="E11" i="20" l="1"/>
  <c r="F11" i="20" s="1"/>
  <c r="E3" i="20"/>
  <c r="F3" i="20" s="1"/>
  <c r="E9" i="20"/>
  <c r="F9" i="20" s="1"/>
  <c r="B8" i="19"/>
  <c r="E10" i="20"/>
  <c r="F10" i="20" s="1"/>
  <c r="E13" i="20"/>
  <c r="F13" i="20" s="1"/>
  <c r="E7" i="20"/>
  <c r="F7" i="20" s="1"/>
  <c r="E2" i="20"/>
  <c r="F2" i="20" s="1"/>
  <c r="E8" i="20"/>
  <c r="F8" i="20" s="1"/>
  <c r="Z71" i="18"/>
  <c r="Z215" i="18"/>
  <c r="Z5" i="18"/>
  <c r="Z62" i="18"/>
  <c r="Z143" i="18"/>
  <c r="Z80" i="18"/>
  <c r="Z188" i="18"/>
  <c r="Z125" i="18"/>
  <c r="Z53" i="18"/>
  <c r="Z34" i="18"/>
  <c r="Z152" i="18"/>
  <c r="Z134" i="18"/>
  <c r="Z233" i="18"/>
  <c r="Z98" i="18"/>
  <c r="Z206" i="18"/>
  <c r="Z242" i="18"/>
  <c r="Z89" i="18"/>
  <c r="Z161" i="18"/>
  <c r="Z170" i="18"/>
  <c r="Z224" i="18"/>
  <c r="Z197" i="18"/>
  <c r="Z107" i="18"/>
  <c r="Z43" i="18"/>
  <c r="Z179" i="18"/>
  <c r="AM15" i="8"/>
  <c r="Z116" i="18"/>
  <c r="AL6" i="18"/>
  <c r="AL8" i="18" s="1"/>
  <c r="AL6" i="15"/>
  <c r="AL8" i="15" s="1"/>
  <c r="Q32" i="8"/>
  <c r="T15" i="8"/>
  <c r="AB15" i="8"/>
  <c r="E12" i="20"/>
  <c r="F12" i="20" s="1"/>
  <c r="R11" i="20"/>
  <c r="S11" i="20" s="1"/>
  <c r="T11" i="20" s="1"/>
  <c r="U11" i="20" s="1"/>
  <c r="AL15" i="8"/>
  <c r="X15" i="8"/>
  <c r="R15" i="8"/>
  <c r="AA15" i="8"/>
  <c r="E6" i="20"/>
  <c r="F6" i="20" s="1"/>
  <c r="E4" i="20"/>
  <c r="F4" i="20" s="1"/>
  <c r="E5" i="20"/>
  <c r="F5" i="20" s="1"/>
  <c r="D32" i="8"/>
  <c r="C32" i="8"/>
  <c r="G17" i="8"/>
  <c r="F18" i="8"/>
  <c r="D37" i="8"/>
  <c r="C37" i="8"/>
  <c r="B6" i="12"/>
  <c r="O50" i="12" s="1"/>
  <c r="C27" i="8"/>
  <c r="D27" i="8"/>
  <c r="Z44" i="18" l="1"/>
  <c r="U15" i="8"/>
  <c r="P16" i="8" s="1"/>
  <c r="Q16" i="8" s="1"/>
  <c r="Z35" i="18"/>
  <c r="Z54" i="18"/>
  <c r="AS15" i="8"/>
  <c r="AM31" i="8"/>
  <c r="Z63" i="18"/>
  <c r="V15" i="8"/>
  <c r="Y15" i="8"/>
  <c r="AD15" i="8"/>
  <c r="AQ15" i="8"/>
  <c r="AR15" i="8" s="1"/>
  <c r="AL31" i="8"/>
  <c r="O16" i="8"/>
  <c r="N33" i="8" s="1"/>
  <c r="R32" i="8"/>
  <c r="B5" i="12"/>
  <c r="J50" i="12" s="1"/>
  <c r="B7" i="19"/>
  <c r="Z55" i="18" l="1"/>
  <c r="Z45" i="18"/>
  <c r="Z64" i="18"/>
  <c r="R12" i="20"/>
  <c r="S12" i="20" s="1"/>
  <c r="T12" i="20" s="1"/>
  <c r="U12" i="20" s="1"/>
  <c r="AL16" i="8"/>
  <c r="R16" i="8"/>
  <c r="AA16" i="8"/>
  <c r="S16" i="8"/>
  <c r="Z8" i="18"/>
  <c r="AT15" i="8"/>
  <c r="AU15" i="8" s="1"/>
  <c r="W15" i="8"/>
  <c r="AC15" i="8"/>
  <c r="X16" i="8" l="1"/>
  <c r="AM16" i="8"/>
  <c r="AA224" i="18"/>
  <c r="AA197" i="18"/>
  <c r="AA116" i="18"/>
  <c r="AA107" i="18"/>
  <c r="AA71" i="18"/>
  <c r="AA215" i="18"/>
  <c r="AA125" i="18"/>
  <c r="AA5" i="18"/>
  <c r="AA62" i="18"/>
  <c r="AA80" i="18"/>
  <c r="AA143" i="18"/>
  <c r="AA188" i="18"/>
  <c r="AA233" i="18"/>
  <c r="AA53" i="18"/>
  <c r="AA34" i="18"/>
  <c r="AA152" i="18"/>
  <c r="AA134" i="18"/>
  <c r="AA98" i="18"/>
  <c r="AA206" i="18"/>
  <c r="AA242" i="18"/>
  <c r="AA89" i="18"/>
  <c r="AA161" i="18"/>
  <c r="AA170" i="18"/>
  <c r="AA43" i="18"/>
  <c r="AA44" i="18" s="1"/>
  <c r="AA179" i="18"/>
  <c r="AM6" i="18"/>
  <c r="AM8" i="18" s="1"/>
  <c r="Q33" i="8"/>
  <c r="AM6" i="15"/>
  <c r="AM8" i="15" s="1"/>
  <c r="T16" i="8"/>
  <c r="R33" i="8" s="1"/>
  <c r="AB16" i="8"/>
  <c r="AQ16" i="8"/>
  <c r="AR16" i="8" s="1"/>
  <c r="AL32" i="8"/>
  <c r="AA63" i="18" l="1"/>
  <c r="AS16" i="8"/>
  <c r="AM32" i="8"/>
  <c r="AA35" i="18"/>
  <c r="AA45" i="18" s="1"/>
  <c r="V16" i="8"/>
  <c r="Y16" i="8"/>
  <c r="AD16" i="8"/>
  <c r="AA54" i="18"/>
  <c r="AA55" i="18" s="1"/>
  <c r="U16" i="8"/>
  <c r="P17" i="8" s="1"/>
  <c r="W16" i="8" l="1"/>
  <c r="AC16" i="8"/>
  <c r="O17" i="8"/>
  <c r="N34" i="8" s="1"/>
  <c r="Q17" i="8"/>
  <c r="AA8" i="18"/>
  <c r="AT16" i="8"/>
  <c r="AU16" i="8" s="1"/>
  <c r="AA64" i="18"/>
  <c r="AL17" i="8" l="1"/>
  <c r="Q18" i="8"/>
  <c r="R17" i="8"/>
  <c r="B39" i="8"/>
  <c r="AA17" i="8"/>
  <c r="AA18" i="8" s="1"/>
  <c r="S17" i="8"/>
  <c r="I6" i="15" l="1"/>
  <c r="I8" i="15" s="1"/>
  <c r="I10" i="12"/>
  <c r="F50" i="12" s="1"/>
  <c r="I6" i="18"/>
  <c r="AE21" i="8"/>
  <c r="M6" i="19"/>
  <c r="G14" i="19" s="1"/>
  <c r="B50" i="19" s="1"/>
  <c r="AE18" i="8"/>
  <c r="L12" i="20"/>
  <c r="I12" i="20" s="1"/>
  <c r="J12" i="20" s="1"/>
  <c r="B36" i="8"/>
  <c r="C4" i="12"/>
  <c r="AG18" i="8"/>
  <c r="C6" i="19"/>
  <c r="X17" i="8"/>
  <c r="AM17" i="8"/>
  <c r="AB224" i="18"/>
  <c r="G224" i="18" s="1"/>
  <c r="AB197" i="18"/>
  <c r="G197" i="18" s="1"/>
  <c r="AB116" i="18"/>
  <c r="G116" i="18" s="1"/>
  <c r="AB107" i="18"/>
  <c r="G107" i="18" s="1"/>
  <c r="AB71" i="18"/>
  <c r="G71" i="18" s="1"/>
  <c r="AB215" i="18"/>
  <c r="G215" i="18" s="1"/>
  <c r="AB188" i="18"/>
  <c r="G188" i="18" s="1"/>
  <c r="AB80" i="18"/>
  <c r="G80" i="18" s="1"/>
  <c r="AB53" i="18"/>
  <c r="AB5" i="18"/>
  <c r="G5" i="18" s="1"/>
  <c r="AB62" i="18"/>
  <c r="AB143" i="18"/>
  <c r="G143" i="18" s="1"/>
  <c r="AB134" i="18"/>
  <c r="G134" i="18" s="1"/>
  <c r="AB125" i="18"/>
  <c r="G125" i="18" s="1"/>
  <c r="AB34" i="18"/>
  <c r="AB152" i="18"/>
  <c r="G152" i="18" s="1"/>
  <c r="AB233" i="18"/>
  <c r="G233" i="18" s="1"/>
  <c r="AB98" i="18"/>
  <c r="G98" i="18" s="1"/>
  <c r="AB206" i="18"/>
  <c r="G206" i="18" s="1"/>
  <c r="AB242" i="18"/>
  <c r="G242" i="18" s="1"/>
  <c r="AB89" i="18"/>
  <c r="G89" i="18" s="1"/>
  <c r="AB161" i="18"/>
  <c r="G161" i="18" s="1"/>
  <c r="AB170" i="18"/>
  <c r="G170" i="18" s="1"/>
  <c r="AB43" i="18"/>
  <c r="AB179" i="18"/>
  <c r="G179" i="18" s="1"/>
  <c r="AN6" i="18"/>
  <c r="AN8" i="18" s="1"/>
  <c r="AN6" i="15"/>
  <c r="AN8" i="15" s="1"/>
  <c r="Q34" i="8"/>
  <c r="S18" i="8"/>
  <c r="T17" i="8"/>
  <c r="U17" i="8" s="1"/>
  <c r="B34" i="8"/>
  <c r="B29" i="8"/>
  <c r="AB17" i="8"/>
  <c r="X24" i="8"/>
  <c r="X23" i="8"/>
  <c r="C39" i="8"/>
  <c r="D39" i="8"/>
  <c r="R35" i="15" s="1"/>
  <c r="AQ17" i="8"/>
  <c r="AL33" i="8"/>
  <c r="F116" i="18" l="1"/>
  <c r="D42" i="19" s="1"/>
  <c r="I116" i="18"/>
  <c r="D51" i="19" s="1"/>
  <c r="H256" i="18" s="1"/>
  <c r="I98" i="18"/>
  <c r="F27" i="19" s="1"/>
  <c r="B54" i="19" s="1"/>
  <c r="D27" i="19"/>
  <c r="F98" i="18"/>
  <c r="C27" i="19" s="1"/>
  <c r="B45" i="19" s="1"/>
  <c r="E91" i="19" s="1"/>
  <c r="I197" i="18"/>
  <c r="E53" i="19" s="1"/>
  <c r="I258" i="18" s="1"/>
  <c r="F197" i="18"/>
  <c r="E44" i="19" s="1"/>
  <c r="I233" i="18"/>
  <c r="E54" i="19" s="1"/>
  <c r="I259" i="18" s="1"/>
  <c r="F233" i="18"/>
  <c r="E45" i="19" s="1"/>
  <c r="I224" i="18"/>
  <c r="D54" i="19" s="1"/>
  <c r="H259" i="18" s="1"/>
  <c r="F224" i="18"/>
  <c r="D45" i="19" s="1"/>
  <c r="AB23" i="8"/>
  <c r="AB18" i="8"/>
  <c r="I152" i="18"/>
  <c r="D52" i="19" s="1"/>
  <c r="H257" i="18" s="1"/>
  <c r="F152" i="18"/>
  <c r="D43" i="19" s="1"/>
  <c r="AS17" i="8"/>
  <c r="AM33" i="8"/>
  <c r="C34" i="8"/>
  <c r="D34" i="8"/>
  <c r="AB35" i="18"/>
  <c r="G34" i="18"/>
  <c r="V17" i="8"/>
  <c r="X18" i="8"/>
  <c r="B31" i="8" s="1"/>
  <c r="Y17" i="8"/>
  <c r="AD17" i="8"/>
  <c r="AD18" i="8" s="1"/>
  <c r="I125" i="18"/>
  <c r="E51" i="19" s="1"/>
  <c r="I256" i="18" s="1"/>
  <c r="F125" i="18"/>
  <c r="E42" i="19" s="1"/>
  <c r="F134" i="18"/>
  <c r="F42" i="19" s="1"/>
  <c r="I134" i="18"/>
  <c r="F51" i="19" s="1"/>
  <c r="J256" i="18" s="1"/>
  <c r="J6" i="18"/>
  <c r="J8" i="18" s="1"/>
  <c r="J10" i="12"/>
  <c r="H50" i="12" s="1"/>
  <c r="J6" i="15"/>
  <c r="J8" i="15" s="1"/>
  <c r="N6" i="19"/>
  <c r="H14" i="19" s="1"/>
  <c r="I143" i="18"/>
  <c r="C52" i="19" s="1"/>
  <c r="G257" i="18" s="1"/>
  <c r="F143" i="18"/>
  <c r="C43" i="19" s="1"/>
  <c r="O21" i="8"/>
  <c r="AH18" i="8"/>
  <c r="C3" i="12"/>
  <c r="C6" i="12" s="1"/>
  <c r="AJ18" i="8"/>
  <c r="B26" i="8"/>
  <c r="C5" i="19"/>
  <c r="C8" i="19" s="1"/>
  <c r="X22" i="8"/>
  <c r="AB63" i="18"/>
  <c r="G62" i="18"/>
  <c r="C36" i="8"/>
  <c r="D36" i="8"/>
  <c r="B38" i="8"/>
  <c r="F5" i="18"/>
  <c r="C23" i="19" s="1"/>
  <c r="I5" i="18"/>
  <c r="I8" i="18" s="1"/>
  <c r="D23" i="19"/>
  <c r="I179" i="18"/>
  <c r="C53" i="19" s="1"/>
  <c r="G258" i="18" s="1"/>
  <c r="F179" i="18"/>
  <c r="C44" i="19" s="1"/>
  <c r="AB54" i="18"/>
  <c r="G53" i="18"/>
  <c r="B42" i="8"/>
  <c r="F6" i="18"/>
  <c r="F10" i="12"/>
  <c r="D50" i="12" s="1"/>
  <c r="F6" i="15"/>
  <c r="F8" i="15" s="1"/>
  <c r="J6" i="19"/>
  <c r="D14" i="19" s="1"/>
  <c r="B41" i="19" s="1"/>
  <c r="A91" i="19" s="1"/>
  <c r="AB44" i="18"/>
  <c r="G43" i="18"/>
  <c r="F80" i="18"/>
  <c r="C25" i="19" s="1"/>
  <c r="B43" i="19" s="1"/>
  <c r="C91" i="19" s="1"/>
  <c r="D25" i="19"/>
  <c r="I80" i="18"/>
  <c r="F25" i="19" s="1"/>
  <c r="B52" i="19" s="1"/>
  <c r="F91" i="19"/>
  <c r="F255" i="18"/>
  <c r="F206" i="18"/>
  <c r="F44" i="19" s="1"/>
  <c r="I206" i="18"/>
  <c r="F53" i="19" s="1"/>
  <c r="J258" i="18" s="1"/>
  <c r="I170" i="18"/>
  <c r="F52" i="19" s="1"/>
  <c r="J257" i="18" s="1"/>
  <c r="F170" i="18"/>
  <c r="F43" i="19" s="1"/>
  <c r="F188" i="18"/>
  <c r="D44" i="19" s="1"/>
  <c r="I188" i="18"/>
  <c r="D53" i="19" s="1"/>
  <c r="H258" i="18" s="1"/>
  <c r="R34" i="8"/>
  <c r="I161" i="18"/>
  <c r="E52" i="19" s="1"/>
  <c r="I257" i="18" s="1"/>
  <c r="F161" i="18"/>
  <c r="E43" i="19" s="1"/>
  <c r="F215" i="18"/>
  <c r="C45" i="19" s="1"/>
  <c r="I215" i="18"/>
  <c r="C54" i="19" s="1"/>
  <c r="G259" i="18" s="1"/>
  <c r="AQ18" i="8"/>
  <c r="AR17" i="8"/>
  <c r="F89" i="18"/>
  <c r="C26" i="19" s="1"/>
  <c r="B44" i="19" s="1"/>
  <c r="D91" i="19" s="1"/>
  <c r="I89" i="18"/>
  <c r="F26" i="19" s="1"/>
  <c r="B53" i="19" s="1"/>
  <c r="D26" i="19"/>
  <c r="F71" i="18"/>
  <c r="C24" i="19" s="1"/>
  <c r="B42" i="19" s="1"/>
  <c r="B91" i="19" s="1"/>
  <c r="D24" i="19"/>
  <c r="I71" i="18"/>
  <c r="F24" i="19" s="1"/>
  <c r="B51" i="19" s="1"/>
  <c r="D29" i="8"/>
  <c r="C29" i="8"/>
  <c r="F242" i="18"/>
  <c r="F45" i="19" s="1"/>
  <c r="I242" i="18"/>
  <c r="F54" i="19" s="1"/>
  <c r="J259" i="18" s="1"/>
  <c r="F107" i="18"/>
  <c r="C42" i="19" s="1"/>
  <c r="I107" i="18"/>
  <c r="C51" i="19" s="1"/>
  <c r="G256" i="18" s="1"/>
  <c r="M197" i="18" l="1"/>
  <c r="M233" i="18"/>
  <c r="E63" i="19" s="1"/>
  <c r="E72" i="19" s="1"/>
  <c r="AB55" i="18"/>
  <c r="F8" i="18"/>
  <c r="M143" i="18"/>
  <c r="C61" i="19" s="1"/>
  <c r="C70" i="19" s="1"/>
  <c r="M179" i="18"/>
  <c r="K179" i="18" s="1"/>
  <c r="M125" i="18"/>
  <c r="E60" i="19" s="1"/>
  <c r="E69" i="19" s="1"/>
  <c r="M206" i="18"/>
  <c r="K206" i="18" s="1"/>
  <c r="M224" i="18"/>
  <c r="D63" i="19" s="1"/>
  <c r="D72" i="19" s="1"/>
  <c r="M170" i="18"/>
  <c r="K170" i="18" s="1"/>
  <c r="M107" i="18"/>
  <c r="K107" i="18" s="1"/>
  <c r="M242" i="18"/>
  <c r="K242" i="18" s="1"/>
  <c r="AB45" i="18"/>
  <c r="M116" i="18"/>
  <c r="D60" i="19" s="1"/>
  <c r="D69" i="19" s="1"/>
  <c r="M6" i="18"/>
  <c r="Q6" i="19"/>
  <c r="K14" i="19" s="1"/>
  <c r="M10" i="12"/>
  <c r="P50" i="12" s="1"/>
  <c r="M6" i="15"/>
  <c r="M8" i="15" s="1"/>
  <c r="D26" i="8"/>
  <c r="C26" i="8"/>
  <c r="B28" i="8"/>
  <c r="N6" i="15"/>
  <c r="N8" i="15" s="1"/>
  <c r="R6" i="19"/>
  <c r="L14" i="19" s="1"/>
  <c r="N10" i="12"/>
  <c r="R50" i="12" s="1"/>
  <c r="N6" i="18"/>
  <c r="N8" i="18" s="1"/>
  <c r="H10" i="12"/>
  <c r="H6" i="15"/>
  <c r="H8" i="15" s="1"/>
  <c r="L6" i="19"/>
  <c r="F14" i="19" s="1"/>
  <c r="H6" i="18"/>
  <c r="H8" i="18" s="1"/>
  <c r="M215" i="18"/>
  <c r="C31" i="8"/>
  <c r="D31" i="8"/>
  <c r="B33" i="8"/>
  <c r="K233" i="18"/>
  <c r="W17" i="8"/>
  <c r="V18" i="8"/>
  <c r="AC17" i="8"/>
  <c r="AC18" i="8" s="1"/>
  <c r="M80" i="18"/>
  <c r="I34" i="18"/>
  <c r="G15" i="19" s="1"/>
  <c r="C50" i="19" s="1"/>
  <c r="G255" i="18" s="1"/>
  <c r="F34" i="18"/>
  <c r="D15" i="19" s="1"/>
  <c r="C41" i="19" s="1"/>
  <c r="E15" i="19"/>
  <c r="M161" i="18"/>
  <c r="H91" i="19"/>
  <c r="F257" i="18"/>
  <c r="M5" i="18"/>
  <c r="F23" i="19"/>
  <c r="E62" i="19"/>
  <c r="E71" i="19" s="1"/>
  <c r="K197" i="18"/>
  <c r="I91" i="19"/>
  <c r="F258" i="18"/>
  <c r="D42" i="8"/>
  <c r="U35" i="15" s="1"/>
  <c r="C42" i="8"/>
  <c r="E17" i="19"/>
  <c r="F53" i="18"/>
  <c r="D17" i="19" s="1"/>
  <c r="E41" i="19" s="1"/>
  <c r="I53" i="18"/>
  <c r="G17" i="19" s="1"/>
  <c r="E50" i="19" s="1"/>
  <c r="I255" i="18" s="1"/>
  <c r="M71" i="18"/>
  <c r="C38" i="8"/>
  <c r="D38" i="8"/>
  <c r="Q35" i="15" s="1"/>
  <c r="F256" i="18"/>
  <c r="G91" i="19"/>
  <c r="I43" i="18"/>
  <c r="G16" i="19" s="1"/>
  <c r="D50" i="19" s="1"/>
  <c r="H255" i="18" s="1"/>
  <c r="F43" i="18"/>
  <c r="D16" i="19" s="1"/>
  <c r="D41" i="19" s="1"/>
  <c r="E16" i="19"/>
  <c r="M188" i="18"/>
  <c r="AB8" i="18"/>
  <c r="AT17" i="8"/>
  <c r="AU17" i="8" s="1"/>
  <c r="AS18" i="8"/>
  <c r="E18" i="19"/>
  <c r="I62" i="18"/>
  <c r="G18" i="19" s="1"/>
  <c r="F50" i="19" s="1"/>
  <c r="J255" i="18" s="1"/>
  <c r="F62" i="18"/>
  <c r="D18" i="19" s="1"/>
  <c r="F41" i="19" s="1"/>
  <c r="M134" i="18"/>
  <c r="M152" i="18"/>
  <c r="M98" i="18"/>
  <c r="M89" i="18"/>
  <c r="AB64" i="18"/>
  <c r="J91" i="19"/>
  <c r="F259" i="18"/>
  <c r="G10" i="12"/>
  <c r="G6" i="18"/>
  <c r="G8" i="18" s="1"/>
  <c r="G6" i="15"/>
  <c r="G8" i="15" s="1"/>
  <c r="AF18" i="8"/>
  <c r="B41" i="8" s="1"/>
  <c r="K6" i="19"/>
  <c r="E14" i="19" s="1"/>
  <c r="K125" i="18" l="1"/>
  <c r="C60" i="19"/>
  <c r="C69" i="19" s="1"/>
  <c r="F63" i="19"/>
  <c r="F72" i="19" s="1"/>
  <c r="C62" i="19"/>
  <c r="C71" i="19" s="1"/>
  <c r="K143" i="18"/>
  <c r="K116" i="18"/>
  <c r="F62" i="19"/>
  <c r="F71" i="19" s="1"/>
  <c r="M62" i="18"/>
  <c r="K62" i="18" s="1"/>
  <c r="I18" i="19" s="1"/>
  <c r="K224" i="18"/>
  <c r="M43" i="18"/>
  <c r="K43" i="18" s="1"/>
  <c r="I16" i="19" s="1"/>
  <c r="F61" i="19"/>
  <c r="F70" i="19" s="1"/>
  <c r="M34" i="18"/>
  <c r="K15" i="19" s="1"/>
  <c r="C59" i="19" s="1"/>
  <c r="C68" i="19" s="1"/>
  <c r="K5" i="18"/>
  <c r="H23" i="19" s="1"/>
  <c r="J23" i="19"/>
  <c r="B59" i="19" s="1"/>
  <c r="D61" i="19"/>
  <c r="D70" i="19" s="1"/>
  <c r="K152" i="18"/>
  <c r="C7" i="19"/>
  <c r="C5" i="12"/>
  <c r="AI18" i="8"/>
  <c r="F60" i="19"/>
  <c r="F69" i="19" s="1"/>
  <c r="K134" i="18"/>
  <c r="D28" i="8"/>
  <c r="C28" i="8"/>
  <c r="K71" i="18"/>
  <c r="H24" i="19" s="1"/>
  <c r="J24" i="19"/>
  <c r="B60" i="19" s="1"/>
  <c r="C33" i="8"/>
  <c r="D33" i="8"/>
  <c r="D41" i="8"/>
  <c r="T35" i="15" s="1"/>
  <c r="C41" i="8"/>
  <c r="M53" i="18"/>
  <c r="E61" i="19"/>
  <c r="E70" i="19" s="1"/>
  <c r="K161" i="18"/>
  <c r="J27" i="19"/>
  <c r="B63" i="19" s="1"/>
  <c r="K98" i="18"/>
  <c r="H27" i="19" s="1"/>
  <c r="K215" i="18"/>
  <c r="C63" i="19"/>
  <c r="C72" i="19" s="1"/>
  <c r="K188" i="18"/>
  <c r="D62" i="19"/>
  <c r="D71" i="19" s="1"/>
  <c r="J25" i="19"/>
  <c r="B61" i="19" s="1"/>
  <c r="K80" i="18"/>
  <c r="H25" i="19" s="1"/>
  <c r="M8" i="18"/>
  <c r="J26" i="19"/>
  <c r="B62" i="19" s="1"/>
  <c r="K89" i="18"/>
  <c r="H26" i="19" s="1"/>
  <c r="K6" i="15"/>
  <c r="K8" i="15" s="1"/>
  <c r="O6" i="19"/>
  <c r="I14" i="19" s="1"/>
  <c r="K10" i="12"/>
  <c r="K50" i="12" s="1"/>
  <c r="K6" i="18"/>
  <c r="K18" i="19" l="1"/>
  <c r="F59" i="19" s="1"/>
  <c r="F68" i="19" s="1"/>
  <c r="K8" i="18"/>
  <c r="K34" i="18"/>
  <c r="I15" i="19" s="1"/>
  <c r="K16" i="19"/>
  <c r="D59" i="19" s="1"/>
  <c r="D68" i="19" s="1"/>
  <c r="B69" i="19"/>
  <c r="L91" i="19"/>
  <c r="L6" i="18"/>
  <c r="L8" i="18" s="1"/>
  <c r="L6" i="15"/>
  <c r="L8" i="15" s="1"/>
  <c r="P6" i="19"/>
  <c r="J14" i="19" s="1"/>
  <c r="L10" i="12"/>
  <c r="M50" i="12" s="1"/>
  <c r="B71" i="19"/>
  <c r="N91" i="19"/>
  <c r="K53" i="18"/>
  <c r="I17" i="19" s="1"/>
  <c r="K17" i="19"/>
  <c r="E59" i="19" s="1"/>
  <c r="E68" i="19" s="1"/>
  <c r="O91" i="19"/>
  <c r="B72" i="19"/>
  <c r="K91" i="19"/>
  <c r="B68" i="19"/>
  <c r="B70" i="19"/>
  <c r="M91"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<sst xmlns="http://schemas.openxmlformats.org/spreadsheetml/2006/main" count="2635" uniqueCount="394">
  <si>
    <t>Vaccine coverage inputs</t>
  </si>
  <si>
    <t>Month</t>
  </si>
  <si>
    <t>incidence rate of non-hospitalized infections</t>
  </si>
  <si>
    <t>Monthly vaccine coverage</t>
  </si>
  <si>
    <t>Susceptible at start of month</t>
  </si>
  <si>
    <t>Monthly effectively vaccinated*</t>
  </si>
  <si>
    <t>hospitalized infections</t>
  </si>
  <si>
    <t>Cumulative hospitalized infections</t>
  </si>
  <si>
    <t>non-hospitalized infections</t>
  </si>
  <si>
    <t>Cumulative non-hospitalized infections</t>
  </si>
  <si>
    <t>Remaining susceptible</t>
  </si>
  <si>
    <t>Cumulative</t>
  </si>
  <si>
    <t>Burden/hospitalizations averted:</t>
  </si>
  <si>
    <t xml:space="preserve"> incidence rate of hospitalized infections</t>
  </si>
  <si>
    <t>Cumulative effectively vaccinated</t>
  </si>
  <si>
    <t>Introduction</t>
  </si>
  <si>
    <t>Legend</t>
  </si>
  <si>
    <t>Sheet</t>
  </si>
  <si>
    <t>Description</t>
  </si>
  <si>
    <t>Estimated rates</t>
  </si>
  <si>
    <t>Non hospitalized infection averted</t>
  </si>
  <si>
    <t>Total infection averted</t>
  </si>
  <si>
    <t>NNV Total infection</t>
  </si>
  <si>
    <t>NNV non hospitalized infection</t>
  </si>
  <si>
    <t>Campaign months</t>
  </si>
  <si>
    <t>NNV hospitlaized infection</t>
  </si>
  <si>
    <t>Prevented fraction (non hospitalized infection</t>
  </si>
  <si>
    <t>Prevented fraction hospitalized infection</t>
  </si>
  <si>
    <t>Non hospitalized infection AV</t>
  </si>
  <si>
    <t>Non hospitalized infection PV</t>
  </si>
  <si>
    <t xml:space="preserve">Total infection AV </t>
  </si>
  <si>
    <t>Total infection PV</t>
  </si>
  <si>
    <t>Hospitalized infection AV</t>
  </si>
  <si>
    <t>Hospitalized infection PV</t>
  </si>
  <si>
    <t>Controles</t>
  </si>
  <si>
    <t>Cob total *target population</t>
  </si>
  <si>
    <t>Vacunados mensuales</t>
  </si>
  <si>
    <t>mes 1: Vacunados+ no vacunados-targent population</t>
  </si>
  <si>
    <t>mes 6: Vacunados+ no vacunados-targent population</t>
  </si>
  <si>
    <t>mes 12: Vacunados+ no vacunados-targent population</t>
  </si>
  <si>
    <t>Season</t>
  </si>
  <si>
    <t>Target group</t>
  </si>
  <si>
    <t>Vaccine effectivenes</t>
  </si>
  <si>
    <t>Multipliers</t>
  </si>
  <si>
    <t>Hospitalized infections</t>
  </si>
  <si>
    <t>Overall infections</t>
  </si>
  <si>
    <t>Abscence of vaccine</t>
  </si>
  <si>
    <t>Indicadores de impacto</t>
  </si>
  <si>
    <t>Total coverage</t>
  </si>
  <si>
    <t>Prevented fraction</t>
  </si>
  <si>
    <t>Non-hospitalized infections</t>
  </si>
  <si>
    <t xml:space="preserve">Averted </t>
  </si>
  <si>
    <t>NNV</t>
  </si>
  <si>
    <t>Population</t>
  </si>
  <si>
    <t>Avoided events</t>
  </si>
  <si>
    <t>non-hopsitalized infections</t>
  </si>
  <si>
    <t>Control</t>
  </si>
  <si>
    <t xml:space="preserve">Control </t>
  </si>
  <si>
    <t>Medical attended infections</t>
  </si>
  <si>
    <t>Cumulative medical attended infetions</t>
  </si>
  <si>
    <t>Scenario of influenza circulation in absence of vaccine</t>
  </si>
  <si>
    <t>Cumulative overall infections</t>
  </si>
  <si>
    <t>Presence of vaccine</t>
  </si>
  <si>
    <t>Susceptible population in presence of vaccine</t>
  </si>
  <si>
    <t>Susceptible at start of month in abssence of vaccine</t>
  </si>
  <si>
    <t>Reversible model</t>
  </si>
  <si>
    <t>Absence to present model</t>
  </si>
  <si>
    <t>Presence to absence model</t>
  </si>
  <si>
    <t>Resultados</t>
  </si>
  <si>
    <t>P to A</t>
  </si>
  <si>
    <t>A to P</t>
  </si>
  <si>
    <t>Mes</t>
  </si>
  <si>
    <t>non-hospitalized infecctions in scenario with vaccine</t>
  </si>
  <si>
    <t>B8</t>
  </si>
  <si>
    <t>B9</t>
  </si>
  <si>
    <t>B10</t>
  </si>
  <si>
    <t>B11</t>
  </si>
  <si>
    <t>B12</t>
  </si>
  <si>
    <t>B13</t>
  </si>
  <si>
    <t>B14</t>
  </si>
  <si>
    <t>B15</t>
  </si>
  <si>
    <t>B16</t>
  </si>
  <si>
    <t>D8</t>
  </si>
  <si>
    <t>D9</t>
  </si>
  <si>
    <t>D10</t>
  </si>
  <si>
    <t>D11</t>
  </si>
  <si>
    <t>D12</t>
  </si>
  <si>
    <t>D13</t>
  </si>
  <si>
    <t>D14</t>
  </si>
  <si>
    <t>D15</t>
  </si>
  <si>
    <t>D16</t>
  </si>
  <si>
    <t>Q11</t>
  </si>
  <si>
    <t>S11</t>
  </si>
  <si>
    <t>Q12</t>
  </si>
  <si>
    <t>Q13</t>
  </si>
  <si>
    <t>Q14</t>
  </si>
  <si>
    <t>Q15</t>
  </si>
  <si>
    <t>Q16</t>
  </si>
  <si>
    <t>S12</t>
  </si>
  <si>
    <t>S13</t>
  </si>
  <si>
    <t>S14</t>
  </si>
  <si>
    <t>S15</t>
  </si>
  <si>
    <t>S16</t>
  </si>
  <si>
    <t>Scenario of influenza circulation in presence of vaccine</t>
  </si>
  <si>
    <t>non-hospitalized infections in the scenario without vaccine</t>
  </si>
  <si>
    <t>Q10</t>
  </si>
  <si>
    <t>S10</t>
  </si>
  <si>
    <t>non-hospitalized</t>
  </si>
  <si>
    <t>Escenario BASAL</t>
  </si>
  <si>
    <t>Menor efectividad</t>
  </si>
  <si>
    <t>Mayor efectividad</t>
  </si>
  <si>
    <t>(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26-BA26-BB26-BC26-BD26-(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28-BA28-BB28-BC28-BD28)*H_10/(TP-H_1-H_2-H_3-H_4-H_5-H_6-H_7-H_8-H_9-(hnh*(H_1+H_2+H_3+H_4+H_5+H_6+H_7+H_8+H_9))-(TP*UVE*(Co_1+Co_2+Co_3+Co_4+Co_5+Co_6+Co_7+Co_8+Co_9)))</t>
  </si>
  <si>
    <t>SI(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26-BA26-BB26-BC26-BD26-BE26-(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28-BA28-BB28-BC28-BD28-BE28)*H_11*hnh/(TP-H_1-H_2-H_3-H_4-H_5-H_6-H_7-H_8-H_9-H_10-(hnh*(H_1+H_2+H_3+H_4+H_5+H_6+H_7+H_8+H_9+H_10))-(TP*UVE*(Co_1+Co_2+Co_3+Co_4+Co_5+Co_6+Co_7+Co_8+Co_9+Co_10)));SI(ScI=2;H_11*hnh;0))</t>
  </si>
  <si>
    <t>Lower VE</t>
  </si>
  <si>
    <t>Upper VE</t>
  </si>
  <si>
    <t>Lower ratio H/nH</t>
  </si>
  <si>
    <t>Upper ratio H/nH</t>
  </si>
  <si>
    <t>SI(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lhnh/(TP-H_1-H_2-H_3-H_4-(lhnh*(H_1+H_2+H_3+H_4))-(TP*VE*(Co_1+Co_2+Co_3+Co_4)));SI(ScI=2;H_5*lhnh;0))</t>
  </si>
  <si>
    <t>Lower ratio Hosp /non hosp</t>
  </si>
  <si>
    <t>Upper ratio Hosp /non hosp</t>
  </si>
  <si>
    <t>Actual scenario=</t>
  </si>
  <si>
    <t>Sum Monthly vaccinated</t>
  </si>
  <si>
    <t>(Vaccinated + no vacunados)-target population</t>
  </si>
  <si>
    <t>Month 4</t>
  </si>
  <si>
    <t>Month 6</t>
  </si>
  <si>
    <t>Month 12</t>
  </si>
  <si>
    <t>Lower coverage</t>
  </si>
  <si>
    <t>Total Coverage</t>
  </si>
  <si>
    <t>lower coverage</t>
  </si>
  <si>
    <t>Upper coverage</t>
  </si>
  <si>
    <t>lower burden of disease</t>
  </si>
  <si>
    <t>Total</t>
  </si>
  <si>
    <t>Lower</t>
  </si>
  <si>
    <t>Upper</t>
  </si>
  <si>
    <t>Coverage</t>
  </si>
  <si>
    <t>Upper burden of disease</t>
  </si>
  <si>
    <t>Upper hospitalizations</t>
  </si>
  <si>
    <t>Basal coverage</t>
  </si>
  <si>
    <t>Coverage 1</t>
  </si>
  <si>
    <t>Coverage 2</t>
  </si>
  <si>
    <t>Coverage 3</t>
  </si>
  <si>
    <t>Coverage 4</t>
  </si>
  <si>
    <t>Initial</t>
  </si>
  <si>
    <t>Distribution</t>
  </si>
  <si>
    <t>Suceptible population</t>
  </si>
  <si>
    <t>risk h</t>
  </si>
  <si>
    <t>risk no h</t>
  </si>
  <si>
    <t>Hosp</t>
  </si>
  <si>
    <t>no hosp</t>
  </si>
  <si>
    <t>Cum Hosp</t>
  </si>
  <si>
    <t>Cum no hosp</t>
  </si>
  <si>
    <t>Scenario 1</t>
  </si>
  <si>
    <t>Scenario 2</t>
  </si>
  <si>
    <t>Scenario 3</t>
  </si>
  <si>
    <t>Scenario 4</t>
  </si>
  <si>
    <t>Time deployment 1</t>
  </si>
  <si>
    <t>Strategy 1</t>
  </si>
  <si>
    <t>Strategy 2</t>
  </si>
  <si>
    <t>Strategy 3</t>
  </si>
  <si>
    <t>Strategy 4</t>
  </si>
  <si>
    <t>Time deployment 2</t>
  </si>
  <si>
    <t>Time deployment 3</t>
  </si>
  <si>
    <t>Identification parameters</t>
  </si>
  <si>
    <t>Lower hospitalization</t>
  </si>
  <si>
    <t>Scenario Basal</t>
  </si>
  <si>
    <t>year</t>
  </si>
  <si>
    <t>target_grp</t>
  </si>
  <si>
    <t>population</t>
  </si>
  <si>
    <t>month</t>
  </si>
  <si>
    <t>adj_hosprate</t>
  </si>
  <si>
    <t>mnth_coverage</t>
  </si>
  <si>
    <t>total_coverage</t>
  </si>
  <si>
    <t>coverage_se</t>
  </si>
  <si>
    <t>adjve</t>
  </si>
  <si>
    <t>adjve_lcl</t>
  </si>
  <si>
    <t>adjve_ucl</t>
  </si>
  <si>
    <t>mult_frac</t>
  </si>
  <si>
    <t>scenario</t>
  </si>
  <si>
    <t>pvinc_ill</t>
  </si>
  <si>
    <t>pvinc_ma</t>
  </si>
  <si>
    <t>pvinc_nhosp</t>
  </si>
  <si>
    <t>pvinc_hosp</t>
  </si>
  <si>
    <t>avinc_ill</t>
  </si>
  <si>
    <t>avinc_ma</t>
  </si>
  <si>
    <t>avinc_nhosp</t>
  </si>
  <si>
    <t>avinc_hosp</t>
  </si>
  <si>
    <t>pvn_hosp</t>
  </si>
  <si>
    <t>pvn_nohosp</t>
  </si>
  <si>
    <t>pvn_case</t>
  </si>
  <si>
    <t>pvn_macase</t>
  </si>
  <si>
    <t>avn_hosp</t>
  </si>
  <si>
    <t>avn_nohosp</t>
  </si>
  <si>
    <t>avn_case</t>
  </si>
  <si>
    <t>avn_macase</t>
  </si>
  <si>
    <t>Univariate analysis</t>
  </si>
  <si>
    <t>ve_lbound</t>
  </si>
  <si>
    <t>ve_ubound</t>
  </si>
  <si>
    <t>vc_lbound</t>
  </si>
  <si>
    <t>vc_ubound</t>
  </si>
  <si>
    <t>pvavinf_lbound</t>
  </si>
  <si>
    <t>pvavinf_mbound</t>
  </si>
  <si>
    <t>pvavinf_ubound</t>
  </si>
  <si>
    <t>pvavmainf_lbound</t>
  </si>
  <si>
    <t>pvavmainf_mbound</t>
  </si>
  <si>
    <t>pvavmainf_ubound</t>
  </si>
  <si>
    <t>pvavhosp_lbound</t>
  </si>
  <si>
    <t>pvavhosp_mbound</t>
  </si>
  <si>
    <t>pvavhosp_ubound</t>
  </si>
  <si>
    <t>pvavnhosp_lbound</t>
  </si>
  <si>
    <t>pvavnhosp_mbound</t>
  </si>
  <si>
    <t>pvavnhosp_ubound</t>
  </si>
  <si>
    <t>pvnnv_inf_lbound</t>
  </si>
  <si>
    <t>pvnnv_inf_mbound</t>
  </si>
  <si>
    <t>pvnnv_inf_ubound</t>
  </si>
  <si>
    <t>pvnnv_mainf_lbound</t>
  </si>
  <si>
    <t>pvnnv_mainf_mbound</t>
  </si>
  <si>
    <t>pvnnv_mainf_ubound</t>
  </si>
  <si>
    <t>pvnnv_hosp_lbound</t>
  </si>
  <si>
    <t>pvnnv_hosp_mbound</t>
  </si>
  <si>
    <t>pvnnv_hosp_ubound</t>
  </si>
  <si>
    <t>pvnnv_nhosp_lbound</t>
  </si>
  <si>
    <t>pvnnv_nhosp_mbound</t>
  </si>
  <si>
    <t>pvnnv_nhosp_ubound</t>
  </si>
  <si>
    <t>pvavinfperc_lbound</t>
  </si>
  <si>
    <t>pvavinfperc_mbound</t>
  </si>
  <si>
    <t>pvavinfperc_ubound</t>
  </si>
  <si>
    <t>pvavhospperc_lbound</t>
  </si>
  <si>
    <t>pvavhospperc_mbound</t>
  </si>
  <si>
    <t>pvavhospperc_ubound</t>
  </si>
  <si>
    <t>pvavnhospperc_lbound</t>
  </si>
  <si>
    <t>pvavnhospperc_mbound</t>
  </si>
  <si>
    <t>pvavnhospperc_ubound</t>
  </si>
  <si>
    <t>avavinf_lbound</t>
  </si>
  <si>
    <t>avavinf_mbound</t>
  </si>
  <si>
    <t>avavinf_ubound</t>
  </si>
  <si>
    <t>avavmainf_lbound</t>
  </si>
  <si>
    <t>avavmainf_mbound</t>
  </si>
  <si>
    <t>avavmainf_ubound</t>
  </si>
  <si>
    <t>avavhosp_lbound</t>
  </si>
  <si>
    <t>avavhosp_mbound</t>
  </si>
  <si>
    <t>avavhosp_ubound</t>
  </si>
  <si>
    <t>avavnhosp_lbound</t>
  </si>
  <si>
    <t>avavnhosp_mbound</t>
  </si>
  <si>
    <t>avavnhosp_ubound</t>
  </si>
  <si>
    <t>avnnv_inf_lbound</t>
  </si>
  <si>
    <t>avnnv_inf_mbound</t>
  </si>
  <si>
    <t>avnnv_inf_ubound</t>
  </si>
  <si>
    <t>avnnv_mainf_lbound</t>
  </si>
  <si>
    <t>avnnv_mainf_mbound</t>
  </si>
  <si>
    <t>avnnv_mainf_ubound</t>
  </si>
  <si>
    <t>avnnv_hosp_lbound</t>
  </si>
  <si>
    <t>avnnv_hosp_mbound</t>
  </si>
  <si>
    <t>avnnv_hosp_ubound</t>
  </si>
  <si>
    <t>avnnv_nhosp_lbound</t>
  </si>
  <si>
    <t>avnnv_nhosp_mbound</t>
  </si>
  <si>
    <t>avnnv_nhosp_ubound</t>
  </si>
  <si>
    <t>avavinfperc_lbound</t>
  </si>
  <si>
    <t>avavinfperc_mbound</t>
  </si>
  <si>
    <t>avavinfperc_ubound</t>
  </si>
  <si>
    <t>avavhospperc_lbound</t>
  </si>
  <si>
    <t>avavhospperc_mbound</t>
  </si>
  <si>
    <t>avavhospperc_ubound</t>
  </si>
  <si>
    <t>avavnhospperc_lbound</t>
  </si>
  <si>
    <t>avavnhospperc_mbound</t>
  </si>
  <si>
    <t>avavnhospperc_ubound</t>
  </si>
  <si>
    <t>Vaccine estimations</t>
  </si>
  <si>
    <t>1- Current influenza vaccination</t>
  </si>
  <si>
    <t>2 - Hypothetical influenza vaccination</t>
  </si>
  <si>
    <r>
      <t>Vaccine effectivenes (VE)</t>
    </r>
    <r>
      <rPr>
        <b/>
        <sz val="11"/>
        <color rgb="FFFF0000"/>
        <rFont val="Calibri"/>
        <family val="2"/>
        <scheme val="minor"/>
      </rPr>
      <t>*</t>
    </r>
  </si>
  <si>
    <r>
      <t>Season</t>
    </r>
    <r>
      <rPr>
        <sz val="11"/>
        <color rgb="FFFF0000"/>
        <rFont val="Calibri"/>
        <family val="2"/>
        <scheme val="minor"/>
      </rPr>
      <t>*</t>
    </r>
  </si>
  <si>
    <r>
      <t>Country</t>
    </r>
    <r>
      <rPr>
        <sz val="11"/>
        <color rgb="FFFF0000"/>
        <rFont val="Calibri"/>
        <family val="2"/>
        <scheme val="minor"/>
      </rPr>
      <t>*</t>
    </r>
  </si>
  <si>
    <r>
      <t>Target group</t>
    </r>
    <r>
      <rPr>
        <sz val="11"/>
        <color rgb="FFFF0000"/>
        <rFont val="Calibri"/>
        <family val="2"/>
        <scheme val="minor"/>
      </rPr>
      <t>*</t>
    </r>
  </si>
  <si>
    <r>
      <t xml:space="preserve">Size of the target group </t>
    </r>
    <r>
      <rPr>
        <sz val="11"/>
        <color rgb="FFFF0000"/>
        <rFont val="Calibri"/>
        <family val="2"/>
        <scheme val="minor"/>
      </rPr>
      <t>*</t>
    </r>
  </si>
  <si>
    <t>VE lower CI</t>
  </si>
  <si>
    <t>VE upper CI</t>
  </si>
  <si>
    <r>
      <t>Monthly coverage</t>
    </r>
    <r>
      <rPr>
        <b/>
        <sz val="11"/>
        <color rgb="FFFF0000"/>
        <rFont val="Calibri"/>
        <family val="2"/>
        <scheme val="minor"/>
      </rPr>
      <t>*</t>
    </r>
  </si>
  <si>
    <r>
      <t xml:space="preserve">Monthly number of hospitalizations </t>
    </r>
    <r>
      <rPr>
        <b/>
        <sz val="11"/>
        <color rgb="FFFF0000"/>
        <rFont val="Calibri"/>
        <family val="2"/>
        <scheme val="minor"/>
      </rPr>
      <t>*</t>
    </r>
  </si>
  <si>
    <r>
      <t>Vaccination start month</t>
    </r>
    <r>
      <rPr>
        <b/>
        <sz val="11"/>
        <color rgb="FFFF0000"/>
        <rFont val="Calibri"/>
        <family val="2"/>
        <scheme val="minor"/>
      </rPr>
      <t>*</t>
    </r>
  </si>
  <si>
    <t>Jan</t>
  </si>
  <si>
    <t>Feb</t>
  </si>
  <si>
    <t>Mar</t>
  </si>
  <si>
    <t>Apr</t>
  </si>
  <si>
    <t>May</t>
  </si>
  <si>
    <t>Jun</t>
  </si>
  <si>
    <t>Jul</t>
  </si>
  <si>
    <t>Aug</t>
  </si>
  <si>
    <t>Sep</t>
  </si>
  <si>
    <t>Oct</t>
  </si>
  <si>
    <t>Nov</t>
  </si>
  <si>
    <t>Dec</t>
  </si>
  <si>
    <t>Distribution of the coverage</t>
  </si>
  <si>
    <t>Avoided infections</t>
  </si>
  <si>
    <t>monthly coverage</t>
  </si>
  <si>
    <t xml:space="preserve"> </t>
  </si>
  <si>
    <t>What do you want to graph?</t>
  </si>
  <si>
    <t>Time deployment 4</t>
  </si>
  <si>
    <t>Time deployment 1 and Coverage 1</t>
  </si>
  <si>
    <t>Time deployment 1 and coverage 2</t>
  </si>
  <si>
    <t>Time deployment 1 and coverage 3</t>
  </si>
  <si>
    <t>Time deployment 1 and coverage 4</t>
  </si>
  <si>
    <t>Time deployment 2 and coverage 1</t>
  </si>
  <si>
    <t>Time deployment 2 and coverage 2</t>
  </si>
  <si>
    <t>Time deployment 2 and coverage 3</t>
  </si>
  <si>
    <t>Time deployment 2 and coverage 4</t>
  </si>
  <si>
    <t>Time deployment 3 and coverage 1</t>
  </si>
  <si>
    <t>Time deployment 3 and coverage 2</t>
  </si>
  <si>
    <t>Time deployment 3 and coverage 3</t>
  </si>
  <si>
    <t>Time deployment 3 and coverage 4</t>
  </si>
  <si>
    <t>Time deployment 4 and coverage 1</t>
  </si>
  <si>
    <t>Time deployment 4 and coverage 2</t>
  </si>
  <si>
    <t>Time deployment 4 and coverage 3</t>
  </si>
  <si>
    <t>Time deployment 4 and coverage 4</t>
  </si>
  <si>
    <t>Basal strategy</t>
  </si>
  <si>
    <t>Lower ratio nH/H</t>
  </si>
  <si>
    <t>Upper ratio nH/H</t>
  </si>
  <si>
    <t xml:space="preserve">Lower CI 95% </t>
  </si>
  <si>
    <t xml:space="preserve">Upper CI 95% </t>
  </si>
  <si>
    <r>
      <t>Ratio non-hospitalized / hospitalized infections</t>
    </r>
    <r>
      <rPr>
        <sz val="11"/>
        <color rgb="FFFF0000"/>
        <rFont val="Calibri"/>
        <family val="2"/>
        <scheme val="minor"/>
      </rPr>
      <t>*</t>
    </r>
  </si>
  <si>
    <t>Averted hospitalized infections</t>
  </si>
  <si>
    <t>Averted overall infections</t>
  </si>
  <si>
    <t>Averted non-hospitalized infections</t>
  </si>
  <si>
    <t>Inputs</t>
  </si>
  <si>
    <t>Proportion of influenza-associated infections that were medically attended</t>
  </si>
  <si>
    <t>Estándar error of the coverage</t>
  </si>
  <si>
    <t>Total number of hospitalizations</t>
  </si>
  <si>
    <t>Non Hospitalized infections</t>
  </si>
  <si>
    <t>Medically-attended infections</t>
  </si>
  <si>
    <t>Impact indicators</t>
  </si>
  <si>
    <t>Vaccine effectiveness</t>
  </si>
  <si>
    <t>Base coverage</t>
  </si>
  <si>
    <t>Base strategy</t>
  </si>
  <si>
    <t>Base</t>
  </si>
  <si>
    <t>Confidence intervals  (copy and paste from the summary file from R estimation)</t>
  </si>
  <si>
    <t>Observed scenario of influenza circulation in presence of vaccination</t>
  </si>
  <si>
    <t>Hypothetical estimated scenario of influenza circulation in absence of vaccination</t>
  </si>
  <si>
    <t>Cumulative medically- attended infetions</t>
  </si>
  <si>
    <t>Medically attended infections</t>
  </si>
  <si>
    <t>Observed scenario of influenza circulation in absence of vaccination</t>
  </si>
  <si>
    <t>Cumulative medically-attended infetions</t>
  </si>
  <si>
    <t>Hypothetical estimated scenario of influenza circulation in presence of vaccination</t>
  </si>
  <si>
    <t>Results</t>
  </si>
  <si>
    <t>Scenarios</t>
  </si>
  <si>
    <t>R_import</t>
  </si>
  <si>
    <t>3.1 Current vaccine model</t>
  </si>
  <si>
    <t>3.2 Hypothetical vaccine model</t>
  </si>
  <si>
    <t>R_export</t>
  </si>
  <si>
    <t xml:space="preserve">This sheet contains cells to enter the data identifying the place, the time and the population under evaluation and the data necessary to run the model. 
</t>
  </si>
  <si>
    <t>This sheet reports the results in the base scenario including, the number of cases in the presence and absence of a vaccination campaign, the prevented fraction, and the averted cases and number needed to vaccinate for non-hospitalized, hospitalized, medically attended and overall infections. 
If you pasted the summary result for CIs obtained from R in R-import sheet (see below), CIs will be included for every indicator. 
The sheet also includes results of the univariate analysis using the extreme values entered in Inputs.</t>
  </si>
  <si>
    <t>This sheet contains cells to enter hypothetical scenarios changing the level of vaccine coverage and the timing of vaccine deployment. The instruction to use this sheet are in the sheet.</t>
  </si>
  <si>
    <t xml:space="preserve">This sheet is used to paste the summary results from the R model calculating 95% CIs. </t>
  </si>
  <si>
    <t>Yellow cells are to enter data. The yellow cell are the only cell you can introduce data</t>
  </si>
  <si>
    <t>Yellow cells with red borders and * are mandatory. The yellow cell are the only cell you can introduce data</t>
  </si>
  <si>
    <t>Blue cells = contain formulas – do not change! </t>
  </si>
  <si>
    <t>Yellow cells = optional (for estimating confidence intervals)</t>
  </si>
  <si>
    <t>Yellow cells with red borders = mandatory</t>
  </si>
  <si>
    <t>Base results</t>
  </si>
  <si>
    <t>This sheet reports the results in the base scenario including, the number of cases in the presence and absence of a vaccination campaign, the prevented fractions, and the averted cases and number needed to vaccinate for non-hospitalized, hospitalized, medically attended and overall infections.
If you pasted the summary result for CIs obtained from R in R-import sheet (see below), CIs will be included for every indicator. 
The sheet also includes results of the univariate analysis using the extreme values entered in Inputs.</t>
  </si>
  <si>
    <t>This includes a graph of the base scenario results – use the drop-down menu to select a graph of infections averted or hospitalizations averted</t>
  </si>
  <si>
    <t>Infections</t>
  </si>
  <si>
    <t>Hospitalizations</t>
  </si>
  <si>
    <t>Introduce different inputs in yellow cells.</t>
  </si>
  <si>
    <t>Scenario-diferent coverage</t>
  </si>
  <si>
    <t>Scenario diferent strategy</t>
  </si>
  <si>
    <t xml:space="preserve">This sheet contains cells to enter hypothetical scenarios changing the level of vaccine coverage and the timing of vaccine deployment.
This sheet has four parts: 
1.	Base scenario - results of the base analysis are repeated. 
2.	Scenario different coverage: model estimates if vaccine coverage is changed, maintaining the timing of deployment specified in the base model. 
3.	Scenario different strategy :model estimates if you change the timing of vaccine deployment, maintaining the base model coverage. 
4.	Scenarios of different coverage and strategy- model estimates when you change the total coverage and the deployment strategy at the same time. </t>
  </si>
  <si>
    <t>Tables with changes in coverage and deployment</t>
  </si>
  <si>
    <t xml:space="preserve">These four tables show you the combinate effect of changing the coverage and the deployment strategy using the information coming from the previous tables. Do not change anything in the cells
The first graph displays the prevented fraction and the second graph displays the averted cases. In the dropdown menu in cell  J60, select to graph hospitalized, non-hospitalized or overall infections. </t>
  </si>
  <si>
    <r>
      <t>First month included in the</t>
    </r>
    <r>
      <rPr>
        <b/>
        <sz val="11"/>
        <color rgb="FFFF0000"/>
        <rFont val="Calibri"/>
        <family val="2"/>
        <scheme val="minor"/>
      </rPr>
      <t>*</t>
    </r>
    <r>
      <rPr>
        <b/>
        <sz val="11"/>
        <color theme="1"/>
        <rFont val="Calibri"/>
        <family val="2"/>
        <scheme val="minor"/>
      </rPr>
      <t xml:space="preserve"> estimation</t>
    </r>
    <r>
      <rPr>
        <b/>
        <sz val="11"/>
        <color rgb="FFFF0000"/>
        <rFont val="Calibri"/>
        <family val="2"/>
        <scheme val="minor"/>
      </rPr>
      <t>*</t>
    </r>
  </si>
  <si>
    <t>Months between first month included in the estimation and vaccination start month</t>
  </si>
  <si>
    <r>
      <rPr>
        <b/>
        <sz val="12"/>
        <color theme="1"/>
        <rFont val="Calibri"/>
        <family val="2"/>
        <scheme val="minor"/>
      </rPr>
      <t>How to start:</t>
    </r>
    <r>
      <rPr>
        <sz val="12"/>
        <color theme="1"/>
        <rFont val="Calibri"/>
        <family val="2"/>
        <scheme val="minor"/>
      </rPr>
      <t xml:space="preserve"> Select whether you want to model: 
(1) a current/existing vaccination campaign 
                                    OR 
(2) a hypothetical vaccination campaign.
In the designated cell, enter: Season, location, target group (graph are constructed with this information), and size of target group.</t>
    </r>
  </si>
  <si>
    <t>Copy/paste for table:</t>
  </si>
  <si>
    <t># inf</t>
  </si>
  <si>
    <t># averted</t>
  </si>
  <si>
    <t># averted CI</t>
  </si>
  <si>
    <t>NNV CI</t>
  </si>
  <si>
    <t>Hospitalized</t>
  </si>
  <si>
    <t>Medically-attended</t>
  </si>
  <si>
    <t>Overall</t>
  </si>
  <si>
    <t>Cut / paste in table shell</t>
  </si>
  <si>
    <t>Prev. fraction</t>
  </si>
  <si>
    <t>S1</t>
  </si>
  <si>
    <t>S2</t>
  </si>
  <si>
    <t>S3</t>
  </si>
  <si>
    <t>S4</t>
  </si>
  <si>
    <t>Country X</t>
  </si>
  <si>
    <r>
      <t xml:space="preserve">Blue cells include formulas. </t>
    </r>
    <r>
      <rPr>
        <sz val="11"/>
        <color rgb="FFFF0000"/>
        <rFont val="Calibri"/>
        <family val="2"/>
        <scheme val="minor"/>
      </rPr>
      <t>DO NOT CHANGE THEM</t>
    </r>
  </si>
  <si>
    <r>
      <t xml:space="preserve">White or light grey cells are results. </t>
    </r>
    <r>
      <rPr>
        <sz val="11"/>
        <color rgb="FFFF0000"/>
        <rFont val="Calibri"/>
        <family val="2"/>
        <scheme val="minor"/>
      </rPr>
      <t>DO NOT CHANGE THEM</t>
    </r>
  </si>
  <si>
    <r>
      <t xml:space="preserve">These two sheets contain the structure of the model and calculates the results in the base scenario. </t>
    </r>
    <r>
      <rPr>
        <sz val="11"/>
        <color rgb="FFFF0000"/>
        <rFont val="Calibri"/>
        <family val="2"/>
        <scheme val="minor"/>
      </rPr>
      <t>DO NOT CHANGE ANYTHING IN THIS SHEET.</t>
    </r>
    <r>
      <rPr>
        <sz val="11"/>
        <color theme="1"/>
        <rFont val="Calibri"/>
        <family val="2"/>
        <scheme val="minor"/>
      </rPr>
      <t xml:space="preserve"> </t>
    </r>
  </si>
  <si>
    <r>
      <t xml:space="preserve">This sheet collect the necessary data to export to R and estimate the 95% CIs. </t>
    </r>
    <r>
      <rPr>
        <sz val="11"/>
        <color rgb="FFFF0000"/>
        <rFont val="Calibri"/>
        <family val="2"/>
        <scheme val="minor"/>
      </rPr>
      <t>DO NOT CHANGE ANYTHING IN THIS SHEET.</t>
    </r>
  </si>
  <si>
    <r>
      <t xml:space="preserve">What kind of impact estimation do you want to do? </t>
    </r>
    <r>
      <rPr>
        <sz val="11"/>
        <color rgb="FFFF0000"/>
        <rFont val="Calibri"/>
        <family val="2"/>
        <scheme val="minor"/>
      </rPr>
      <t>*</t>
    </r>
  </si>
  <si>
    <r>
      <rPr>
        <b/>
        <sz val="11"/>
        <color theme="1"/>
        <rFont val="Calibri"/>
        <family val="2"/>
        <scheme val="minor"/>
      </rPr>
      <t>Next, enter the following inputs:</t>
    </r>
    <r>
      <rPr>
        <sz val="11"/>
        <color theme="1"/>
        <rFont val="Calibri"/>
        <family val="2"/>
        <scheme val="minor"/>
      </rPr>
      <t xml:space="preserve">
- </t>
    </r>
    <r>
      <rPr>
        <b/>
        <sz val="11"/>
        <color theme="1"/>
        <rFont val="Calibri"/>
        <family val="2"/>
        <scheme val="minor"/>
      </rPr>
      <t>Vaccine effectiveness (VE)</t>
    </r>
    <r>
      <rPr>
        <sz val="11"/>
        <color theme="1"/>
        <rFont val="Calibri"/>
        <family val="2"/>
        <scheme val="minor"/>
      </rPr>
      <t xml:space="preserve">, and optional upper and lower 95% confidence interval for VE.
- </t>
    </r>
    <r>
      <rPr>
        <b/>
        <sz val="11"/>
        <color theme="1"/>
        <rFont val="Calibri"/>
        <family val="2"/>
        <scheme val="minor"/>
      </rPr>
      <t>Multiplier</t>
    </r>
    <r>
      <rPr>
        <sz val="11"/>
        <color theme="1"/>
        <rFont val="Calibri"/>
        <family val="2"/>
        <scheme val="minor"/>
      </rPr>
      <t xml:space="preserve"> for the ratio of non-hospitalized influenza infections to the number of influenza-associated hospitalizations
- Optional: upper/lower ratio of non-hospitalized to hospitalized infection
- Optional: proportion of influenza-associated infections that were medically attended
(This multiplier could or could not include asymptomatic infections in the non-hospitalized infections component. It depends on how it was estimated)
- </t>
    </r>
    <r>
      <rPr>
        <b/>
        <sz val="11"/>
        <color theme="1"/>
        <rFont val="Calibri"/>
        <family val="2"/>
        <scheme val="minor"/>
      </rPr>
      <t>The first month included in the estimation</t>
    </r>
    <r>
      <rPr>
        <sz val="11"/>
        <color theme="1"/>
        <rFont val="Calibri"/>
        <family val="2"/>
        <scheme val="minor"/>
      </rPr>
      <t>- It is recommended to include twelve months, but fewer months may be included if there are no data. The time period to evaluate depends on the characteristics of the season (seasonality, number of peaks, period of vaccination) and can begin with any month of the year. You must select the first month of the estimation (B23), though it is not necessary to be the first month of the vaccination campaign (it is recommended to begin one or more months before the beginning of the campaign, specially if you want to see the advance effect of the campaign). 
-</t>
    </r>
    <r>
      <rPr>
        <b/>
        <sz val="11"/>
        <color theme="1"/>
        <rFont val="Calibri"/>
        <family val="2"/>
        <scheme val="minor"/>
      </rPr>
      <t xml:space="preserve"> the first month of the vaccination campaign (B24</t>
    </r>
    <r>
      <rPr>
        <sz val="11"/>
        <color theme="1"/>
        <rFont val="Calibri"/>
        <family val="2"/>
        <scheme val="minor"/>
      </rPr>
      <t>) You must select the first month of the campaign (B24). The tool counts the months from the beginning of the evaluation (B25).
- Actual or hypothesized seasonal influenza vaccine coverage (%) in the target group by month
- Number of estimated influenza-associated hospitalization by month
For the coverage and hospitalizations the tool estimates the anual value. You could incorporate extreme anual values for both variables and the tool will use the base monthly distribution.
Once all the data inputs are entered in this sheet, the model automatically calculates the burden of disease averted in the “results” sheet.</t>
    </r>
  </si>
  <si>
    <r>
      <rPr>
        <b/>
        <sz val="12"/>
        <color theme="1"/>
        <rFont val="Calibri"/>
        <family val="2"/>
        <scheme val="minor"/>
      </rPr>
      <t>Table of coverage:</t>
    </r>
    <r>
      <rPr>
        <sz val="12"/>
        <color theme="1"/>
        <rFont val="Calibri"/>
        <family val="2"/>
        <scheme val="minor"/>
      </rPr>
      <t xml:space="preserve"> In this table, you can see what happens when the total vaccine coverage changes maintaining, the monthly distribution of the vaccine deployment. Input different coverage estimates in cells B15-18. </t>
    </r>
  </si>
  <si>
    <r>
      <rPr>
        <b/>
        <sz val="12"/>
        <color theme="1"/>
        <rFont val="Calibri"/>
        <family val="2"/>
        <scheme val="minor"/>
      </rPr>
      <t xml:space="preserve">Table of deployment strategy: </t>
    </r>
    <r>
      <rPr>
        <sz val="12"/>
        <color theme="1"/>
        <rFont val="Calibri"/>
        <family val="2"/>
        <scheme val="minor"/>
      </rPr>
      <t>In cells O22-R33, input a new distribution by specifying for every month a proportion of the total coverage deployed in that month. The sum of the proportions must be 1. The blue column (Base) shows you the basal distribution of the deployed vaccines as a guide.</t>
    </r>
  </si>
  <si>
    <r>
      <rPr>
        <sz val="11"/>
        <color rgb="FFFF0000"/>
        <rFont val="Calibri"/>
        <family val="2"/>
        <scheme val="minor"/>
      </rPr>
      <t>DO NOT CHANGE ANYTHING IN THIS SHEET.</t>
    </r>
    <r>
      <rPr>
        <sz val="11"/>
        <color theme="1"/>
        <rFont val="Calibri"/>
        <family val="2"/>
        <scheme val="minor"/>
      </rPr>
      <t xml:space="preserve">
When you run the model in R to estimate the CI you are going to obtain a excel file called summary. You must copy row 2 of the summary file and paste in A4 of the R-Import sheet. 
The tool imports these results into the Result sheet. </t>
    </r>
  </si>
  <si>
    <r>
      <t xml:space="preserve">This tool was developed by WHO in collaboration with the US CDC (before January 2025) and PAHO to support countries to estimate disease burden averted through vaccination against influenza. The tool uses the methodology described in the WHO Manual for Estimating the Disease Burden Associated with Seasonal Influenza </t>
    </r>
    <r>
      <rPr>
        <sz val="11"/>
        <rFont val="Calibri"/>
        <family val="2"/>
        <scheme val="minor"/>
      </rPr>
      <t xml:space="preserve">(https://iris.who.int/bitstream/handle/10665/381767/B09385-eng.pdf?sequence=1) </t>
    </r>
    <r>
      <rPr>
        <sz val="11"/>
        <color theme="1"/>
        <rFont val="Calibri"/>
        <family val="2"/>
        <scheme val="minor"/>
      </rPr>
      <t xml:space="preserve">and it is based on a susceptible-infected-immune/recovered static compartmental model adapted to an immunization campaign (see manual for more details).
The tool estimates the impact of influenza vaccination using two indicators: the number of cases/infections averted (hospitalized, non-hospitalized, medically- attended, and overall) and the prevented fraction (defined as the proportion of the hypothetical total burden of disease in the population that has been prevented by an immunization campaign). 
The tool also estimates the number needed to vaccinate to prevent a case/infection as a way to express the effectiveness of the influenza vaccine in a specific context of viral circulation. 
There are two types of models for estimate the impact of an influenza vaccination campaign:
1.	An existing influenza vaccination campaign – for locations with an existing/current influenza vaccine campaign 
2.	A hypothetical influenza vaccination campaign in locations where the influenza vaccine has not yet been introduced (or introduced in a specific target group) 
Before using  the tool, it is necessary to define a target group, a location (country, state, region) and a season to evaluate. The size of target population, the vaccine coverage, and the number of hospitalizations must be related to this specific population, place, and time.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</si>
</sst>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00000"/>
    <numFmt numFmtId="165" formatCode="#,##0.000"/>
    <numFmt numFmtId="166" formatCode="0.000%"/>
    <numFmt numFmtId="167" formatCode="0.00000%"/>
    <numFmt numFmtId="168" formatCode="0.000"/>
    <numFmt numFmtId="169" formatCode="0.0%"/>
    <numFmt numFmtId="170" formatCode="#,##0.0000"/>
    <numFmt numFmtId="171" formatCode="0.0000"/>
    <numFmt numFmtId="172" formatCode="0.0000000"/>
    <numFmt numFmtId="173" formatCode="0.0000%"/>
    <numFmt numFmtId="174" formatCode="0.0"/>
    <numFmt numFmtId="175" formatCode="#,##0.00000"/>
    <numFmt numFmtId="176" formatCode="0.000000"/>
  </numFmts>
  <fonts count="19"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b/>
      <sz val="16"/>
      <color theme="1"/>
      <name val="Calibri"/>
      <family val="2"/>
      <scheme val="minor"/>
    </font>
    <font>
      <b/>
      <sz val="11"/>
      <name val="Calibri"/>
      <family val="2"/>
      <scheme val="minor"/>
    </font>
    <font>
      <b/>
      <sz val="11"/>
      <color rgb="FFFF0000"/>
      <name val="Calibri"/>
      <family val="2"/>
      <scheme val="minor"/>
    </font>
    <font>
      <sz val="8"/>
      <name val="Calibri"/>
      <family val="2"/>
      <scheme val="minor"/>
    </font>
    <font>
      <sz val="11"/>
      <color rgb="FFFF0000"/>
      <name val="Calibri"/>
      <family val="2"/>
      <scheme val="minor"/>
    </font>
    <font>
      <b/>
      <sz val="11"/>
      <color theme="0"/>
      <name val="Calibri"/>
      <family val="2"/>
      <scheme val="minor"/>
    </font>
    <font>
      <sz val="11"/>
      <color theme="0"/>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sz val="12"/>
      <color theme="1"/>
      <name val="Times New Roman"/>
      <family val="1"/>
    </font>
    <font>
      <b/>
      <sz val="11"/>
      <color rgb="FFC00000"/>
      <name val="Calibri"/>
      <family val="2"/>
      <scheme val="minor"/>
    </font>
    <font>
      <sz val="11"/>
      <name val="Calibri"/>
      <family val="2"/>
      <scheme val="minor"/>
    </font>
  </fonts>
  <fills count="27">
    <fill>
      <patternFill patternType="none"/>
    </fill>
    <fill>
      <patternFill patternType="gray125"/>
    </fill>
    <fill>
      <patternFill patternType="solid">
        <fgColor theme="8"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theme="1" tint="0.34998626667073579"/>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rgb="FFFFC0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1" tint="4.9989318521683403E-2"/>
        <bgColor indexed="64"/>
      </patternFill>
    </fill>
    <fill>
      <patternFill patternType="solid">
        <fgColor theme="1" tint="0.14999847407452621"/>
        <bgColor indexed="64"/>
      </patternFill>
    </fill>
    <fill>
      <patternFill patternType="solid">
        <fgColor rgb="FF92D050"/>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1" tint="0.499984740745262"/>
        <bgColor indexed="64"/>
      </patternFill>
    </fill>
  </fills>
  <borders count="5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medium">
        <color indexed="64"/>
      </left>
      <right style="medium">
        <color indexed="64"/>
      </right>
      <top style="medium">
        <color indexed="64"/>
      </top>
      <bottom style="medium">
        <color indexed="64"/>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249977111117893"/>
      </left>
      <right/>
      <top/>
      <bottom/>
      <diagonal/>
    </border>
    <border>
      <left/>
      <right style="medium">
        <color indexed="64"/>
      </right>
      <top style="medium">
        <color indexed="64"/>
      </top>
      <bottom style="medium">
        <color indexed="64"/>
      </bottom>
      <diagonal/>
    </border>
    <border>
      <left style="thin">
        <color theme="0" tint="-0.249977111117893"/>
      </left>
      <right/>
      <top style="thin">
        <color theme="0" tint="-0.249977111117893"/>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theme="0" tint="-0.249977111117893"/>
      </left>
      <right style="thin">
        <color theme="0" tint="-0.249977111117893"/>
      </right>
      <top style="thin">
        <color theme="0" tint="-0.249977111117893"/>
      </top>
      <bottom/>
      <diagonal/>
    </border>
    <border>
      <left style="medium">
        <color rgb="FFFF0000"/>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thin">
        <color theme="1"/>
      </bottom>
      <diagonal/>
    </border>
    <border>
      <left/>
      <right style="thin">
        <color theme="1"/>
      </right>
      <top style="thin">
        <color theme="1"/>
      </top>
      <bottom/>
      <diagonal/>
    </border>
    <border>
      <left style="thin">
        <color rgb="FFFF0000"/>
      </left>
      <right style="thin">
        <color rgb="FFFF0000"/>
      </right>
      <top style="thin">
        <color rgb="FFFF0000"/>
      </top>
      <bottom style="thin">
        <color rgb="FFFF0000"/>
      </bottom>
      <diagonal/>
    </border>
    <border>
      <left style="medium">
        <color indexed="64"/>
      </left>
      <right/>
      <top/>
      <bottom/>
      <diagonal/>
    </border>
    <border>
      <left style="thin">
        <color theme="1"/>
      </left>
      <right/>
      <top/>
      <bottom/>
      <diagonal/>
    </border>
    <border>
      <left style="thin">
        <color rgb="FFFF0000"/>
      </left>
      <right style="thin">
        <color rgb="FFFF0000"/>
      </right>
      <top/>
      <bottom style="thin">
        <color rgb="FFFF0000"/>
      </bottom>
      <diagonal/>
    </border>
    <border>
      <left style="medium">
        <color indexed="64"/>
      </left>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indexed="64"/>
      </left>
      <right style="thin">
        <color indexed="64"/>
      </right>
      <top/>
      <bottom/>
      <diagonal/>
    </border>
    <border>
      <left style="thin">
        <color theme="1"/>
      </left>
      <right style="thin">
        <color theme="1"/>
      </right>
      <top/>
      <bottom style="thin">
        <color theme="1"/>
      </bottom>
      <diagonal/>
    </border>
    <border>
      <left style="thin">
        <color rgb="FFFF0000"/>
      </left>
      <right style="thin">
        <color theme="1"/>
      </right>
      <top/>
      <bottom style="thin">
        <color theme="1"/>
      </bottom>
      <diagonal/>
    </border>
    <border>
      <left style="thin">
        <color theme="8" tint="-0.249977111117893"/>
      </left>
      <right/>
      <top style="thin">
        <color theme="8" tint="-0.249977111117893"/>
      </top>
      <bottom/>
      <diagonal/>
    </border>
    <border>
      <left style="thin">
        <color indexed="64"/>
      </left>
      <right/>
      <top/>
      <bottom/>
      <diagonal/>
    </border>
    <border>
      <left/>
      <right style="thin">
        <color rgb="FFFF0000"/>
      </right>
      <top/>
      <bottom/>
      <diagonal/>
    </border>
    <border>
      <left style="thin">
        <color theme="8" tint="-0.249977111117893"/>
      </left>
      <right/>
      <top style="thin">
        <color theme="8" tint="-0.249977111117893"/>
      </top>
      <bottom style="thin">
        <color theme="8" tint="-0.249977111117893"/>
      </bottom>
      <diagonal/>
    </border>
    <border>
      <left/>
      <right/>
      <top/>
      <bottom style="medium">
        <color rgb="FFFF0000"/>
      </bottom>
      <diagonal/>
    </border>
    <border>
      <left style="thin">
        <color theme="1"/>
      </left>
      <right style="thin">
        <color theme="1"/>
      </right>
      <top style="medium">
        <color rgb="FFFF0000"/>
      </top>
      <bottom style="thin">
        <color indexed="64"/>
      </bottom>
      <diagonal/>
    </border>
    <border>
      <left style="medium">
        <color rgb="FFFF0000"/>
      </left>
      <right/>
      <top/>
      <bottom/>
      <diagonal/>
    </border>
    <border>
      <left style="medium">
        <color rgb="FFFF0000"/>
      </left>
      <right/>
      <top style="medium">
        <color rgb="FFFF0000"/>
      </top>
      <bottom style="medium">
        <color rgb="FFFF0000"/>
      </bottom>
      <diagonal/>
    </border>
  </borders>
  <cellStyleXfs count="2">
    <xf numFmtId="0" fontId="0" fillId="0" borderId="0"/>
    <xf numFmtId="9" fontId="2" fillId="0" borderId="0" applyFont="0" applyFill="0" applyBorder="0" applyAlignment="0" applyProtection="0"/>
  </cellStyleXfs>
  <cellXfs count="373">
    <xf numFmtId="0" fontId="0" fillId="0" borderId="0" xfId="0"/>
    <xf numFmtId="0" fontId="4" fillId="2" borderId="1" xfId="0" applyFont="1" applyFill="1" applyBorder="1" applyAlignment="1">
      <alignment vertical="center"/>
    </xf>
    <xf numFmtId="0" fontId="3" fillId="2" borderId="1" xfId="0" applyFont="1" applyFill="1" applyBorder="1"/>
    <xf numFmtId="0" fontId="0" fillId="0" borderId="4" xfId="0" applyBorder="1" applyProtection="1">
      <protection locked="0"/>
    </xf>
    <xf numFmtId="0" fontId="3" fillId="3" borderId="1" xfId="0" applyFont="1" applyFill="1" applyBorder="1" applyAlignment="1">
      <alignment horizontal="left" vertical="center"/>
    </xf>
    <xf numFmtId="0" fontId="0" fillId="0" borderId="1" xfId="0" applyBorder="1" applyAlignment="1">
      <alignment horizontal="right"/>
    </xf>
    <xf numFmtId="0" fontId="3" fillId="3" borderId="1" xfId="0" applyFont="1" applyFill="1" applyBorder="1" applyAlignment="1">
      <alignment horizontal="left"/>
    </xf>
    <xf numFmtId="0" fontId="3" fillId="6" borderId="2" xfId="0" applyFont="1" applyFill="1" applyBorder="1" applyAlignment="1">
      <alignment horizontal="right" wrapText="1"/>
    </xf>
    <xf numFmtId="0" fontId="3" fillId="6" borderId="1" xfId="0" applyFont="1" applyFill="1" applyBorder="1" applyAlignment="1">
      <alignment wrapText="1"/>
    </xf>
    <xf numFmtId="0" fontId="3" fillId="6" borderId="1" xfId="0" applyFont="1" applyFill="1" applyBorder="1" applyAlignment="1">
      <alignment horizontal="center" wrapText="1"/>
    </xf>
    <xf numFmtId="0" fontId="3" fillId="9" borderId="1" xfId="0" applyFont="1" applyFill="1" applyBorder="1" applyAlignment="1">
      <alignment horizontal="center" vertical="center" wrapText="1"/>
    </xf>
    <xf numFmtId="0" fontId="0" fillId="0" borderId="0" xfId="0" applyAlignment="1">
      <alignment wrapText="1"/>
    </xf>
    <xf numFmtId="3" fontId="0" fillId="0" borderId="0" xfId="1" applyNumberFormat="1" applyFont="1" applyBorder="1" applyProtection="1">
      <protection locked="0"/>
    </xf>
    <xf numFmtId="0" fontId="0" fillId="0" borderId="0" xfId="1" applyNumberFormat="1" applyFont="1" applyBorder="1" applyProtection="1">
      <protection locked="0"/>
    </xf>
    <xf numFmtId="1" fontId="0" fillId="0" borderId="0" xfId="1" applyNumberFormat="1" applyFont="1" applyBorder="1" applyProtection="1">
      <protection locked="0"/>
    </xf>
    <xf numFmtId="0" fontId="0" fillId="6" borderId="2" xfId="0" applyFill="1" applyBorder="1" applyAlignment="1">
      <alignment horizontal="right"/>
    </xf>
    <xf numFmtId="164" fontId="0" fillId="0" borderId="3" xfId="0" applyNumberFormat="1" applyBorder="1"/>
    <xf numFmtId="0" fontId="0" fillId="6" borderId="2" xfId="0" applyFill="1" applyBorder="1"/>
    <xf numFmtId="3" fontId="3" fillId="3" borderId="0" xfId="0" applyNumberFormat="1" applyFont="1" applyFill="1"/>
    <xf numFmtId="0" fontId="3" fillId="6" borderId="1" xfId="0" applyFont="1" applyFill="1" applyBorder="1" applyAlignment="1">
      <alignment horizontal="right" wrapText="1"/>
    </xf>
    <xf numFmtId="0" fontId="3" fillId="6" borderId="2" xfId="0" applyFont="1" applyFill="1" applyBorder="1" applyAlignment="1">
      <alignment horizontal="center" wrapText="1"/>
    </xf>
    <xf numFmtId="0" fontId="3" fillId="8" borderId="2" xfId="0" applyFont="1" applyFill="1" applyBorder="1" applyAlignment="1">
      <alignment horizontal="center" wrapText="1"/>
    </xf>
    <xf numFmtId="0" fontId="5" fillId="10" borderId="0" xfId="0" applyFont="1" applyFill="1" applyAlignment="1">
      <alignment vertical="top"/>
    </xf>
    <xf numFmtId="0" fontId="0" fillId="0" borderId="0" xfId="0" applyAlignment="1">
      <alignment vertical="top"/>
    </xf>
    <xf numFmtId="0" fontId="0" fillId="0" borderId="0" xfId="0" applyAlignment="1">
      <alignment vertical="top" wrapText="1"/>
    </xf>
    <xf numFmtId="3" fontId="0" fillId="0" borderId="0" xfId="0" applyNumberFormat="1"/>
    <xf numFmtId="3" fontId="3" fillId="0" borderId="0" xfId="0" applyNumberFormat="1" applyFont="1"/>
    <xf numFmtId="165" fontId="3" fillId="0" borderId="0" xfId="0" applyNumberFormat="1" applyFont="1"/>
    <xf numFmtId="165" fontId="0" fillId="0" borderId="0" xfId="0" applyNumberFormat="1"/>
    <xf numFmtId="0" fontId="3" fillId="0" borderId="0" xfId="0" applyFont="1"/>
    <xf numFmtId="166" fontId="3" fillId="0" borderId="0" xfId="1" applyNumberFormat="1" applyFont="1"/>
    <xf numFmtId="1" fontId="0" fillId="0" borderId="0" xfId="0" applyNumberFormat="1"/>
    <xf numFmtId="2" fontId="0" fillId="0" borderId="0" xfId="0" applyNumberFormat="1"/>
    <xf numFmtId="168" fontId="0" fillId="0" borderId="0" xfId="0" applyNumberFormat="1"/>
    <xf numFmtId="165" fontId="3" fillId="3" borderId="0" xfId="0" applyNumberFormat="1" applyFont="1" applyFill="1"/>
    <xf numFmtId="0" fontId="0" fillId="0" borderId="7" xfId="0" applyBorder="1"/>
    <xf numFmtId="0" fontId="0" fillId="6" borderId="7" xfId="0" applyFill="1" applyBorder="1"/>
    <xf numFmtId="164" fontId="0" fillId="0" borderId="0" xfId="0" applyNumberFormat="1"/>
    <xf numFmtId="9" fontId="0" fillId="0" borderId="0" xfId="0" applyNumberFormat="1"/>
    <xf numFmtId="0" fontId="3" fillId="6" borderId="0" xfId="0" applyFont="1" applyFill="1" applyAlignment="1">
      <alignment horizontal="right"/>
    </xf>
    <xf numFmtId="3" fontId="3" fillId="3" borderId="7" xfId="0" applyNumberFormat="1" applyFont="1" applyFill="1" applyBorder="1"/>
    <xf numFmtId="0" fontId="3" fillId="6" borderId="2" xfId="0" applyFont="1" applyFill="1" applyBorder="1" applyAlignment="1">
      <alignment horizontal="right"/>
    </xf>
    <xf numFmtId="1" fontId="0" fillId="0" borderId="7" xfId="0" applyNumberFormat="1" applyBorder="1"/>
    <xf numFmtId="1" fontId="0" fillId="3" borderId="7" xfId="0" applyNumberFormat="1" applyFill="1" applyBorder="1"/>
    <xf numFmtId="0" fontId="3" fillId="13" borderId="7" xfId="0" applyFont="1" applyFill="1" applyBorder="1" applyAlignment="1">
      <alignment wrapText="1"/>
    </xf>
    <xf numFmtId="167" fontId="0" fillId="0" borderId="0" xfId="0" applyNumberFormat="1"/>
    <xf numFmtId="166" fontId="0" fillId="0" borderId="0" xfId="0" applyNumberFormat="1"/>
    <xf numFmtId="166" fontId="0" fillId="3" borderId="7" xfId="1" applyNumberFormat="1" applyFont="1" applyFill="1" applyBorder="1"/>
    <xf numFmtId="0" fontId="0" fillId="15" borderId="0" xfId="0" applyFill="1"/>
    <xf numFmtId="0" fontId="3" fillId="13" borderId="7" xfId="0" applyFont="1" applyFill="1" applyBorder="1"/>
    <xf numFmtId="3" fontId="3" fillId="15" borderId="0" xfId="0" applyNumberFormat="1" applyFont="1" applyFill="1"/>
    <xf numFmtId="3" fontId="3" fillId="15" borderId="7" xfId="0" applyNumberFormat="1" applyFont="1" applyFill="1" applyBorder="1"/>
    <xf numFmtId="0" fontId="3" fillId="2" borderId="0" xfId="0" applyFont="1" applyFill="1"/>
    <xf numFmtId="0" fontId="3" fillId="3" borderId="0" xfId="0" applyFont="1" applyFill="1" applyAlignment="1">
      <alignment horizontal="left"/>
    </xf>
    <xf numFmtId="0" fontId="3" fillId="9" borderId="0" xfId="0" applyFont="1" applyFill="1" applyAlignment="1">
      <alignment horizontal="center" vertical="center" wrapText="1"/>
    </xf>
    <xf numFmtId="0" fontId="3" fillId="6" borderId="2" xfId="0" applyFont="1" applyFill="1" applyBorder="1"/>
    <xf numFmtId="0" fontId="3" fillId="6" borderId="5" xfId="0" applyFont="1" applyFill="1" applyBorder="1"/>
    <xf numFmtId="9" fontId="0" fillId="4" borderId="12" xfId="1" applyFont="1" applyFill="1" applyBorder="1" applyProtection="1">
      <protection locked="0"/>
    </xf>
    <xf numFmtId="165" fontId="3" fillId="3" borderId="14" xfId="0" applyNumberFormat="1" applyFont="1" applyFill="1" applyBorder="1"/>
    <xf numFmtId="3" fontId="3" fillId="3" borderId="14" xfId="0" applyNumberFormat="1" applyFont="1" applyFill="1" applyBorder="1"/>
    <xf numFmtId="3" fontId="0" fillId="0" borderId="7" xfId="0" applyNumberFormat="1" applyBorder="1"/>
    <xf numFmtId="3" fontId="0" fillId="14" borderId="7" xfId="0" applyNumberFormat="1" applyFill="1" applyBorder="1"/>
    <xf numFmtId="1" fontId="0" fillId="14" borderId="7" xfId="0" applyNumberFormat="1" applyFill="1" applyBorder="1" applyAlignment="1" applyProtection="1">
      <alignment wrapText="1"/>
      <protection locked="0"/>
    </xf>
    <xf numFmtId="0" fontId="6" fillId="13" borderId="13" xfId="0" applyFont="1" applyFill="1" applyBorder="1" applyAlignment="1">
      <alignment horizontal="center" wrapText="1"/>
    </xf>
    <xf numFmtId="0" fontId="3" fillId="7" borderId="13" xfId="0" applyFont="1" applyFill="1" applyBorder="1" applyAlignment="1">
      <alignment horizontal="center" wrapText="1"/>
    </xf>
    <xf numFmtId="0" fontId="3" fillId="16" borderId="13" xfId="0" applyFont="1" applyFill="1" applyBorder="1" applyAlignment="1">
      <alignment horizontal="center" wrapText="1"/>
    </xf>
    <xf numFmtId="0" fontId="3" fillId="17" borderId="13" xfId="0" applyFont="1" applyFill="1" applyBorder="1" applyAlignment="1">
      <alignment horizontal="center" wrapText="1"/>
    </xf>
    <xf numFmtId="0" fontId="3" fillId="18" borderId="1" xfId="0" applyFont="1" applyFill="1" applyBorder="1" applyAlignment="1">
      <alignment horizontal="center" vertical="center" wrapText="1"/>
    </xf>
    <xf numFmtId="3" fontId="0" fillId="0" borderId="7" xfId="0" applyNumberFormat="1" applyBorder="1" applyAlignment="1">
      <alignment wrapText="1"/>
    </xf>
    <xf numFmtId="1" fontId="0" fillId="0" borderId="7" xfId="0" applyNumberFormat="1" applyBorder="1" applyAlignment="1">
      <alignment wrapText="1"/>
    </xf>
    <xf numFmtId="0" fontId="0" fillId="5" borderId="7" xfId="0" applyFill="1" applyBorder="1" applyAlignment="1">
      <alignment wrapText="1"/>
    </xf>
    <xf numFmtId="0" fontId="0" fillId="12" borderId="7" xfId="0" applyFill="1" applyBorder="1" applyAlignment="1">
      <alignment wrapText="1"/>
    </xf>
    <xf numFmtId="0" fontId="0" fillId="19" borderId="7" xfId="0" applyFill="1" applyBorder="1" applyAlignment="1">
      <alignment wrapText="1"/>
    </xf>
    <xf numFmtId="0" fontId="0" fillId="0" borderId="14" xfId="0" applyBorder="1" applyAlignment="1">
      <alignment horizontal="center"/>
    </xf>
    <xf numFmtId="9" fontId="0" fillId="0" borderId="14" xfId="0" applyNumberFormat="1" applyBorder="1" applyAlignment="1">
      <alignment horizontal="center"/>
    </xf>
    <xf numFmtId="9" fontId="0" fillId="0" borderId="14" xfId="1" applyFont="1" applyBorder="1" applyAlignment="1">
      <alignment horizontal="center"/>
    </xf>
    <xf numFmtId="0" fontId="0" fillId="8" borderId="7" xfId="0" applyFill="1" applyBorder="1" applyAlignment="1">
      <alignment wrapText="1"/>
    </xf>
    <xf numFmtId="0" fontId="0" fillId="12" borderId="7" xfId="0" applyFill="1" applyBorder="1"/>
    <xf numFmtId="10" fontId="0" fillId="0" borderId="7" xfId="1" applyNumberFormat="1" applyFont="1" applyBorder="1"/>
    <xf numFmtId="9" fontId="3" fillId="3" borderId="14" xfId="1" applyFont="1" applyFill="1" applyBorder="1"/>
    <xf numFmtId="0" fontId="3" fillId="8" borderId="5" xfId="0" applyFont="1" applyFill="1" applyBorder="1"/>
    <xf numFmtId="166" fontId="0" fillId="0" borderId="0" xfId="1" applyNumberFormat="1" applyFont="1"/>
    <xf numFmtId="0" fontId="7" fillId="13" borderId="13" xfId="0" applyFont="1" applyFill="1" applyBorder="1" applyAlignment="1">
      <alignment horizontal="center" wrapText="1"/>
    </xf>
    <xf numFmtId="0" fontId="7" fillId="7" borderId="13" xfId="0" applyFont="1" applyFill="1" applyBorder="1" applyAlignment="1">
      <alignment horizontal="center" wrapText="1"/>
    </xf>
    <xf numFmtId="0" fontId="7" fillId="8" borderId="2" xfId="0" applyFont="1" applyFill="1" applyBorder="1" applyAlignment="1">
      <alignment horizontal="center" wrapText="1"/>
    </xf>
    <xf numFmtId="0" fontId="7" fillId="9" borderId="1" xfId="0" applyFont="1" applyFill="1" applyBorder="1" applyAlignment="1">
      <alignment horizontal="center" vertical="center" wrapText="1"/>
    </xf>
    <xf numFmtId="0" fontId="0" fillId="8" borderId="7" xfId="0" applyFill="1" applyBorder="1" applyAlignment="1">
      <alignment vertical="center"/>
    </xf>
    <xf numFmtId="168" fontId="0" fillId="0" borderId="0" xfId="1" applyNumberFormat="1" applyFont="1" applyBorder="1" applyProtection="1">
      <protection locked="0"/>
    </xf>
    <xf numFmtId="170" fontId="0" fillId="12" borderId="7" xfId="0" applyNumberFormat="1" applyFill="1" applyBorder="1" applyAlignment="1">
      <alignment vertical="center"/>
    </xf>
    <xf numFmtId="0" fontId="0" fillId="4" borderId="0" xfId="0" applyFill="1"/>
    <xf numFmtId="170" fontId="0" fillId="4" borderId="0" xfId="0" applyNumberFormat="1" applyFill="1"/>
    <xf numFmtId="1" fontId="0" fillId="4" borderId="0" xfId="0" applyNumberFormat="1" applyFill="1"/>
    <xf numFmtId="3" fontId="0" fillId="4" borderId="0" xfId="0" applyNumberFormat="1" applyFill="1"/>
    <xf numFmtId="168" fontId="0" fillId="0" borderId="7" xfId="0" applyNumberFormat="1" applyBorder="1"/>
    <xf numFmtId="10" fontId="0" fillId="4" borderId="0" xfId="0" applyNumberFormat="1" applyFill="1"/>
    <xf numFmtId="171" fontId="0" fillId="4" borderId="0" xfId="0" applyNumberFormat="1" applyFill="1"/>
    <xf numFmtId="164" fontId="0" fillId="0" borderId="7" xfId="0" applyNumberFormat="1" applyBorder="1"/>
    <xf numFmtId="1" fontId="0" fillId="0" borderId="0" xfId="0" quotePrefix="1" applyNumberFormat="1"/>
    <xf numFmtId="171" fontId="0" fillId="0" borderId="0" xfId="0" quotePrefix="1" applyNumberFormat="1"/>
    <xf numFmtId="0" fontId="0" fillId="0" borderId="23" xfId="0" applyBorder="1"/>
    <xf numFmtId="0" fontId="0" fillId="0" borderId="24" xfId="0" applyBorder="1"/>
    <xf numFmtId="0" fontId="0" fillId="12" borderId="7" xfId="0" applyFill="1" applyBorder="1" applyAlignment="1">
      <alignment horizontal="center"/>
    </xf>
    <xf numFmtId="0" fontId="0" fillId="8" borderId="7" xfId="0" applyFill="1" applyBorder="1" applyAlignment="1">
      <alignment horizontal="center"/>
    </xf>
    <xf numFmtId="0" fontId="0" fillId="20" borderId="7" xfId="0" applyFill="1" applyBorder="1"/>
    <xf numFmtId="0" fontId="3" fillId="13" borderId="0" xfId="0" applyFont="1" applyFill="1"/>
    <xf numFmtId="0" fontId="0" fillId="13" borderId="0" xfId="0" applyFill="1"/>
    <xf numFmtId="10" fontId="0" fillId="0" borderId="0" xfId="0" applyNumberFormat="1"/>
    <xf numFmtId="169" fontId="0" fillId="0" borderId="0" xfId="1" applyNumberFormat="1" applyFont="1"/>
    <xf numFmtId="9" fontId="0" fillId="4" borderId="0" xfId="0" applyNumberFormat="1" applyFill="1"/>
    <xf numFmtId="0" fontId="0" fillId="12" borderId="7" xfId="0" applyFill="1" applyBorder="1" applyAlignment="1">
      <alignment horizontal="center" wrapText="1"/>
    </xf>
    <xf numFmtId="0" fontId="0" fillId="19" borderId="7" xfId="0" applyFill="1" applyBorder="1" applyAlignment="1">
      <alignment horizontal="center" wrapText="1"/>
    </xf>
    <xf numFmtId="168" fontId="0" fillId="8" borderId="7" xfId="0" applyNumberFormat="1" applyFill="1" applyBorder="1" applyAlignment="1">
      <alignment vertical="center"/>
    </xf>
    <xf numFmtId="9" fontId="0" fillId="0" borderId="0" xfId="1" applyFont="1"/>
    <xf numFmtId="10" fontId="0" fillId="0" borderId="0" xfId="1" applyNumberFormat="1" applyFont="1"/>
    <xf numFmtId="174" fontId="0" fillId="0" borderId="0" xfId="0" applyNumberFormat="1"/>
    <xf numFmtId="173" fontId="0" fillId="0" borderId="0" xfId="1" applyNumberFormat="1" applyFont="1"/>
    <xf numFmtId="167" fontId="0" fillId="0" borderId="0" xfId="1" applyNumberFormat="1" applyFont="1"/>
    <xf numFmtId="169" fontId="0" fillId="0" borderId="7" xfId="1" applyNumberFormat="1" applyFont="1" applyBorder="1"/>
    <xf numFmtId="171" fontId="0" fillId="0" borderId="0" xfId="0" applyNumberFormat="1"/>
    <xf numFmtId="9" fontId="0" fillId="11" borderId="0" xfId="0" applyNumberFormat="1" applyFill="1"/>
    <xf numFmtId="0" fontId="0" fillId="11" borderId="7" xfId="0" applyFill="1" applyBorder="1"/>
    <xf numFmtId="9" fontId="0" fillId="0" borderId="7" xfId="0" applyNumberFormat="1" applyBorder="1"/>
    <xf numFmtId="0" fontId="0" fillId="0" borderId="0" xfId="0" applyAlignment="1">
      <alignment vertical="center"/>
    </xf>
    <xf numFmtId="1" fontId="0" fillId="0" borderId="18" xfId="0" applyNumberFormat="1" applyBorder="1"/>
    <xf numFmtId="1" fontId="0" fillId="0" borderId="19" xfId="0" applyNumberFormat="1" applyBorder="1"/>
    <xf numFmtId="1" fontId="0" fillId="0" borderId="20" xfId="0" applyNumberFormat="1" applyBorder="1"/>
    <xf numFmtId="1" fontId="0" fillId="0" borderId="21" xfId="0" applyNumberFormat="1" applyBorder="1"/>
    <xf numFmtId="169" fontId="0" fillId="0" borderId="26" xfId="0" applyNumberFormat="1" applyBorder="1"/>
    <xf numFmtId="169" fontId="0" fillId="0" borderId="28" xfId="0" applyNumberFormat="1" applyBorder="1"/>
    <xf numFmtId="169" fontId="0" fillId="0" borderId="7" xfId="0" applyNumberFormat="1" applyBorder="1"/>
    <xf numFmtId="0" fontId="0" fillId="21" borderId="0" xfId="0" applyFill="1"/>
    <xf numFmtId="0" fontId="0" fillId="22" borderId="0" xfId="0" applyFill="1"/>
    <xf numFmtId="0" fontId="3" fillId="23" borderId="29" xfId="0" applyFont="1" applyFill="1" applyBorder="1" applyAlignment="1">
      <alignment horizontal="center" wrapText="1"/>
    </xf>
    <xf numFmtId="10" fontId="3" fillId="3" borderId="14" xfId="1" applyNumberFormat="1" applyFont="1" applyFill="1" applyBorder="1"/>
    <xf numFmtId="0" fontId="3" fillId="3" borderId="14" xfId="0" applyFont="1" applyFill="1" applyBorder="1"/>
    <xf numFmtId="0" fontId="0" fillId="3" borderId="14" xfId="0" applyFill="1" applyBorder="1"/>
    <xf numFmtId="175" fontId="3" fillId="3" borderId="7" xfId="0" applyNumberFormat="1" applyFont="1" applyFill="1" applyBorder="1"/>
    <xf numFmtId="172" fontId="0" fillId="8" borderId="7" xfId="0" applyNumberFormat="1" applyFill="1" applyBorder="1" applyAlignment="1">
      <alignment vertical="center"/>
    </xf>
    <xf numFmtId="0" fontId="0" fillId="4" borderId="0" xfId="0" quotePrefix="1" applyFill="1"/>
    <xf numFmtId="168" fontId="0" fillId="4" borderId="0" xfId="0" quotePrefix="1" applyNumberFormat="1" applyFill="1"/>
    <xf numFmtId="172" fontId="0" fillId="4" borderId="0" xfId="0" quotePrefix="1" applyNumberFormat="1" applyFill="1"/>
    <xf numFmtId="0" fontId="0" fillId="6" borderId="30" xfId="0" applyFill="1" applyBorder="1"/>
    <xf numFmtId="0" fontId="0" fillId="6" borderId="14" xfId="0" applyFill="1" applyBorder="1"/>
    <xf numFmtId="0" fontId="3" fillId="0" borderId="0" xfId="0" applyFont="1" applyAlignment="1">
      <alignment wrapText="1"/>
    </xf>
    <xf numFmtId="169" fontId="0" fillId="11" borderId="7" xfId="1" applyNumberFormat="1" applyFont="1" applyFill="1" applyBorder="1"/>
    <xf numFmtId="9" fontId="0" fillId="11" borderId="7" xfId="1" applyFont="1" applyFill="1" applyBorder="1"/>
    <xf numFmtId="164" fontId="0" fillId="11" borderId="32" xfId="0" applyNumberFormat="1" applyFill="1" applyBorder="1"/>
    <xf numFmtId="169" fontId="0" fillId="11" borderId="14" xfId="1" applyNumberFormat="1" applyFont="1" applyFill="1" applyBorder="1"/>
    <xf numFmtId="9" fontId="0" fillId="11" borderId="14" xfId="1" applyFont="1" applyFill="1" applyBorder="1"/>
    <xf numFmtId="164" fontId="0" fillId="11" borderId="33" xfId="0" applyNumberFormat="1" applyFill="1" applyBorder="1"/>
    <xf numFmtId="164" fontId="0" fillId="11" borderId="34" xfId="0" applyNumberFormat="1" applyFill="1" applyBorder="1"/>
    <xf numFmtId="174" fontId="0" fillId="0" borderId="14" xfId="0" applyNumberFormat="1" applyBorder="1" applyAlignment="1">
      <alignment horizontal="left" indent="3"/>
    </xf>
    <xf numFmtId="0" fontId="3" fillId="0" borderId="7" xfId="0" applyFont="1" applyBorder="1"/>
    <xf numFmtId="0" fontId="3" fillId="0" borderId="7" xfId="0" applyFont="1" applyBorder="1" applyAlignment="1">
      <alignment horizontal="center"/>
    </xf>
    <xf numFmtId="0" fontId="3" fillId="0" borderId="7" xfId="0" applyFont="1" applyBorder="1" applyAlignment="1">
      <alignment horizontal="right"/>
    </xf>
    <xf numFmtId="171" fontId="0" fillId="0" borderId="0" xfId="1" applyNumberFormat="1" applyFont="1"/>
    <xf numFmtId="0" fontId="3" fillId="5" borderId="7" xfId="0" applyFont="1" applyFill="1" applyBorder="1" applyAlignment="1">
      <alignment wrapText="1"/>
    </xf>
    <xf numFmtId="0" fontId="3" fillId="8" borderId="7" xfId="0" applyFont="1" applyFill="1" applyBorder="1" applyAlignment="1">
      <alignment wrapText="1"/>
    </xf>
    <xf numFmtId="0" fontId="3" fillId="12" borderId="7" xfId="0" applyFont="1" applyFill="1" applyBorder="1" applyAlignment="1">
      <alignment wrapText="1"/>
    </xf>
    <xf numFmtId="0" fontId="3" fillId="19" borderId="7" xfId="0" applyFont="1" applyFill="1" applyBorder="1" applyAlignment="1">
      <alignment wrapText="1"/>
    </xf>
    <xf numFmtId="0" fontId="3" fillId="12" borderId="7" xfId="0" applyFont="1" applyFill="1" applyBorder="1"/>
    <xf numFmtId="10" fontId="0" fillId="14" borderId="26" xfId="0" applyNumberFormat="1" applyFill="1" applyBorder="1"/>
    <xf numFmtId="10" fontId="0" fillId="14" borderId="28" xfId="0" applyNumberFormat="1" applyFill="1" applyBorder="1"/>
    <xf numFmtId="0" fontId="3" fillId="0" borderId="25" xfId="0" applyFont="1" applyBorder="1"/>
    <xf numFmtId="0" fontId="3" fillId="0" borderId="27" xfId="0" applyFont="1" applyBorder="1"/>
    <xf numFmtId="1" fontId="0" fillId="14" borderId="7" xfId="0" applyNumberFormat="1" applyFill="1" applyBorder="1"/>
    <xf numFmtId="0" fontId="3" fillId="11" borderId="7" xfId="0" applyFont="1" applyFill="1" applyBorder="1"/>
    <xf numFmtId="0" fontId="3" fillId="20" borderId="25" xfId="0" applyFont="1" applyFill="1" applyBorder="1"/>
    <xf numFmtId="169" fontId="0" fillId="20" borderId="26" xfId="1" applyNumberFormat="1" applyFont="1" applyFill="1" applyBorder="1"/>
    <xf numFmtId="10" fontId="0" fillId="20" borderId="26" xfId="0" applyNumberFormat="1" applyFill="1" applyBorder="1"/>
    <xf numFmtId="1" fontId="0" fillId="20" borderId="18" xfId="0" applyNumberFormat="1" applyFill="1" applyBorder="1"/>
    <xf numFmtId="1" fontId="0" fillId="20" borderId="19" xfId="0" applyNumberFormat="1" applyFill="1" applyBorder="1"/>
    <xf numFmtId="0" fontId="3" fillId="20" borderId="27" xfId="0" applyFont="1" applyFill="1" applyBorder="1"/>
    <xf numFmtId="169" fontId="0" fillId="20" borderId="28" xfId="1" applyNumberFormat="1" applyFont="1" applyFill="1" applyBorder="1"/>
    <xf numFmtId="10" fontId="0" fillId="20" borderId="28" xfId="0" applyNumberFormat="1" applyFill="1" applyBorder="1"/>
    <xf numFmtId="1" fontId="0" fillId="20" borderId="20" xfId="0" applyNumberFormat="1" applyFill="1" applyBorder="1"/>
    <xf numFmtId="1" fontId="0" fillId="20" borderId="21" xfId="0" applyNumberFormat="1" applyFill="1" applyBorder="1"/>
    <xf numFmtId="169" fontId="0" fillId="20" borderId="26" xfId="0" applyNumberFormat="1" applyFill="1" applyBorder="1"/>
    <xf numFmtId="169" fontId="0" fillId="20" borderId="28" xfId="0" applyNumberFormat="1" applyFill="1" applyBorder="1"/>
    <xf numFmtId="9" fontId="0" fillId="14" borderId="12" xfId="1" applyFont="1" applyFill="1" applyBorder="1" applyProtection="1">
      <protection locked="0"/>
    </xf>
    <xf numFmtId="168" fontId="0" fillId="3" borderId="7" xfId="0" applyNumberFormat="1" applyFill="1" applyBorder="1"/>
    <xf numFmtId="168" fontId="0" fillId="3" borderId="7" xfId="1" applyNumberFormat="1" applyFont="1" applyFill="1" applyBorder="1"/>
    <xf numFmtId="0" fontId="0" fillId="9" borderId="7" xfId="0" applyFill="1" applyBorder="1"/>
    <xf numFmtId="0" fontId="3" fillId="13" borderId="13" xfId="0" applyFont="1" applyFill="1" applyBorder="1" applyAlignment="1">
      <alignment horizontal="center" wrapText="1"/>
    </xf>
    <xf numFmtId="0" fontId="3" fillId="5" borderId="0" xfId="0" applyFont="1" applyFill="1" applyAlignment="1">
      <alignment horizontal="center" vertical="center" wrapText="1"/>
    </xf>
    <xf numFmtId="0" fontId="3" fillId="11" borderId="0" xfId="0" applyFont="1" applyFill="1" applyAlignment="1">
      <alignment horizontal="center" vertical="center" wrapText="1"/>
    </xf>
    <xf numFmtId="0" fontId="3" fillId="24" borderId="0" xfId="0" applyFont="1" applyFill="1" applyAlignment="1">
      <alignment horizontal="center" vertical="center" wrapText="1"/>
    </xf>
    <xf numFmtId="169" fontId="0" fillId="6" borderId="35" xfId="1" applyNumberFormat="1" applyFont="1" applyFill="1" applyBorder="1"/>
    <xf numFmtId="1" fontId="0" fillId="6" borderId="35" xfId="0" applyNumberFormat="1" applyFill="1" applyBorder="1"/>
    <xf numFmtId="176" fontId="0" fillId="0" borderId="0" xfId="0" applyNumberFormat="1"/>
    <xf numFmtId="174" fontId="0" fillId="20" borderId="7" xfId="0" applyNumberFormat="1" applyFill="1" applyBorder="1"/>
    <xf numFmtId="174" fontId="0" fillId="0" borderId="7" xfId="0" applyNumberFormat="1" applyBorder="1"/>
    <xf numFmtId="1" fontId="0" fillId="0" borderId="16" xfId="0" applyNumberFormat="1" applyBorder="1"/>
    <xf numFmtId="0" fontId="12" fillId="10" borderId="0" xfId="0" applyFont="1" applyFill="1" applyAlignment="1">
      <alignment vertical="top"/>
    </xf>
    <xf numFmtId="0" fontId="0" fillId="0" borderId="0" xfId="0" applyAlignment="1">
      <alignment horizontal="left" vertical="top"/>
    </xf>
    <xf numFmtId="164" fontId="0" fillId="11" borderId="3" xfId="0" applyNumberFormat="1" applyFill="1" applyBorder="1"/>
    <xf numFmtId="169" fontId="0" fillId="6" borderId="38" xfId="1" applyNumberFormat="1" applyFont="1" applyFill="1" applyBorder="1"/>
    <xf numFmtId="0" fontId="3" fillId="12" borderId="17" xfId="0" applyFont="1" applyFill="1" applyBorder="1" applyAlignment="1">
      <alignment wrapText="1"/>
    </xf>
    <xf numFmtId="0" fontId="0" fillId="20" borderId="40" xfId="0" applyFill="1" applyBorder="1" applyAlignment="1">
      <alignment vertical="top"/>
    </xf>
    <xf numFmtId="9" fontId="0" fillId="6" borderId="30" xfId="0" applyNumberFormat="1" applyFill="1" applyBorder="1" applyProtection="1">
      <protection locked="0"/>
    </xf>
    <xf numFmtId="9" fontId="0" fillId="6" borderId="40" xfId="0" applyNumberFormat="1" applyFill="1" applyBorder="1" applyProtection="1">
      <protection locked="0"/>
    </xf>
    <xf numFmtId="0" fontId="13" fillId="10" borderId="0" xfId="0" applyFont="1" applyFill="1" applyAlignment="1">
      <alignment horizontal="center" vertical="center"/>
    </xf>
    <xf numFmtId="0" fontId="14" fillId="0" borderId="0" xfId="0" applyFont="1" applyAlignment="1">
      <alignment vertical="top"/>
    </xf>
    <xf numFmtId="0" fontId="10" fillId="25" borderId="31" xfId="0" applyFont="1" applyFill="1" applyBorder="1" applyAlignment="1">
      <alignment vertical="top" wrapText="1"/>
    </xf>
    <xf numFmtId="9" fontId="0" fillId="6" borderId="22" xfId="0" applyNumberFormat="1" applyFill="1" applyBorder="1"/>
    <xf numFmtId="169" fontId="0" fillId="0" borderId="16" xfId="0" applyNumberFormat="1" applyBorder="1"/>
    <xf numFmtId="0" fontId="3" fillId="8" borderId="31" xfId="0" applyFont="1" applyFill="1" applyBorder="1"/>
    <xf numFmtId="9" fontId="3" fillId="8" borderId="14" xfId="0" applyNumberFormat="1" applyFont="1" applyFill="1" applyBorder="1"/>
    <xf numFmtId="9" fontId="3" fillId="8" borderId="14" xfId="1" applyFont="1" applyFill="1" applyBorder="1"/>
    <xf numFmtId="9" fontId="3" fillId="8" borderId="7" xfId="0" applyNumberFormat="1" applyFont="1" applyFill="1" applyBorder="1"/>
    <xf numFmtId="9" fontId="3" fillId="8" borderId="7" xfId="1" applyFont="1" applyFill="1" applyBorder="1"/>
    <xf numFmtId="0" fontId="3" fillId="8" borderId="2" xfId="0" applyFont="1" applyFill="1" applyBorder="1" applyAlignment="1">
      <alignment horizontal="right" wrapText="1"/>
    </xf>
    <xf numFmtId="0" fontId="3" fillId="8" borderId="1" xfId="0" applyFont="1" applyFill="1" applyBorder="1" applyAlignment="1">
      <alignment wrapText="1"/>
    </xf>
    <xf numFmtId="0" fontId="0" fillId="8" borderId="2" xfId="0" applyFill="1" applyBorder="1" applyAlignment="1">
      <alignment horizontal="right"/>
    </xf>
    <xf numFmtId="0" fontId="3" fillId="8" borderId="2" xfId="0" applyFont="1" applyFill="1" applyBorder="1" applyAlignment="1">
      <alignment horizontal="right"/>
    </xf>
    <xf numFmtId="0" fontId="3" fillId="12" borderId="2" xfId="0" applyFont="1" applyFill="1" applyBorder="1"/>
    <xf numFmtId="0" fontId="3" fillId="12" borderId="5" xfId="0" applyFont="1" applyFill="1" applyBorder="1"/>
    <xf numFmtId="0" fontId="3" fillId="12" borderId="1" xfId="0" applyFont="1" applyFill="1" applyBorder="1" applyAlignment="1">
      <alignment horizontal="center" wrapText="1"/>
    </xf>
    <xf numFmtId="0" fontId="3" fillId="12" borderId="2" xfId="0" applyFont="1" applyFill="1" applyBorder="1" applyAlignment="1">
      <alignment horizontal="center" wrapText="1"/>
    </xf>
    <xf numFmtId="0" fontId="3" fillId="12" borderId="2" xfId="0" applyFont="1" applyFill="1" applyBorder="1" applyAlignment="1">
      <alignment horizontal="right" wrapText="1"/>
    </xf>
    <xf numFmtId="0" fontId="3" fillId="12" borderId="1" xfId="0" applyFont="1" applyFill="1" applyBorder="1" applyAlignment="1">
      <alignment wrapText="1"/>
    </xf>
    <xf numFmtId="0" fontId="0" fillId="12" borderId="2" xfId="0" applyFill="1" applyBorder="1" applyAlignment="1">
      <alignment horizontal="right"/>
    </xf>
    <xf numFmtId="0" fontId="3" fillId="12" borderId="2" xfId="0" applyFont="1" applyFill="1" applyBorder="1" applyAlignment="1">
      <alignment horizontal="right"/>
    </xf>
    <xf numFmtId="0" fontId="3" fillId="7" borderId="1" xfId="0" applyFont="1" applyFill="1" applyBorder="1" applyAlignment="1">
      <alignment horizontal="left" vertical="center"/>
    </xf>
    <xf numFmtId="0" fontId="3" fillId="7" borderId="1" xfId="0" applyFont="1" applyFill="1" applyBorder="1" applyAlignment="1">
      <alignment horizontal="left"/>
    </xf>
    <xf numFmtId="0" fontId="3" fillId="7" borderId="0" xfId="0" applyFont="1" applyFill="1" applyAlignment="1">
      <alignment horizontal="left"/>
    </xf>
    <xf numFmtId="0" fontId="0" fillId="14" borderId="0" xfId="0" applyFill="1"/>
    <xf numFmtId="1" fontId="0" fillId="14" borderId="0" xfId="0" applyNumberFormat="1" applyFill="1"/>
    <xf numFmtId="0" fontId="3" fillId="23" borderId="31" xfId="0" applyFont="1" applyFill="1" applyBorder="1" applyAlignment="1">
      <alignment vertical="top" wrapText="1"/>
    </xf>
    <xf numFmtId="0" fontId="12" fillId="10" borderId="0" xfId="0" applyFont="1" applyFill="1"/>
    <xf numFmtId="0" fontId="0" fillId="10" borderId="0" xfId="0" applyFill="1"/>
    <xf numFmtId="0" fontId="12" fillId="10" borderId="0" xfId="0" applyFont="1" applyFill="1" applyAlignment="1">
      <alignment wrapText="1"/>
    </xf>
    <xf numFmtId="0" fontId="11" fillId="26" borderId="0" xfId="0" applyFont="1" applyFill="1"/>
    <xf numFmtId="0" fontId="11" fillId="26" borderId="0" xfId="0" applyFont="1" applyFill="1" applyAlignment="1">
      <alignment vertical="center"/>
    </xf>
    <xf numFmtId="0" fontId="0" fillId="26" borderId="0" xfId="0" applyFill="1"/>
    <xf numFmtId="0" fontId="11" fillId="14" borderId="0" xfId="0" applyFont="1" applyFill="1" applyAlignment="1">
      <alignment vertical="top"/>
    </xf>
    <xf numFmtId="0" fontId="0" fillId="14" borderId="0" xfId="0" applyFill="1" applyAlignment="1">
      <alignment wrapText="1"/>
    </xf>
    <xf numFmtId="0" fontId="0" fillId="26" borderId="0" xfId="0" applyFill="1" applyAlignment="1">
      <alignment wrapText="1"/>
    </xf>
    <xf numFmtId="0" fontId="11" fillId="26" borderId="0" xfId="0" applyFont="1" applyFill="1" applyAlignment="1">
      <alignment vertical="center" wrapText="1"/>
    </xf>
    <xf numFmtId="0" fontId="3" fillId="10" borderId="0" xfId="0" applyFont="1" applyFill="1"/>
    <xf numFmtId="0" fontId="5" fillId="10" borderId="0" xfId="0" applyFont="1" applyFill="1"/>
    <xf numFmtId="0" fontId="15" fillId="26" borderId="0" xfId="0" applyFont="1" applyFill="1" applyAlignment="1">
      <alignment vertical="center"/>
    </xf>
    <xf numFmtId="0" fontId="15" fillId="26" borderId="0" xfId="0" applyFont="1" applyFill="1" applyAlignment="1">
      <alignment horizontal="left" vertical="center"/>
    </xf>
    <xf numFmtId="0" fontId="3" fillId="14" borderId="0" xfId="0" applyFont="1" applyFill="1" applyAlignment="1">
      <alignment wrapText="1"/>
    </xf>
    <xf numFmtId="0" fontId="3" fillId="14" borderId="0" xfId="0" applyFont="1" applyFill="1"/>
    <xf numFmtId="0" fontId="0" fillId="10" borderId="0" xfId="0" applyFill="1" applyAlignment="1">
      <alignment wrapText="1"/>
    </xf>
    <xf numFmtId="169" fontId="0" fillId="20" borderId="16" xfId="1" applyNumberFormat="1" applyFont="1" applyFill="1" applyBorder="1"/>
    <xf numFmtId="9" fontId="0" fillId="0" borderId="45" xfId="1" applyFont="1" applyBorder="1" applyAlignment="1">
      <alignment horizontal="center"/>
    </xf>
    <xf numFmtId="0" fontId="3" fillId="0" borderId="44" xfId="0" applyFont="1" applyBorder="1"/>
    <xf numFmtId="0" fontId="3" fillId="8" borderId="44" xfId="0" applyFont="1" applyFill="1" applyBorder="1"/>
    <xf numFmtId="169" fontId="0" fillId="14" borderId="0" xfId="1" applyNumberFormat="1" applyFont="1" applyFill="1"/>
    <xf numFmtId="0" fontId="3" fillId="12" borderId="16" xfId="0" applyFont="1" applyFill="1" applyBorder="1" applyAlignment="1">
      <alignment wrapText="1"/>
    </xf>
    <xf numFmtId="10" fontId="0" fillId="20" borderId="0" xfId="0" applyNumberFormat="1" applyFill="1"/>
    <xf numFmtId="9" fontId="0" fillId="6" borderId="10" xfId="0" applyNumberFormat="1" applyFill="1" applyBorder="1"/>
    <xf numFmtId="9" fontId="0" fillId="6" borderId="16" xfId="0" applyNumberFormat="1" applyFill="1" applyBorder="1"/>
    <xf numFmtId="0" fontId="0" fillId="0" borderId="44" xfId="0" applyBorder="1" applyAlignment="1">
      <alignment horizontal="right"/>
    </xf>
    <xf numFmtId="0" fontId="0" fillId="6" borderId="10" xfId="0" applyFill="1" applyBorder="1"/>
    <xf numFmtId="0" fontId="0" fillId="6" borderId="16" xfId="0" applyFill="1" applyBorder="1"/>
    <xf numFmtId="0" fontId="0" fillId="0" borderId="44" xfId="0" applyBorder="1" applyAlignment="1">
      <alignment wrapText="1"/>
    </xf>
    <xf numFmtId="166" fontId="0" fillId="11" borderId="32" xfId="0" applyNumberFormat="1" applyFill="1" applyBorder="1"/>
    <xf numFmtId="0" fontId="0" fillId="11" borderId="32" xfId="0" applyFill="1" applyBorder="1"/>
    <xf numFmtId="0" fontId="3" fillId="0" borderId="44" xfId="0" applyFont="1" applyBorder="1" applyAlignment="1">
      <alignment wrapText="1"/>
    </xf>
    <xf numFmtId="0" fontId="3" fillId="14" borderId="0" xfId="0" applyFont="1" applyFill="1" applyAlignment="1">
      <alignment horizontal="right"/>
    </xf>
    <xf numFmtId="0" fontId="0" fillId="14" borderId="0" xfId="0" applyFill="1" applyAlignment="1">
      <alignment vertical="top" wrapText="1"/>
    </xf>
    <xf numFmtId="0" fontId="3" fillId="14" borderId="0" xfId="0" applyFont="1" applyFill="1" applyAlignment="1">
      <alignment horizontal="center"/>
    </xf>
    <xf numFmtId="0" fontId="0" fillId="14" borderId="0" xfId="0" applyFill="1" applyAlignment="1">
      <alignment horizontal="right"/>
    </xf>
    <xf numFmtId="164" fontId="0" fillId="11" borderId="10" xfId="0" applyNumberFormat="1" applyFill="1" applyBorder="1"/>
    <xf numFmtId="0" fontId="3" fillId="0" borderId="44" xfId="0" applyFont="1" applyBorder="1" applyAlignment="1">
      <alignment horizontal="center"/>
    </xf>
    <xf numFmtId="0" fontId="3" fillId="0" borderId="44" xfId="0" applyFont="1" applyBorder="1" applyAlignment="1">
      <alignment horizontal="center" wrapText="1"/>
    </xf>
    <xf numFmtId="9" fontId="0" fillId="6" borderId="46" xfId="0" applyNumberFormat="1" applyFill="1" applyBorder="1"/>
    <xf numFmtId="9" fontId="0" fillId="6" borderId="33" xfId="0" applyNumberFormat="1" applyFill="1" applyBorder="1"/>
    <xf numFmtId="1" fontId="0" fillId="6" borderId="38" xfId="0" applyNumberFormat="1" applyFill="1" applyBorder="1"/>
    <xf numFmtId="1" fontId="0" fillId="11" borderId="47" xfId="0" applyNumberFormat="1" applyFill="1" applyBorder="1"/>
    <xf numFmtId="0" fontId="0" fillId="14" borderId="0" xfId="0" applyFill="1" applyAlignment="1">
      <alignment vertical="top"/>
    </xf>
    <xf numFmtId="0" fontId="0" fillId="14" borderId="37" xfId="0" applyFill="1" applyBorder="1"/>
    <xf numFmtId="0" fontId="16" fillId="14" borderId="0" xfId="0" applyFont="1" applyFill="1"/>
    <xf numFmtId="0" fontId="0" fillId="14" borderId="0" xfId="0" applyFill="1" applyAlignment="1">
      <alignment horizontal="center" vertical="top" wrapText="1"/>
    </xf>
    <xf numFmtId="0" fontId="3" fillId="14" borderId="0" xfId="0" applyFont="1" applyFill="1" applyAlignment="1">
      <alignment vertical="top"/>
    </xf>
    <xf numFmtId="0" fontId="0" fillId="14" borderId="39" xfId="0" applyFill="1" applyBorder="1" applyAlignment="1">
      <alignment vertical="top"/>
    </xf>
    <xf numFmtId="9" fontId="0" fillId="14" borderId="0" xfId="0" applyNumberFormat="1" applyFill="1" applyProtection="1">
      <protection locked="0"/>
    </xf>
    <xf numFmtId="0" fontId="0" fillId="14" borderId="0" xfId="0" applyFill="1" applyAlignment="1">
      <alignment horizontal="left" vertical="top"/>
    </xf>
    <xf numFmtId="0" fontId="14" fillId="14" borderId="0" xfId="0" applyFont="1" applyFill="1" applyAlignment="1">
      <alignment vertical="top"/>
    </xf>
    <xf numFmtId="4" fontId="0" fillId="0" borderId="0" xfId="0" applyNumberFormat="1"/>
    <xf numFmtId="0" fontId="0" fillId="14" borderId="37" xfId="0" applyFill="1" applyBorder="1" applyAlignment="1">
      <alignment vertical="top" wrapText="1"/>
    </xf>
    <xf numFmtId="0" fontId="3" fillId="0" borderId="48" xfId="0" applyFont="1" applyBorder="1" applyAlignment="1">
      <alignment wrapText="1"/>
    </xf>
    <xf numFmtId="0" fontId="0" fillId="14" borderId="31" xfId="0" applyFill="1" applyBorder="1" applyAlignment="1">
      <alignment wrapText="1"/>
    </xf>
    <xf numFmtId="174" fontId="0" fillId="14" borderId="0" xfId="0" applyNumberFormat="1" applyFill="1"/>
    <xf numFmtId="1" fontId="0" fillId="14" borderId="0" xfId="1" applyNumberFormat="1" applyFont="1" applyFill="1"/>
    <xf numFmtId="174" fontId="0" fillId="14" borderId="0" xfId="1" applyNumberFormat="1" applyFont="1" applyFill="1"/>
    <xf numFmtId="169" fontId="0" fillId="0" borderId="0" xfId="0" applyNumberFormat="1"/>
    <xf numFmtId="0" fontId="0" fillId="0" borderId="0" xfId="0" applyAlignment="1">
      <alignment horizontal="right"/>
    </xf>
    <xf numFmtId="1" fontId="0" fillId="0" borderId="0" xfId="0" applyNumberFormat="1" applyAlignment="1">
      <alignment horizontal="right"/>
    </xf>
    <xf numFmtId="174" fontId="0" fillId="0" borderId="0" xfId="0" applyNumberFormat="1" applyAlignment="1">
      <alignment horizontal="right"/>
    </xf>
    <xf numFmtId="3" fontId="0" fillId="0" borderId="0" xfId="0" applyNumberFormat="1" applyAlignment="1">
      <alignment horizontal="right"/>
    </xf>
    <xf numFmtId="1" fontId="0" fillId="0" borderId="30" xfId="0" applyNumberFormat="1" applyBorder="1"/>
    <xf numFmtId="0" fontId="17" fillId="8" borderId="2" xfId="0" applyFont="1" applyFill="1" applyBorder="1" applyAlignment="1">
      <alignment horizontal="center" wrapText="1"/>
    </xf>
    <xf numFmtId="1" fontId="0" fillId="6" borderId="35" xfId="0" applyNumberFormat="1" applyFont="1" applyFill="1" applyBorder="1"/>
    <xf numFmtId="0" fontId="3" fillId="14" borderId="50" xfId="0" applyFont="1" applyFill="1" applyBorder="1" applyAlignment="1">
      <alignment horizontal="right"/>
    </xf>
    <xf numFmtId="0" fontId="0" fillId="14" borderId="49" xfId="0" applyFill="1" applyBorder="1"/>
    <xf numFmtId="0" fontId="3" fillId="0" borderId="51" xfId="0" applyFont="1" applyBorder="1"/>
    <xf numFmtId="0" fontId="0" fillId="0" borderId="51" xfId="0" applyBorder="1"/>
    <xf numFmtId="9" fontId="0" fillId="6" borderId="30" xfId="0" applyNumberFormat="1" applyFill="1" applyBorder="1"/>
    <xf numFmtId="0" fontId="0" fillId="14" borderId="52" xfId="0" applyFill="1" applyBorder="1"/>
    <xf numFmtId="0" fontId="0" fillId="11" borderId="53" xfId="0" applyFill="1" applyBorder="1"/>
    <xf numFmtId="0" fontId="3" fillId="0" borderId="51" xfId="0" applyFont="1" applyBorder="1" applyAlignment="1">
      <alignment wrapText="1"/>
    </xf>
    <xf numFmtId="0" fontId="0" fillId="6" borderId="55" xfId="0" applyFill="1" applyBorder="1"/>
    <xf numFmtId="0" fontId="0" fillId="14" borderId="54" xfId="0" applyFill="1" applyBorder="1" applyAlignment="1">
      <alignment vertical="top" wrapText="1"/>
    </xf>
    <xf numFmtId="0" fontId="0" fillId="14" borderId="0" xfId="0" applyFill="1" applyAlignment="1"/>
    <xf numFmtId="3" fontId="0" fillId="0" borderId="7" xfId="0" applyNumberFormat="1" applyFill="1" applyBorder="1"/>
    <xf numFmtId="1" fontId="0" fillId="0" borderId="7" xfId="0" applyNumberFormat="1" applyFill="1" applyBorder="1" applyAlignment="1" applyProtection="1">
      <alignment wrapText="1"/>
      <protection locked="0"/>
    </xf>
    <xf numFmtId="9" fontId="0" fillId="0" borderId="12" xfId="1" applyFont="1" applyFill="1" applyBorder="1" applyProtection="1">
      <protection locked="0"/>
    </xf>
    <xf numFmtId="0" fontId="0" fillId="0" borderId="0" xfId="1" applyNumberFormat="1" applyFont="1" applyFill="1" applyBorder="1" applyProtection="1">
      <protection locked="0"/>
    </xf>
    <xf numFmtId="3" fontId="0" fillId="0" borderId="0" xfId="1" applyNumberFormat="1" applyFont="1" applyFill="1" applyBorder="1" applyProtection="1">
      <protection locked="0"/>
    </xf>
    <xf numFmtId="164" fontId="0" fillId="0" borderId="3" xfId="0" applyNumberFormat="1" applyFill="1" applyBorder="1"/>
    <xf numFmtId="1" fontId="0" fillId="0" borderId="0" xfId="1" applyNumberFormat="1" applyFont="1" applyFill="1" applyBorder="1" applyProtection="1">
      <protection locked="0"/>
    </xf>
    <xf numFmtId="0" fontId="0" fillId="0" borderId="0" xfId="0" applyFill="1"/>
    <xf numFmtId="1" fontId="0" fillId="0" borderId="0" xfId="0" applyNumberFormat="1" applyFill="1"/>
    <xf numFmtId="0" fontId="0" fillId="0" borderId="31" xfId="0" applyBorder="1" applyAlignment="1">
      <alignment horizontal="left" vertical="top" wrapText="1"/>
    </xf>
    <xf numFmtId="0" fontId="0" fillId="14" borderId="0" xfId="0" applyFill="1" applyAlignment="1">
      <alignment horizontal="left" vertical="top" wrapText="1"/>
    </xf>
    <xf numFmtId="0" fontId="13" fillId="10" borderId="0" xfId="0" applyFont="1" applyFill="1" applyAlignment="1">
      <alignment horizontal="left" vertical="top"/>
    </xf>
    <xf numFmtId="0" fontId="0" fillId="14" borderId="0" xfId="0" applyFill="1" applyAlignment="1">
      <alignment horizontal="left" vertical="top"/>
    </xf>
    <xf numFmtId="0" fontId="0" fillId="14" borderId="36" xfId="0" applyFill="1" applyBorder="1" applyAlignment="1">
      <alignment horizontal="left" vertical="top"/>
    </xf>
    <xf numFmtId="0" fontId="13" fillId="10" borderId="41" xfId="0" applyFont="1" applyFill="1" applyBorder="1" applyAlignment="1">
      <alignment horizontal="center" vertical="center"/>
    </xf>
    <xf numFmtId="0" fontId="0" fillId="0" borderId="42" xfId="0" applyBorder="1" applyAlignment="1">
      <alignment horizontal="left" vertical="top" wrapText="1"/>
    </xf>
    <xf numFmtId="0" fontId="0" fillId="0" borderId="43" xfId="0" applyBorder="1" applyAlignment="1">
      <alignment horizontal="left" vertical="top" wrapText="1"/>
    </xf>
    <xf numFmtId="0" fontId="0" fillId="0" borderId="32" xfId="0" applyBorder="1" applyAlignment="1">
      <alignment horizontal="left" vertical="top" wrapText="1"/>
    </xf>
    <xf numFmtId="0" fontId="14" fillId="14" borderId="0" xfId="0" applyFont="1" applyFill="1" applyAlignment="1">
      <alignment horizontal="left" vertical="top" wrapText="1"/>
    </xf>
    <xf numFmtId="3" fontId="0" fillId="0" borderId="0" xfId="0" applyNumberFormat="1" applyAlignment="1">
      <alignment horizontal="center"/>
    </xf>
    <xf numFmtId="0" fontId="16" fillId="14" borderId="0" xfId="0" applyFont="1" applyFill="1" applyAlignment="1">
      <alignment horizontal="left" vertical="top" wrapText="1"/>
    </xf>
    <xf numFmtId="0" fontId="3" fillId="8" borderId="44" xfId="0" applyFont="1" applyFill="1" applyBorder="1" applyAlignment="1">
      <alignment horizontal="center" wrapText="1"/>
    </xf>
    <xf numFmtId="0" fontId="3" fillId="12" borderId="7" xfId="0" applyFont="1" applyFill="1" applyBorder="1" applyAlignment="1">
      <alignment horizontal="center" wrapText="1"/>
    </xf>
    <xf numFmtId="0" fontId="3" fillId="19" borderId="7" xfId="0" applyFont="1" applyFill="1" applyBorder="1" applyAlignment="1">
      <alignment horizontal="center" wrapText="1"/>
    </xf>
    <xf numFmtId="0" fontId="3" fillId="12" borderId="7" xfId="0" applyFont="1" applyFill="1" applyBorder="1" applyAlignment="1">
      <alignment horizontal="center"/>
    </xf>
    <xf numFmtId="0" fontId="5" fillId="10" borderId="0" xfId="0" applyFont="1" applyFill="1" applyAlignment="1">
      <alignment horizontal="left"/>
    </xf>
    <xf numFmtId="0" fontId="3" fillId="13" borderId="31" xfId="0" applyFont="1" applyFill="1" applyBorder="1" applyAlignment="1">
      <alignment horizontal="center" wrapText="1"/>
    </xf>
    <xf numFmtId="0" fontId="3" fillId="12" borderId="16" xfId="0" applyFont="1" applyFill="1" applyBorder="1" applyAlignment="1">
      <alignment horizontal="center" wrapText="1"/>
    </xf>
    <xf numFmtId="0" fontId="0" fillId="0" borderId="0" xfId="0" applyAlignment="1">
      <alignment horizontal="center"/>
    </xf>
    <xf numFmtId="0" fontId="14" fillId="14" borderId="0" xfId="0" applyFont="1" applyFill="1" applyAlignment="1">
      <alignment horizontal="left" vertical="center" wrapText="1"/>
    </xf>
    <xf numFmtId="0" fontId="14" fillId="14" borderId="0" xfId="0" applyFont="1" applyFill="1" applyAlignment="1">
      <alignment horizontal="left" vertical="center"/>
    </xf>
    <xf numFmtId="0" fontId="1" fillId="14" borderId="0" xfId="0" applyFont="1" applyFill="1" applyAlignment="1">
      <alignment horizontal="left" vertical="center" wrapText="1"/>
    </xf>
    <xf numFmtId="0" fontId="12" fillId="10" borderId="0" xfId="0" applyFont="1" applyFill="1" applyAlignment="1">
      <alignment horizontal="left" vertical="center"/>
    </xf>
    <xf numFmtId="0" fontId="3" fillId="8" borderId="22" xfId="0" applyFont="1" applyFill="1" applyBorder="1" applyAlignment="1">
      <alignment horizontal="center"/>
    </xf>
    <xf numFmtId="0" fontId="3" fillId="8" borderId="16" xfId="0" applyFont="1" applyFill="1" applyBorder="1" applyAlignment="1">
      <alignment horizontal="center"/>
    </xf>
    <xf numFmtId="0" fontId="12" fillId="10" borderId="0" xfId="0" applyFont="1" applyFill="1" applyAlignment="1">
      <alignment horizontal="left" wrapText="1"/>
    </xf>
    <xf numFmtId="0" fontId="12" fillId="10" borderId="0" xfId="0" applyFont="1" applyFill="1" applyAlignment="1">
      <alignment horizontal="center"/>
    </xf>
    <xf numFmtId="0" fontId="3" fillId="8" borderId="31" xfId="0" applyFont="1" applyFill="1" applyBorder="1" applyAlignment="1">
      <alignment horizontal="center"/>
    </xf>
    <xf numFmtId="0" fontId="0" fillId="13" borderId="31" xfId="0" applyFill="1" applyBorder="1" applyAlignment="1">
      <alignment horizontal="center" wrapText="1"/>
    </xf>
    <xf numFmtId="0" fontId="0" fillId="6" borderId="31" xfId="0" applyFill="1" applyBorder="1" applyAlignment="1">
      <alignment horizontal="center"/>
    </xf>
    <xf numFmtId="0" fontId="3" fillId="0" borderId="8" xfId="0" applyFont="1" applyBorder="1" applyAlignment="1">
      <alignment horizontal="center" wrapText="1"/>
    </xf>
    <xf numFmtId="0" fontId="3" fillId="7" borderId="2" xfId="0" applyFont="1" applyFill="1" applyBorder="1" applyAlignment="1">
      <alignment horizontal="center"/>
    </xf>
    <xf numFmtId="0" fontId="3" fillId="7" borderId="5" xfId="0" applyFont="1" applyFill="1" applyBorder="1" applyAlignment="1">
      <alignment horizontal="center"/>
    </xf>
    <xf numFmtId="0" fontId="3" fillId="7" borderId="6" xfId="0" applyFont="1" applyFill="1" applyBorder="1" applyAlignment="1">
      <alignment horizontal="center"/>
    </xf>
    <xf numFmtId="0" fontId="3" fillId="13" borderId="15" xfId="0" applyFont="1" applyFill="1" applyBorder="1" applyAlignment="1">
      <alignment horizontal="center"/>
    </xf>
    <xf numFmtId="0" fontId="3" fillId="13" borderId="16" xfId="0" applyFont="1" applyFill="1" applyBorder="1" applyAlignment="1">
      <alignment horizontal="center"/>
    </xf>
    <xf numFmtId="0" fontId="3" fillId="8" borderId="5" xfId="0" applyFont="1" applyFill="1" applyBorder="1" applyAlignment="1">
      <alignment horizontal="center"/>
    </xf>
    <xf numFmtId="0" fontId="3" fillId="8" borderId="6" xfId="0" applyFont="1" applyFill="1" applyBorder="1" applyAlignment="1">
      <alignment horizontal="center"/>
    </xf>
    <xf numFmtId="0" fontId="3" fillId="13" borderId="22" xfId="0" applyFont="1" applyFill="1" applyBorder="1" applyAlignment="1">
      <alignment horizontal="center"/>
    </xf>
    <xf numFmtId="0" fontId="3" fillId="13" borderId="9" xfId="0" applyFont="1" applyFill="1" applyBorder="1" applyAlignment="1">
      <alignment horizontal="center"/>
    </xf>
    <xf numFmtId="0" fontId="3" fillId="13" borderId="8" xfId="0" applyFont="1" applyFill="1" applyBorder="1" applyAlignment="1">
      <alignment horizontal="center"/>
    </xf>
    <xf numFmtId="0" fontId="3" fillId="13" borderId="10" xfId="0" applyFont="1" applyFill="1" applyBorder="1" applyAlignment="1">
      <alignment horizontal="center"/>
    </xf>
    <xf numFmtId="0" fontId="3" fillId="9" borderId="11" xfId="0" applyFont="1" applyFill="1" applyBorder="1" applyAlignment="1">
      <alignment horizontal="center"/>
    </xf>
    <xf numFmtId="0" fontId="3" fillId="9" borderId="0" xfId="0" applyFont="1" applyFill="1" applyAlignment="1">
      <alignment horizontal="center"/>
    </xf>
    <xf numFmtId="0" fontId="5" fillId="7" borderId="2" xfId="0" applyFont="1" applyFill="1" applyBorder="1" applyAlignment="1">
      <alignment horizontal="center"/>
    </xf>
    <xf numFmtId="0" fontId="5" fillId="7" borderId="5" xfId="0" applyFont="1" applyFill="1" applyBorder="1" applyAlignment="1">
      <alignment horizontal="center"/>
    </xf>
    <xf numFmtId="0" fontId="5" fillId="7" borderId="6" xfId="0" applyFont="1" applyFill="1" applyBorder="1" applyAlignment="1">
      <alignment horizontal="center"/>
    </xf>
    <xf numFmtId="0" fontId="5" fillId="9" borderId="11" xfId="0" applyFont="1" applyFill="1" applyBorder="1" applyAlignment="1">
      <alignment horizontal="center"/>
    </xf>
    <xf numFmtId="0" fontId="5" fillId="9" borderId="0" xfId="0" applyFont="1" applyFill="1" applyAlignment="1">
      <alignment horizontal="center"/>
    </xf>
    <xf numFmtId="0" fontId="3" fillId="6" borderId="2" xfId="0" applyFont="1" applyFill="1" applyBorder="1" applyAlignment="1">
      <alignment horizontal="center"/>
    </xf>
    <xf numFmtId="0" fontId="3" fillId="6" borderId="5" xfId="0" applyFont="1" applyFill="1" applyBorder="1" applyAlignment="1">
      <alignment horizontal="center"/>
    </xf>
    <xf numFmtId="0" fontId="0" fillId="8" borderId="7" xfId="0" applyFill="1" applyBorder="1" applyAlignment="1">
      <alignment horizontal="center"/>
    </xf>
    <xf numFmtId="0" fontId="0" fillId="12" borderId="7" xfId="0" applyFill="1" applyBorder="1" applyAlignment="1">
      <alignment horizontal="center"/>
    </xf>
    <xf numFmtId="0" fontId="0" fillId="12" borderId="7" xfId="0" applyFill="1" applyBorder="1" applyAlignment="1">
      <alignment horizontal="center" wrapText="1"/>
    </xf>
    <xf numFmtId="0" fontId="0" fillId="19" borderId="7" xfId="0" applyFill="1" applyBorder="1" applyAlignment="1">
      <alignment horizont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Model'!$B$138</c:f>
          <c:strCache>
            <c:ptCount val="1"/>
            <c:pt idx="0">
              <c:v>Number of influenza Hospitalizations observed and avoided by vaccination and influenza vaccination monthly coverage. Country X, season .</c:v>
            </c:pt>
          </c:strCache>
        </c:strRef>
      </c:tx>
      <c:layout>
        <c:manualLayout>
          <c:xMode val="edge"/>
          <c:yMode val="edge"/>
          <c:x val="0.13270767626904001"/>
          <c:y val="7.172995780590717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103786467126726"/>
          <c:y val="0.22551181102362206"/>
          <c:w val="0.71374081364829411"/>
          <c:h val="0.50628392969866121"/>
        </c:manualLayout>
      </c:layout>
      <c:barChart>
        <c:barDir val="col"/>
        <c:grouping val="stacked"/>
        <c:varyColors val="0"/>
        <c:ser>
          <c:idx val="0"/>
          <c:order val="0"/>
          <c:tx>
            <c:strRef>
              <c:f>'3. Model'!$C$141</c:f>
              <c:strCache>
                <c:ptCount val="1"/>
                <c:pt idx="0">
                  <c:v>Overall infections observed</c:v>
                </c:pt>
              </c:strCache>
            </c:strRef>
          </c:tx>
          <c:spPr>
            <a:solidFill>
              <a:schemeClr val="bg1">
                <a:lumMod val="95000"/>
              </a:schemeClr>
            </a:solidFill>
            <a:ln>
              <a:solidFill>
                <a:schemeClr val="bg1">
                  <a:lumMod val="50000"/>
                </a:schemeClr>
              </a:solidFill>
            </a:ln>
            <a:effectLst/>
          </c:spPr>
          <c:invertIfNegative val="0"/>
          <c:cat>
            <c:numRef>
              <c:f>'3. Model'!$B$142:$B$153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'3. Model'!$C$142:$C$153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A68-4348-8319-A4FC314554B6}"/>
            </c:ext>
          </c:extLst>
        </c:ser>
        <c:ser>
          <c:idx val="1"/>
          <c:order val="1"/>
          <c:tx>
            <c:strRef>
              <c:f>'3. Model'!$D$141</c:f>
              <c:strCache>
                <c:ptCount val="1"/>
                <c:pt idx="0">
                  <c:v>Avoided infections</c:v>
                </c:pt>
              </c:strCache>
            </c:strRef>
          </c:tx>
          <c:spPr>
            <a:solidFill>
              <a:schemeClr val="tx1">
                <a:lumMod val="65000"/>
                <a:lumOff val="35000"/>
              </a:schemeClr>
            </a:solidFill>
            <a:ln>
              <a:solidFill>
                <a:schemeClr val="tx1">
                  <a:lumMod val="85000"/>
                  <a:lumOff val="15000"/>
                </a:schemeClr>
              </a:solidFill>
            </a:ln>
            <a:effectLst/>
          </c:spPr>
          <c:invertIfNegative val="0"/>
          <c:cat>
            <c:numRef>
              <c:f>'3. Model'!$B$142:$B$153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'3. Model'!$D$142:$D$153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A68-4348-8319-A4FC314554B6}"/>
            </c:ext>
          </c:extLst>
        </c:ser>
        <c:dLbls>
          <c:showLegendKey val="0"/>
          <c:showVal val="0"/>
          <c:showCatName val="0"/>
          <c:showSerName val="0"/>
          <c:showPercent val="0"/>
          <c:showBubbleSize val="0"/>
        </c:dLbls>
        <c:gapWidth val="59"/>
        <c:overlap val="100"/>
        <c:axId val="797110608"/>
        <c:axId val="369518392"/>
      </c:barChart>
      <c:lineChart>
        <c:grouping val="standard"/>
        <c:varyColors val="0"/>
        <c:ser>
          <c:idx val="2"/>
          <c:order val="2"/>
          <c:tx>
            <c:strRef>
              <c:f>'3. Model'!$E$141</c:f>
              <c:strCache>
                <c:ptCount val="1"/>
                <c:pt idx="0">
                  <c:v>monthly coverage</c:v>
                </c:pt>
              </c:strCache>
            </c:strRef>
          </c:tx>
          <c:spPr>
            <a:ln w="28575" cap="rnd">
              <a:solidFill>
                <a:schemeClr val="bg1">
                  <a:lumMod val="65000"/>
                </a:schemeClr>
              </a:solidFill>
              <a:prstDash val="sysDash"/>
              <a:round/>
            </a:ln>
            <a:effectLst/>
          </c:spPr>
          <c:marker>
            <c:symbol val="none"/>
          </c:marker>
          <c:cat>
            <c:numRef>
              <c:f>'3. Model'!$B$142:$B$153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'3. Model'!$E$142:$E$153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3A68-4348-8319-A4FC314554B6}"/>
            </c:ext>
          </c:extLst>
        </c:ser>
        <c:dLbls>
          <c:showLegendKey val="0"/>
          <c:showVal val="0"/>
          <c:showCatName val="0"/>
          <c:showSerName val="0"/>
          <c:showPercent val="0"/>
          <c:showBubbleSize val="0"/>
        </c:dLbls>
        <c:marker val="1"/>
        <c:smooth val="0"/>
        <c:axId val="871834872"/>
        <c:axId val="871839464"/>
      </c:lineChart>
      <c:catAx>
        <c:axId val="797110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9518392"/>
        <c:crosses val="autoZero"/>
        <c:auto val="1"/>
        <c:lblAlgn val="ctr"/>
        <c:lblOffset val="100"/>
        <c:noMultiLvlLbl val="0"/>
      </c:catAx>
      <c:valAx>
        <c:axId val="369518392"/>
        <c:scaling>
          <c:orientation val="minMax"/>
        </c:scaling>
        <c:delete val="0"/>
        <c:axPos val="l"/>
        <c:majorGridlines>
          <c:spPr>
            <a:ln w="9525" cap="flat" cmpd="sng" algn="ctr">
              <a:solidFill>
                <a:schemeClr val="tx1">
                  <a:lumMod val="15000"/>
                  <a:lumOff val="85000"/>
                </a:schemeClr>
              </a:solidFill>
              <a:round/>
            </a:ln>
            <a:effectLst/>
          </c:spPr>
        </c:majorGridlines>
        <c:title>
          <c:tx>
            <c:strRef>
              <c:f>'3. Model'!$G$144</c:f>
              <c:strCache>
                <c:ptCount val="1"/>
                <c:pt idx="0">
                  <c:v>Number of Hospitalizations</c:v>
                </c:pt>
              </c:strCache>
            </c:strRef>
          </c:tx>
          <c:layout>
            <c:manualLayout>
              <c:xMode val="edge"/>
              <c:yMode val="edge"/>
              <c:x val="3.0244081441652134E-2"/>
              <c:y val="0.2389341901781365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7110608"/>
        <c:crosses val="autoZero"/>
        <c:crossBetween val="between"/>
      </c:valAx>
      <c:valAx>
        <c:axId val="871839464"/>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Monthly coverage</a:t>
                </a:r>
              </a:p>
            </c:rich>
          </c:tx>
          <c:layout>
            <c:manualLayout>
              <c:xMode val="edge"/>
              <c:yMode val="edge"/>
              <c:x val="0.93937287286978377"/>
              <c:y val="0.3695501511678128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1834872"/>
        <c:crosses val="max"/>
        <c:crossBetween val="between"/>
      </c:valAx>
      <c:catAx>
        <c:axId val="871834872"/>
        <c:scaling>
          <c:orientation val="minMax"/>
        </c:scaling>
        <c:delete val="1"/>
        <c:axPos val="b"/>
        <c:numFmt formatCode="General" sourceLinked="1"/>
        <c:majorTickMark val="out"/>
        <c:minorTickMark val="none"/>
        <c:tickLblPos val="nextTo"/>
        <c:crossAx val="871839464"/>
        <c:crosses val="autoZero"/>
        <c:auto val="1"/>
        <c:lblAlgn val="ctr"/>
        <c:lblOffset val="100"/>
        <c:noMultiLvlLbl val="0"/>
      </c:catAx>
      <c:spPr>
        <a:noFill/>
        <a:ln>
          <a:noFill/>
        </a:ln>
        <a:effectLst/>
      </c:spPr>
    </c:plotArea>
    <c:legend>
      <c:legendPos val="r"/>
      <c:layout>
        <c:manualLayout>
          <c:xMode val="edge"/>
          <c:yMode val="edge"/>
          <c:x val="3.4250291628535663E-2"/>
          <c:y val="0.8489225555666301"/>
          <c:w val="0.91586846388771836"/>
          <c:h val="0.127640120934250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Scenarios!$K$79</c:f>
          <c:strCache>
            <c:ptCount val="1"/>
            <c:pt idx="0">
              <c:v>Hospitalized infections averted by influenza vaccine with diferent coverage and deployment strategies. Country X,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5404306584104"/>
          <c:y val="0.23654997722858162"/>
          <c:w val="0.63606079209303357"/>
          <c:h val="0.5910642164727743"/>
        </c:manualLayout>
      </c:layout>
      <c:lineChart>
        <c:grouping val="standard"/>
        <c:varyColors val="0"/>
        <c:ser>
          <c:idx val="0"/>
          <c:order val="0"/>
          <c:tx>
            <c:strRef>
              <c:f>Scenarios!$B$39:$B$40</c:f>
              <c:strCache>
                <c:ptCount val="2"/>
                <c:pt idx="0">
                  <c:v>Coverage</c:v>
                </c:pt>
                <c:pt idx="1">
                  <c:v>0% (base)</c:v>
                </c:pt>
              </c:strCache>
            </c:strRef>
          </c:tx>
          <c:spPr>
            <a:ln w="28575" cap="rnd">
              <a:solidFill>
                <a:schemeClr val="tx1">
                  <a:lumMod val="95000"/>
                  <a:lumOff val="5000"/>
                </a:schemeClr>
              </a:solidFill>
              <a:round/>
            </a:ln>
            <a:effectLst/>
          </c:spPr>
          <c:marker>
            <c:symbol val="square"/>
            <c:size val="5"/>
            <c:spPr>
              <a:solidFill>
                <a:schemeClr val="bg1">
                  <a:lumMod val="65000"/>
                </a:schemeClr>
              </a:solidFill>
              <a:ln w="9525">
                <a:solidFill>
                  <a:schemeClr val="tx1">
                    <a:lumMod val="95000"/>
                    <a:lumOff val="5000"/>
                  </a:schemeClr>
                </a:solidFill>
                <a:prstDash val="dash"/>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est'!$F$255:$F$259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35AC-41A8-BD7B-1CBAB65E81A6}"/>
            </c:ext>
          </c:extLst>
        </c:ser>
        <c:ser>
          <c:idx val="1"/>
          <c:order val="1"/>
          <c:tx>
            <c:strRef>
              <c:f>Scenarios!$C$39:$C$40</c:f>
              <c:strCache>
                <c:ptCount val="2"/>
                <c:pt idx="0">
                  <c:v>Coverage</c:v>
                </c:pt>
                <c:pt idx="1">
                  <c:v>5%</c:v>
                </c:pt>
              </c:strCache>
            </c:strRef>
          </c:tx>
          <c:spPr>
            <a:ln w="28575" cap="rnd">
              <a:solidFill>
                <a:schemeClr val="tx1">
                  <a:lumMod val="65000"/>
                  <a:lumOff val="35000"/>
                </a:schemeClr>
              </a:solidFill>
              <a:prstDash val="dash"/>
              <a:round/>
            </a:ln>
            <a:effectLst/>
          </c:spPr>
          <c:marker>
            <c:symbol val="triangle"/>
            <c:size val="5"/>
            <c:spPr>
              <a:solidFill>
                <a:schemeClr val="bg1">
                  <a:lumMod val="95000"/>
                </a:schemeClr>
              </a:solidFill>
              <a:ln w="9525">
                <a:solidFill>
                  <a:schemeClr val="tx1">
                    <a:lumMod val="65000"/>
                    <a:lumOff val="35000"/>
                  </a:schemeClr>
                </a:solidFill>
                <a:prstDash val="dash"/>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est'!$G$255:$G$259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35AC-41A8-BD7B-1CBAB65E81A6}"/>
            </c:ext>
          </c:extLst>
        </c:ser>
        <c:ser>
          <c:idx val="2"/>
          <c:order val="2"/>
          <c:tx>
            <c:strRef>
              <c:f>Scenarios!$D$39:$D$40</c:f>
              <c:strCache>
                <c:ptCount val="2"/>
                <c:pt idx="0">
                  <c:v>Coverage</c:v>
                </c:pt>
                <c:pt idx="1">
                  <c:v>10%</c:v>
                </c:pt>
              </c:strCache>
            </c:strRef>
          </c:tx>
          <c:spPr>
            <a:ln w="28575" cap="rnd">
              <a:solidFill>
                <a:schemeClr val="tx1">
                  <a:lumMod val="65000"/>
                  <a:lumOff val="35000"/>
                </a:schemeClr>
              </a:solidFill>
              <a:prstDash val="sysDash"/>
              <a:round/>
            </a:ln>
            <a:effectLst/>
          </c:spPr>
          <c:marker>
            <c:symbol val="square"/>
            <c:size val="5"/>
            <c:spPr>
              <a:solidFill>
                <a:schemeClr val="bg1">
                  <a:lumMod val="95000"/>
                </a:schemeClr>
              </a:solidFill>
              <a:ln w="9525">
                <a:solidFill>
                  <a:schemeClr val="tx1">
                    <a:lumMod val="65000"/>
                    <a:lumOff val="35000"/>
                  </a:schemeClr>
                </a:solidFill>
                <a:prstDash val="sysDash"/>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est'!$H$255:$H$259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2-35AC-41A8-BD7B-1CBAB65E81A6}"/>
            </c:ext>
          </c:extLst>
        </c:ser>
        <c:ser>
          <c:idx val="3"/>
          <c:order val="3"/>
          <c:tx>
            <c:strRef>
              <c:f>Scenarios!$E$39:$E$40</c:f>
              <c:strCache>
                <c:ptCount val="2"/>
                <c:pt idx="0">
                  <c:v>Coverage</c:v>
                </c:pt>
                <c:pt idx="1">
                  <c:v>15%</c:v>
                </c:pt>
              </c:strCache>
            </c:strRef>
          </c:tx>
          <c:spPr>
            <a:ln w="28575" cap="rnd">
              <a:solidFill>
                <a:schemeClr val="tx1">
                  <a:lumMod val="65000"/>
                  <a:lumOff val="35000"/>
                </a:schemeClr>
              </a:solidFill>
              <a:prstDash val="sysDot"/>
              <a:round/>
            </a:ln>
            <a:effectLst/>
          </c:spPr>
          <c:marker>
            <c:symbol val="circle"/>
            <c:size val="5"/>
            <c:spPr>
              <a:solidFill>
                <a:schemeClr val="tx1">
                  <a:lumMod val="75000"/>
                  <a:lumOff val="25000"/>
                </a:schemeClr>
              </a:solidFill>
              <a:ln w="9525">
                <a:solidFill>
                  <a:schemeClr val="tx1">
                    <a:lumMod val="65000"/>
                    <a:lumOff val="35000"/>
                  </a:schemeClr>
                </a:solidFill>
                <a:prstDash val="sysDot"/>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est'!$I$255:$I$259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3-35AC-41A8-BD7B-1CBAB65E81A6}"/>
            </c:ext>
          </c:extLst>
        </c:ser>
        <c:ser>
          <c:idx val="4"/>
          <c:order val="4"/>
          <c:tx>
            <c:strRef>
              <c:f>Scenarios!$F$39:$F$40</c:f>
              <c:strCache>
                <c:ptCount val="2"/>
                <c:pt idx="0">
                  <c:v>Coverage</c:v>
                </c:pt>
                <c:pt idx="1">
                  <c:v>20%</c:v>
                </c:pt>
              </c:strCache>
            </c:strRef>
          </c:tx>
          <c:spPr>
            <a:ln w="28575" cap="rnd">
              <a:solidFill>
                <a:schemeClr val="bg1">
                  <a:lumMod val="65000"/>
                </a:schemeClr>
              </a:solidFill>
              <a:round/>
            </a:ln>
            <a:effectLst/>
          </c:spPr>
          <c:marker>
            <c:symbol val="square"/>
            <c:size val="5"/>
            <c:spPr>
              <a:solidFill>
                <a:schemeClr val="tx1">
                  <a:lumMod val="85000"/>
                  <a:lumOff val="15000"/>
                </a:schemeClr>
              </a:solidFill>
              <a:ln w="9525">
                <a:solidFill>
                  <a:schemeClr val="bg1">
                    <a:lumMod val="65000"/>
                  </a:schemeClr>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 est'!$J$255:$J$259</c:f>
              <c:numCache>
                <c:formatCode>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4-35AC-41A8-BD7B-1CBAB65E81A6}"/>
            </c:ext>
          </c:extLst>
        </c:ser>
        <c:dLbls>
          <c:showLegendKey val="0"/>
          <c:showVal val="0"/>
          <c:showCatName val="0"/>
          <c:showSerName val="0"/>
          <c:showPercent val="0"/>
          <c:showBubbleSize val="0"/>
        </c:dLbls>
        <c:marker val="1"/>
        <c:smooth val="0"/>
        <c:axId val="741257432"/>
        <c:axId val="741258088"/>
      </c:lineChart>
      <c:catAx>
        <c:axId val="7412574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Deployment strategy</a:t>
                </a:r>
              </a:p>
            </c:rich>
          </c:tx>
          <c:layout>
            <c:manualLayout>
              <c:xMode val="edge"/>
              <c:yMode val="edge"/>
              <c:x val="0.37508593574919036"/>
              <c:y val="0.927182410925570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8088"/>
        <c:crosses val="autoZero"/>
        <c:auto val="1"/>
        <c:lblAlgn val="ctr"/>
        <c:lblOffset val="100"/>
        <c:noMultiLvlLbl val="0"/>
      </c:catAx>
      <c:valAx>
        <c:axId val="741258088"/>
        <c:scaling>
          <c:orientation val="minMax"/>
        </c:scaling>
        <c:delete val="0"/>
        <c:axPos val="l"/>
        <c:majorGridlines>
          <c:spPr>
            <a:ln w="9525" cap="flat" cmpd="sng" algn="ctr">
              <a:solidFill>
                <a:schemeClr val="tx1">
                  <a:lumMod val="15000"/>
                  <a:lumOff val="85000"/>
                </a:schemeClr>
              </a:solidFill>
              <a:round/>
            </a:ln>
            <a:effectLst/>
          </c:spPr>
        </c:majorGridlines>
        <c:title>
          <c:tx>
            <c:strRef>
              <c:f>Scenarios!$J$60</c:f>
              <c:strCache>
                <c:ptCount val="1"/>
                <c:pt idx="0">
                  <c:v>Hospitalized infections</c:v>
                </c:pt>
              </c:strCache>
            </c:strRef>
          </c:tx>
          <c:layout>
            <c:manualLayout>
              <c:xMode val="edge"/>
              <c:yMode val="edge"/>
              <c:x val="3.4062126296352808E-2"/>
              <c:y val="0.3457335335532544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7432"/>
        <c:crosses val="autoZero"/>
        <c:crossBetween val="between"/>
      </c:valAx>
      <c:spPr>
        <a:noFill/>
        <a:ln>
          <a:noFill/>
        </a:ln>
        <a:effectLst/>
      </c:spPr>
    </c:plotArea>
    <c:legend>
      <c:legendPos val="r"/>
      <c:layout>
        <c:manualLayout>
          <c:xMode val="edge"/>
          <c:yMode val="edge"/>
          <c:x val="0.79165136737089048"/>
          <c:y val="0.40723072638874996"/>
          <c:w val="0.19802414845361718"/>
          <c:h val="0.399103872982166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Scenarios!$K$78</c:f>
          <c:strCache>
            <c:ptCount val="1"/>
            <c:pt idx="0">
              <c:v>Prevented fraction by influenza vaccine with diferent coverage and deployment strategies. Country X, season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363244656792182"/>
          <c:y val="0.19511123310892761"/>
          <c:w val="0.63606079209303357"/>
          <c:h val="0.65237810726473899"/>
        </c:manualLayout>
      </c:layout>
      <c:lineChart>
        <c:grouping val="standard"/>
        <c:varyColors val="0"/>
        <c:ser>
          <c:idx val="0"/>
          <c:order val="0"/>
          <c:tx>
            <c:strRef>
              <c:f>Scenarios!$B$39:$B$40</c:f>
              <c:strCache>
                <c:ptCount val="2"/>
                <c:pt idx="0">
                  <c:v>Coverage</c:v>
                </c:pt>
                <c:pt idx="1">
                  <c:v>0% (base)</c:v>
                </c:pt>
              </c:strCache>
            </c:strRef>
          </c:tx>
          <c:spPr>
            <a:ln w="28575" cap="rnd">
              <a:solidFill>
                <a:schemeClr val="tx1">
                  <a:lumMod val="95000"/>
                  <a:lumOff val="5000"/>
                </a:schemeClr>
              </a:solidFill>
              <a:round/>
            </a:ln>
            <a:effectLst/>
          </c:spPr>
          <c:marker>
            <c:symbol val="circle"/>
            <c:size val="5"/>
            <c:spPr>
              <a:solidFill>
                <a:schemeClr val="accent1"/>
              </a:solidFill>
              <a:ln w="9525">
                <a:solidFill>
                  <a:schemeClr val="accent1"/>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Scenarios!$B$41:$B$45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C405-4CAE-A2C3-402704A317FD}"/>
            </c:ext>
          </c:extLst>
        </c:ser>
        <c:ser>
          <c:idx val="1"/>
          <c:order val="1"/>
          <c:tx>
            <c:strRef>
              <c:f>Scenarios!$C$39:$C$40</c:f>
              <c:strCache>
                <c:ptCount val="2"/>
                <c:pt idx="0">
                  <c:v>Coverage</c:v>
                </c:pt>
                <c:pt idx="1">
                  <c:v>5%</c:v>
                </c:pt>
              </c:strCache>
            </c:strRef>
          </c:tx>
          <c:spPr>
            <a:ln w="28575" cap="rnd">
              <a:solidFill>
                <a:schemeClr val="tx1">
                  <a:lumMod val="65000"/>
                  <a:lumOff val="35000"/>
                </a:schemeClr>
              </a:solidFill>
              <a:prstDash val="dash"/>
              <a:round/>
            </a:ln>
            <a:effectLst/>
          </c:spPr>
          <c:marker>
            <c:symbol val="circle"/>
            <c:size val="5"/>
            <c:spPr>
              <a:solidFill>
                <a:schemeClr val="accent2"/>
              </a:solidFill>
              <a:ln w="9525">
                <a:solidFill>
                  <a:schemeClr val="accent2"/>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Scenarios!$C$41:$C$45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C405-4CAE-A2C3-402704A317FD}"/>
            </c:ext>
          </c:extLst>
        </c:ser>
        <c:ser>
          <c:idx val="2"/>
          <c:order val="2"/>
          <c:tx>
            <c:strRef>
              <c:f>Scenarios!$D$39:$D$40</c:f>
              <c:strCache>
                <c:ptCount val="2"/>
                <c:pt idx="0">
                  <c:v>Coverage</c:v>
                </c:pt>
                <c:pt idx="1">
                  <c:v>10%</c:v>
                </c:pt>
              </c:strCache>
            </c:strRef>
          </c:tx>
          <c:spPr>
            <a:ln w="28575" cap="rnd">
              <a:solidFill>
                <a:schemeClr val="tx1">
                  <a:lumMod val="65000"/>
                  <a:lumOff val="35000"/>
                </a:schemeClr>
              </a:solidFill>
              <a:prstDash val="sysDash"/>
              <a:round/>
            </a:ln>
            <a:effectLst/>
          </c:spPr>
          <c:marker>
            <c:symbol val="circle"/>
            <c:size val="5"/>
            <c:spPr>
              <a:solidFill>
                <a:schemeClr val="accent3"/>
              </a:solidFill>
              <a:ln w="9525">
                <a:solidFill>
                  <a:schemeClr val="accent3"/>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Scenarios!$D$41:$D$45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2-C405-4CAE-A2C3-402704A317FD}"/>
            </c:ext>
          </c:extLst>
        </c:ser>
        <c:ser>
          <c:idx val="3"/>
          <c:order val="3"/>
          <c:tx>
            <c:strRef>
              <c:f>Scenarios!$E$39:$E$40</c:f>
              <c:strCache>
                <c:ptCount val="2"/>
                <c:pt idx="0">
                  <c:v>Coverage</c:v>
                </c:pt>
                <c:pt idx="1">
                  <c:v>15%</c:v>
                </c:pt>
              </c:strCache>
            </c:strRef>
          </c:tx>
          <c:spPr>
            <a:ln w="28575" cap="rnd">
              <a:solidFill>
                <a:schemeClr val="tx1">
                  <a:lumMod val="65000"/>
                  <a:lumOff val="35000"/>
                </a:schemeClr>
              </a:solidFill>
              <a:prstDash val="sysDot"/>
              <a:round/>
            </a:ln>
            <a:effectLst/>
          </c:spPr>
          <c:marker>
            <c:symbol val="circle"/>
            <c:size val="5"/>
            <c:spPr>
              <a:solidFill>
                <a:schemeClr val="accent4"/>
              </a:solidFill>
              <a:ln w="9525">
                <a:solidFill>
                  <a:schemeClr val="accent4"/>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Scenarios!$E$41:$E$45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3-C405-4CAE-A2C3-402704A317FD}"/>
            </c:ext>
          </c:extLst>
        </c:ser>
        <c:ser>
          <c:idx val="4"/>
          <c:order val="4"/>
          <c:tx>
            <c:strRef>
              <c:f>Scenarios!$F$39:$F$40</c:f>
              <c:strCache>
                <c:ptCount val="2"/>
                <c:pt idx="0">
                  <c:v>Coverage</c:v>
                </c:pt>
                <c:pt idx="1">
                  <c:v>20%</c:v>
                </c:pt>
              </c:strCache>
            </c:strRef>
          </c:tx>
          <c:spPr>
            <a:ln w="28575" cap="rnd">
              <a:solidFill>
                <a:schemeClr val="bg1">
                  <a:lumMod val="65000"/>
                </a:schemeClr>
              </a:solidFill>
              <a:round/>
            </a:ln>
            <a:effectLst/>
          </c:spPr>
          <c:marker>
            <c:symbol val="circle"/>
            <c:size val="5"/>
            <c:spPr>
              <a:solidFill>
                <a:schemeClr val="accent5"/>
              </a:solidFill>
              <a:ln w="9525">
                <a:solidFill>
                  <a:schemeClr val="accent5"/>
                </a:solidFill>
              </a:ln>
              <a:effectLst/>
            </c:spPr>
          </c:marker>
          <c:cat>
            <c:strRef>
              <c:f>Scenarios!$A$41:$A$45</c:f>
              <c:strCache>
                <c:ptCount val="5"/>
                <c:pt idx="0">
                  <c:v>Base strategy</c:v>
                </c:pt>
                <c:pt idx="1">
                  <c:v>Strategy 1</c:v>
                </c:pt>
                <c:pt idx="2">
                  <c:v>Strategy 2</c:v>
                </c:pt>
                <c:pt idx="3">
                  <c:v>Strategy 3</c:v>
                </c:pt>
                <c:pt idx="4">
                  <c:v>Strategy 4</c:v>
                </c:pt>
              </c:strCache>
            </c:strRef>
          </c:cat>
          <c:val>
            <c:numRef>
              <c:f>Scenarios!$F$41:$F$45</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4-C405-4CAE-A2C3-402704A317FD}"/>
            </c:ext>
          </c:extLst>
        </c:ser>
        <c:dLbls>
          <c:showLegendKey val="0"/>
          <c:showVal val="0"/>
          <c:showCatName val="0"/>
          <c:showSerName val="0"/>
          <c:showPercent val="0"/>
          <c:showBubbleSize val="0"/>
        </c:dLbls>
        <c:marker val="1"/>
        <c:smooth val="0"/>
        <c:axId val="741257432"/>
        <c:axId val="741258088"/>
      </c:lineChart>
      <c:catAx>
        <c:axId val="7412574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Deployment strategy</a:t>
                </a:r>
              </a:p>
            </c:rich>
          </c:tx>
          <c:layout>
            <c:manualLayout>
              <c:xMode val="edge"/>
              <c:yMode val="edge"/>
              <c:x val="0.37508593574919036"/>
              <c:y val="0.927182410925570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8088"/>
        <c:crosses val="autoZero"/>
        <c:auto val="1"/>
        <c:lblAlgn val="ctr"/>
        <c:lblOffset val="100"/>
        <c:noMultiLvlLbl val="0"/>
      </c:catAx>
      <c:valAx>
        <c:axId val="741258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Prevented fraction</a:t>
                </a:r>
              </a:p>
            </c:rich>
          </c:tx>
          <c:layout>
            <c:manualLayout>
              <c:xMode val="edge"/>
              <c:yMode val="edge"/>
              <c:x val="3.4062126296352808E-2"/>
              <c:y val="0.3457335335532544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257432"/>
        <c:crosses val="autoZero"/>
        <c:crossBetween val="between"/>
      </c:valAx>
      <c:spPr>
        <a:noFill/>
        <a:ln>
          <a:noFill/>
        </a:ln>
        <a:effectLst/>
      </c:spPr>
    </c:plotArea>
    <c:legend>
      <c:legendPos val="r"/>
      <c:layout>
        <c:manualLayout>
          <c:xMode val="edge"/>
          <c:yMode val="edge"/>
          <c:x val="0.79165136737089048"/>
          <c:y val="0.40723072638874996"/>
          <c:w val="0.19802414845361718"/>
          <c:h val="0.399103872982166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10</xdr:col>
      <xdr:colOff>400050</xdr:colOff>
      <xdr:row>8</xdr:row>
      <xdr:rowOff>144780</xdr:rowOff>
    </xdr:from>
    <xdr:to>
      <xdr:col>11</xdr:col>
      <xdr:colOff>381000</xdr:colOff>
      <xdr:row>16</xdr:row>
      <xdr:rowOff>133350</xdr:rowOff>
    </xdr:to>
    <xdr:sp macro="" textlink="">
      <xdr:nvSpPr>
        <xdr:cNvPr id="2" name="Arrow: Down 1">
          <a:extLst>
            <a:ext uri="{FF2B5EF4-FFF2-40B4-BE49-F238E27FC236}">
              <a16:creationId xmlns:a16="http://schemas.microsoft.com/office/drawing/2014/main" id="{B837E7B2-D1A1-25E6-E952-EF8B60145011}"/>
            </a:ext>
          </a:extLst>
        </xdr:cNvPr>
        <xdr:cNvSpPr/>
      </xdr:nvSpPr>
      <xdr:spPr>
        <a:xfrm>
          <a:off x="13140690" y="3550920"/>
          <a:ext cx="643890" cy="1482090"/>
        </a:xfrm>
        <a:prstGeom prst="downArrow">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469900</xdr:colOff>
      <xdr:row>12</xdr:row>
      <xdr:rowOff>71968</xdr:rowOff>
    </xdr:from>
    <xdr:to>
      <xdr:col>4</xdr:col>
      <xdr:colOff>249766</xdr:colOff>
      <xdr:row>28</xdr:row>
      <xdr:rowOff>169334</xdr:rowOff>
    </xdr:to>
    <xdr:graphicFrame macro="">
      <xdr:nvGraphicFramePr>
        <xdr:cNvPr id="2" name="Chart 1">
          <a:extLst>
            <a:ext uri="{FF2B5EF4-FFF2-40B4-BE49-F238E27FC236}">
              <a16:creationId xmlns:a16="http://schemas.microsoft.com/office/drawing/2014/main" id="{501D2C35-B060-8296-1D95-8A66650273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990599</xdr:colOff>
      <xdr:row>55</xdr:row>
      <xdr:rowOff>43541</xdr:rowOff>
    </xdr:from>
    <xdr:to>
      <xdr:col>18</xdr:col>
      <xdr:colOff>576397</xdr:colOff>
      <xdr:row>75</xdr:row>
      <xdr:rowOff>66946</xdr:rowOff>
    </xdr:to>
    <xdr:graphicFrame macro="">
      <xdr:nvGraphicFramePr>
        <xdr:cNvPr id="4" name="Chart 3">
          <a:extLst>
            <a:ext uri="{FF2B5EF4-FFF2-40B4-BE49-F238E27FC236}">
              <a16:creationId xmlns:a16="http://schemas.microsoft.com/office/drawing/2014/main" id="{3477D5A9-6CCA-B044-8C25-2F5979226E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963386</xdr:colOff>
      <xdr:row>37</xdr:row>
      <xdr:rowOff>59872</xdr:rowOff>
    </xdr:from>
    <xdr:to>
      <xdr:col>18</xdr:col>
      <xdr:colOff>549184</xdr:colOff>
      <xdr:row>54</xdr:row>
      <xdr:rowOff>108858</xdr:rowOff>
    </xdr:to>
    <xdr:graphicFrame macro="">
      <xdr:nvGraphicFramePr>
        <xdr:cNvPr id="2" name="Chart 1">
          <a:extLst>
            <a:ext uri="{FF2B5EF4-FFF2-40B4-BE49-F238E27FC236}">
              <a16:creationId xmlns:a16="http://schemas.microsoft.com/office/drawing/2014/main" id="{3982F503-EB41-4892-BC52-955108E52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dc.sharepoint.com/Users/SHAMID2/OneDrive%20-%20Emory%20University/WHO-GIP/PAHO%20impact%20tool/Herramienta%20de%20Impacto%20Vacuna%20Influenza_0308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dc.sharepoint.com/Users/SHAMID2/OneDrive%20-%20Emory%20University/WHO-GIP/PAHO%20impact%20tool/VI_PAHO_v7_MRolf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ciones"/>
      <sheetName val="2. Población y vacuna"/>
      <sheetName val="3. Resultados y escenarios"/>
      <sheetName val="4. Entradas de carga"/>
      <sheetName val="5. Modelo de impacto de vacuna"/>
      <sheetName val="6. Multiplicadores"/>
      <sheetName val="7.data for R_obsd"/>
    </sheetNames>
    <sheetDataSet>
      <sheetData sheetId="0" refreshError="1"/>
      <sheetData sheetId="1" refreshError="1">
        <row r="5">
          <cell r="B5">
            <v>2015</v>
          </cell>
        </row>
        <row r="6">
          <cell r="B6" t="str">
            <v>≥65</v>
          </cell>
        </row>
        <row r="7">
          <cell r="B7">
            <v>397489</v>
          </cell>
        </row>
        <row r="16">
          <cell r="B16">
            <v>0.34</v>
          </cell>
        </row>
      </sheetData>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ons"/>
      <sheetName val="2. Pop and vaccine inputs"/>
      <sheetName val="3. Results summary &amp; scenarios"/>
      <sheetName val="4. Burden inputs"/>
      <sheetName val="5. Vaccine impact model"/>
    </sheetNames>
    <sheetDataSet>
      <sheetData sheetId="0"/>
      <sheetData sheetId="1">
        <row r="7">
          <cell r="B7">
            <v>2000000</v>
          </cell>
        </row>
      </sheetData>
      <sheetData sheetId="2"/>
      <sheetData sheetId="3"/>
      <sheetData sheetId="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BA01B-07BE-45EF-B759-6B0AE0745655}">
  <sheetPr>
    <tabColor theme="0" tint="-0.34998626667073579"/>
  </sheetPr>
  <dimension ref="A1:L31"/>
  <sheetViews>
    <sheetView topLeftCell="A4" zoomScale="90" zoomScaleNormal="90" workbookViewId="0">
      <selection activeCell="M4" sqref="M4"/>
    </sheetView>
  </sheetViews>
  <sheetFormatPr defaultColWidth="9.140625" defaultRowHeight="15" x14ac:dyDescent="0.25"/>
  <cols>
    <col min="1" max="1" width="26.42578125" style="23" customWidth="1"/>
    <col min="2" max="2" width="12.140625" style="23" customWidth="1"/>
    <col min="3" max="3" width="10.42578125" style="23" customWidth="1"/>
    <col min="4" max="4" width="10.28515625" style="23" customWidth="1"/>
    <col min="5" max="5" width="15.28515625" style="23" customWidth="1"/>
    <col min="6" max="6" width="64.85546875" style="23" customWidth="1"/>
    <col min="7" max="16384" width="9.140625" style="23"/>
  </cols>
  <sheetData>
    <row r="1" spans="1:12" ht="21" x14ac:dyDescent="0.25">
      <c r="A1" s="193" t="s">
        <v>15</v>
      </c>
      <c r="B1" s="22"/>
      <c r="C1" s="22"/>
      <c r="D1" s="22"/>
      <c r="E1" s="22"/>
      <c r="F1" s="22"/>
      <c r="G1" s="22"/>
      <c r="H1" s="22"/>
      <c r="I1" s="22"/>
      <c r="J1" s="22"/>
      <c r="K1" s="273"/>
      <c r="L1" s="273"/>
    </row>
    <row r="2" spans="1:12" ht="39" customHeight="1" x14ac:dyDescent="0.25">
      <c r="A2" s="276"/>
      <c r="B2" s="318" t="s">
        <v>393</v>
      </c>
      <c r="C2" s="318"/>
      <c r="D2" s="318"/>
      <c r="E2" s="318"/>
      <c r="F2" s="318"/>
      <c r="G2" s="318"/>
      <c r="H2" s="318"/>
      <c r="I2" s="318"/>
      <c r="J2" s="318"/>
      <c r="K2" s="273"/>
      <c r="L2" s="273"/>
    </row>
    <row r="3" spans="1:12" ht="39" customHeight="1" x14ac:dyDescent="0.25">
      <c r="A3" s="276"/>
      <c r="B3" s="318"/>
      <c r="C3" s="318"/>
      <c r="D3" s="318"/>
      <c r="E3" s="318"/>
      <c r="F3" s="318"/>
      <c r="G3" s="318"/>
      <c r="H3" s="318"/>
      <c r="I3" s="318"/>
      <c r="J3" s="318"/>
      <c r="K3" s="273"/>
      <c r="L3" s="273"/>
    </row>
    <row r="4" spans="1:12" ht="39" customHeight="1" x14ac:dyDescent="0.25">
      <c r="A4" s="276"/>
      <c r="B4" s="318"/>
      <c r="C4" s="318"/>
      <c r="D4" s="318"/>
      <c r="E4" s="318"/>
      <c r="F4" s="318"/>
      <c r="G4" s="318"/>
      <c r="H4" s="318"/>
      <c r="I4" s="318"/>
      <c r="J4" s="318"/>
      <c r="K4" s="273"/>
      <c r="L4" s="273"/>
    </row>
    <row r="5" spans="1:12" ht="39" customHeight="1" x14ac:dyDescent="0.25">
      <c r="A5" s="276"/>
      <c r="B5" s="318"/>
      <c r="C5" s="318"/>
      <c r="D5" s="318"/>
      <c r="E5" s="318"/>
      <c r="F5" s="318"/>
      <c r="G5" s="318"/>
      <c r="H5" s="318"/>
      <c r="I5" s="318"/>
      <c r="J5" s="318"/>
      <c r="K5" s="273"/>
      <c r="L5" s="273"/>
    </row>
    <row r="6" spans="1:12" ht="39" customHeight="1" x14ac:dyDescent="0.25">
      <c r="A6" s="276"/>
      <c r="B6" s="318"/>
      <c r="C6" s="318"/>
      <c r="D6" s="318"/>
      <c r="E6" s="318"/>
      <c r="F6" s="318"/>
      <c r="G6" s="318"/>
      <c r="H6" s="318"/>
      <c r="I6" s="318"/>
      <c r="J6" s="318"/>
      <c r="K6" s="273"/>
      <c r="L6" s="273"/>
    </row>
    <row r="7" spans="1:12" ht="75.75" customHeight="1" x14ac:dyDescent="0.25">
      <c r="A7" s="273"/>
      <c r="B7" s="318"/>
      <c r="C7" s="318"/>
      <c r="D7" s="318"/>
      <c r="E7" s="318"/>
      <c r="F7" s="318"/>
      <c r="G7" s="318"/>
      <c r="H7" s="318"/>
      <c r="I7" s="318"/>
      <c r="J7" s="318"/>
      <c r="K7" s="273"/>
      <c r="L7" s="273"/>
    </row>
    <row r="8" spans="1:12" ht="15.75" x14ac:dyDescent="0.25">
      <c r="A8" s="319" t="s">
        <v>16</v>
      </c>
      <c r="B8" s="319"/>
      <c r="C8" s="319"/>
      <c r="D8" s="319"/>
      <c r="E8" s="319"/>
      <c r="F8" s="319"/>
      <c r="G8" s="319"/>
      <c r="H8" s="319"/>
      <c r="I8" s="319"/>
      <c r="J8" s="319"/>
      <c r="K8" s="273"/>
      <c r="L8" s="273"/>
    </row>
    <row r="9" spans="1:12" ht="15.75" thickBot="1" x14ac:dyDescent="0.3">
      <c r="A9" s="273"/>
      <c r="B9" s="277"/>
      <c r="C9" s="273"/>
      <c r="D9" s="273"/>
      <c r="E9" s="273"/>
      <c r="F9" s="273"/>
      <c r="G9" s="273"/>
      <c r="H9" s="273"/>
      <c r="I9" s="273"/>
      <c r="J9" s="273"/>
      <c r="K9" s="273"/>
      <c r="L9" s="273"/>
    </row>
    <row r="10" spans="1:12" ht="15.75" thickBot="1" x14ac:dyDescent="0.3">
      <c r="A10" s="273"/>
      <c r="B10" s="277"/>
      <c r="C10" s="200"/>
      <c r="D10" s="320" t="s">
        <v>350</v>
      </c>
      <c r="E10" s="320"/>
      <c r="F10" s="320"/>
      <c r="G10" s="320"/>
      <c r="H10" s="320"/>
      <c r="I10" s="320"/>
      <c r="J10" s="320"/>
      <c r="K10" s="273"/>
      <c r="L10" s="273"/>
    </row>
    <row r="11" spans="1:12" ht="15.75" thickBot="1" x14ac:dyDescent="0.3">
      <c r="A11" s="273"/>
      <c r="B11" s="277"/>
      <c r="C11" s="273"/>
      <c r="D11" s="273"/>
      <c r="E11" s="273"/>
      <c r="F11" s="273"/>
      <c r="G11" s="273"/>
      <c r="H11" s="273"/>
      <c r="I11" s="273"/>
      <c r="J11" s="273"/>
      <c r="K11" s="273"/>
      <c r="L11" s="273"/>
    </row>
    <row r="12" spans="1:12" ht="15.75" thickBot="1" x14ac:dyDescent="0.3">
      <c r="A12" s="273"/>
      <c r="B12" s="277"/>
      <c r="C12" s="199"/>
      <c r="D12" s="320" t="s">
        <v>351</v>
      </c>
      <c r="E12" s="320"/>
      <c r="F12" s="320"/>
      <c r="G12" s="320"/>
      <c r="H12" s="320"/>
      <c r="I12" s="320"/>
      <c r="J12" s="320"/>
      <c r="K12" s="273"/>
      <c r="L12" s="273"/>
    </row>
    <row r="13" spans="1:12" ht="15.75" thickBot="1" x14ac:dyDescent="0.3">
      <c r="A13" s="273"/>
      <c r="B13" s="277"/>
      <c r="C13" s="279"/>
      <c r="D13" s="280"/>
      <c r="E13" s="280"/>
      <c r="F13" s="280"/>
      <c r="G13" s="280"/>
      <c r="H13" s="280"/>
      <c r="I13" s="280"/>
      <c r="J13" s="280"/>
      <c r="K13" s="273"/>
      <c r="L13" s="273"/>
    </row>
    <row r="14" spans="1:12" ht="15.75" thickBot="1" x14ac:dyDescent="0.3">
      <c r="A14" s="273"/>
      <c r="B14" s="277"/>
      <c r="C14" s="195"/>
      <c r="D14" s="321" t="s">
        <v>384</v>
      </c>
      <c r="E14" s="320"/>
      <c r="F14" s="320"/>
      <c r="G14" s="320"/>
      <c r="H14" s="320"/>
      <c r="I14" s="320"/>
      <c r="J14" s="320"/>
      <c r="K14" s="273"/>
      <c r="L14" s="273"/>
    </row>
    <row r="15" spans="1:12" ht="15.75" thickBot="1" x14ac:dyDescent="0.3">
      <c r="A15" s="273"/>
      <c r="B15" s="277"/>
      <c r="C15" s="194"/>
      <c r="D15" s="280"/>
      <c r="E15" s="280"/>
      <c r="F15" s="280"/>
      <c r="G15" s="280"/>
      <c r="H15" s="280"/>
      <c r="I15" s="280"/>
      <c r="J15" s="280"/>
      <c r="K15" s="273"/>
      <c r="L15" s="273"/>
    </row>
    <row r="16" spans="1:12" ht="15.75" thickBot="1" x14ac:dyDescent="0.3">
      <c r="A16" s="273"/>
      <c r="B16" s="278"/>
      <c r="C16" s="198"/>
      <c r="D16" s="320" t="s">
        <v>385</v>
      </c>
      <c r="E16" s="320"/>
      <c r="F16" s="320"/>
      <c r="G16" s="320"/>
      <c r="H16" s="320"/>
      <c r="I16" s="320"/>
      <c r="J16" s="320"/>
      <c r="K16" s="273"/>
      <c r="L16" s="273"/>
    </row>
    <row r="17" spans="1:12" x14ac:dyDescent="0.25">
      <c r="A17" s="273"/>
      <c r="B17" s="273"/>
      <c r="D17" s="273"/>
      <c r="E17" s="273"/>
      <c r="F17" s="273"/>
      <c r="G17" s="273"/>
      <c r="H17" s="273"/>
      <c r="I17" s="273"/>
      <c r="J17" s="273"/>
      <c r="K17" s="273"/>
      <c r="L17" s="273"/>
    </row>
    <row r="18" spans="1:12" s="202" customFormat="1" ht="15.75" x14ac:dyDescent="0.25">
      <c r="A18" s="201" t="s">
        <v>17</v>
      </c>
      <c r="B18" s="322" t="s">
        <v>18</v>
      </c>
      <c r="C18" s="322"/>
      <c r="D18" s="322"/>
      <c r="E18" s="322"/>
      <c r="F18" s="322"/>
      <c r="G18" s="322"/>
      <c r="H18" s="322"/>
      <c r="I18" s="322"/>
      <c r="J18" s="322"/>
      <c r="K18" s="281"/>
      <c r="L18" s="281"/>
    </row>
    <row r="19" spans="1:12" x14ac:dyDescent="0.25">
      <c r="A19" s="228" t="s">
        <v>321</v>
      </c>
      <c r="B19" s="317" t="s">
        <v>346</v>
      </c>
      <c r="C19" s="317"/>
      <c r="D19" s="317"/>
      <c r="E19" s="317"/>
      <c r="F19" s="317"/>
      <c r="G19" s="317"/>
      <c r="H19" s="317"/>
      <c r="I19" s="317"/>
      <c r="J19" s="317"/>
      <c r="K19" s="273"/>
      <c r="L19" s="273"/>
    </row>
    <row r="20" spans="1:12" ht="60.2" customHeight="1" x14ac:dyDescent="0.25">
      <c r="A20" s="228" t="s">
        <v>340</v>
      </c>
      <c r="B20" s="317" t="s">
        <v>347</v>
      </c>
      <c r="C20" s="317"/>
      <c r="D20" s="317"/>
      <c r="E20" s="317"/>
      <c r="F20" s="317"/>
      <c r="G20" s="317"/>
      <c r="H20" s="317"/>
      <c r="I20" s="317"/>
      <c r="J20" s="317"/>
      <c r="K20" s="273"/>
      <c r="L20" s="273"/>
    </row>
    <row r="21" spans="1:12" x14ac:dyDescent="0.25">
      <c r="A21" s="228" t="s">
        <v>341</v>
      </c>
      <c r="B21" s="323" t="s">
        <v>348</v>
      </c>
      <c r="C21" s="324"/>
      <c r="D21" s="324"/>
      <c r="E21" s="324"/>
      <c r="F21" s="324"/>
      <c r="G21" s="324"/>
      <c r="H21" s="324"/>
      <c r="I21" s="324"/>
      <c r="J21" s="325"/>
      <c r="K21" s="273"/>
      <c r="L21" s="273"/>
    </row>
    <row r="22" spans="1:12" x14ac:dyDescent="0.25">
      <c r="A22" s="228" t="s">
        <v>342</v>
      </c>
      <c r="B22" s="317" t="s">
        <v>349</v>
      </c>
      <c r="C22" s="317"/>
      <c r="D22" s="317"/>
      <c r="E22" s="317"/>
      <c r="F22" s="317"/>
      <c r="G22" s="317"/>
      <c r="H22" s="317"/>
      <c r="I22" s="317"/>
      <c r="J22" s="317"/>
      <c r="K22" s="273"/>
      <c r="L22" s="273"/>
    </row>
    <row r="23" spans="1:12" x14ac:dyDescent="0.25">
      <c r="A23" s="203" t="s">
        <v>343</v>
      </c>
      <c r="B23" s="317" t="s">
        <v>386</v>
      </c>
      <c r="C23" s="317"/>
      <c r="D23" s="317"/>
      <c r="E23" s="317"/>
      <c r="F23" s="317"/>
      <c r="G23" s="317"/>
      <c r="H23" s="317"/>
      <c r="I23" s="317"/>
      <c r="J23" s="317"/>
      <c r="K23" s="273"/>
      <c r="L23" s="273"/>
    </row>
    <row r="24" spans="1:12" ht="30" x14ac:dyDescent="0.25">
      <c r="A24" s="203" t="s">
        <v>344</v>
      </c>
      <c r="B24" s="317"/>
      <c r="C24" s="317"/>
      <c r="D24" s="317"/>
      <c r="E24" s="317"/>
      <c r="F24" s="317"/>
      <c r="G24" s="317"/>
      <c r="H24" s="317"/>
      <c r="I24" s="317"/>
      <c r="J24" s="317"/>
      <c r="K24" s="273"/>
      <c r="L24" s="273"/>
    </row>
    <row r="25" spans="1:12" x14ac:dyDescent="0.25">
      <c r="A25" s="203" t="s">
        <v>345</v>
      </c>
      <c r="B25" s="317" t="s">
        <v>387</v>
      </c>
      <c r="C25" s="317"/>
      <c r="D25" s="317"/>
      <c r="E25" s="317"/>
      <c r="F25" s="317"/>
      <c r="G25" s="317"/>
      <c r="H25" s="317"/>
      <c r="I25" s="317"/>
      <c r="J25" s="317"/>
      <c r="K25" s="273"/>
      <c r="L25" s="273"/>
    </row>
    <row r="26" spans="1:12" x14ac:dyDescent="0.25">
      <c r="A26" s="273"/>
      <c r="B26" s="273"/>
      <c r="C26" s="273"/>
      <c r="D26" s="273"/>
      <c r="E26" s="273"/>
      <c r="F26" s="273"/>
      <c r="G26" s="273"/>
      <c r="H26" s="273"/>
      <c r="I26" s="273"/>
      <c r="J26" s="273"/>
      <c r="K26" s="273"/>
      <c r="L26" s="273"/>
    </row>
    <row r="27" spans="1:12" x14ac:dyDescent="0.25">
      <c r="A27" s="273"/>
      <c r="B27" s="273"/>
      <c r="C27" s="273"/>
      <c r="D27" s="273"/>
      <c r="E27" s="273"/>
      <c r="F27" s="273"/>
      <c r="G27" s="273"/>
      <c r="H27" s="273"/>
      <c r="I27" s="273"/>
      <c r="J27" s="273"/>
      <c r="K27" s="273"/>
      <c r="L27" s="273"/>
    </row>
    <row r="28" spans="1:12" x14ac:dyDescent="0.25">
      <c r="A28" s="273"/>
      <c r="B28" s="273"/>
      <c r="C28" s="273"/>
      <c r="D28" s="273"/>
      <c r="E28" s="273"/>
      <c r="F28" s="273"/>
      <c r="G28" s="273"/>
      <c r="H28" s="273"/>
      <c r="I28" s="273"/>
      <c r="J28" s="273"/>
      <c r="K28" s="273"/>
      <c r="L28" s="273"/>
    </row>
    <row r="29" spans="1:12" x14ac:dyDescent="0.25">
      <c r="A29" s="273"/>
      <c r="B29" s="273"/>
      <c r="C29" s="273"/>
      <c r="D29" s="273"/>
      <c r="E29" s="273"/>
      <c r="F29" s="273"/>
      <c r="G29" s="273"/>
      <c r="H29" s="273"/>
      <c r="I29" s="273"/>
      <c r="J29" s="273"/>
      <c r="K29" s="273"/>
      <c r="L29" s="273"/>
    </row>
    <row r="30" spans="1:12" x14ac:dyDescent="0.25">
      <c r="A30" s="273"/>
      <c r="B30" s="273"/>
      <c r="C30" s="273"/>
      <c r="D30" s="273"/>
      <c r="E30" s="273"/>
      <c r="F30" s="273"/>
      <c r="G30" s="273"/>
      <c r="H30" s="273"/>
      <c r="I30" s="273"/>
      <c r="J30" s="273"/>
      <c r="K30" s="273"/>
      <c r="L30" s="273"/>
    </row>
    <row r="31" spans="1:12" x14ac:dyDescent="0.25">
      <c r="A31" s="273"/>
      <c r="B31" s="273"/>
      <c r="C31" s="273"/>
      <c r="D31" s="273"/>
      <c r="E31" s="273"/>
      <c r="F31" s="273"/>
      <c r="G31" s="273"/>
      <c r="H31" s="273"/>
      <c r="I31" s="273"/>
      <c r="J31" s="273"/>
      <c r="K31" s="273"/>
      <c r="L31" s="273"/>
    </row>
  </sheetData>
  <mergeCells count="13">
    <mergeCell ref="B25:J25"/>
    <mergeCell ref="B2:J7"/>
    <mergeCell ref="A8:J8"/>
    <mergeCell ref="D16:J16"/>
    <mergeCell ref="D10:J10"/>
    <mergeCell ref="D14:J14"/>
    <mergeCell ref="D12:J12"/>
    <mergeCell ref="B18:J18"/>
    <mergeCell ref="B21:J21"/>
    <mergeCell ref="B22:J22"/>
    <mergeCell ref="B23:J24"/>
    <mergeCell ref="B19:J19"/>
    <mergeCell ref="B20:J20"/>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BD5D8-B40F-42A1-B751-F9A3F01A06AB}">
  <sheetPr>
    <tabColor theme="4" tint="-0.249977111117893"/>
  </sheetPr>
  <dimension ref="A1:BF85"/>
  <sheetViews>
    <sheetView zoomScale="50" zoomScaleNormal="50" workbookViewId="0">
      <selection activeCell="N90" sqref="N90"/>
    </sheetView>
  </sheetViews>
  <sheetFormatPr defaultColWidth="10.85546875" defaultRowHeight="15" outlineLevelRow="1" x14ac:dyDescent="0.25"/>
  <cols>
    <col min="6" max="7" width="11.42578125" bestFit="1" customWidth="1"/>
    <col min="12" max="12" width="13.42578125" customWidth="1"/>
    <col min="13" max="13" width="12.140625" customWidth="1"/>
    <col min="16" max="16" width="18.140625" customWidth="1"/>
    <col min="18" max="18" width="15.140625" bestFit="1" customWidth="1"/>
    <col min="20" max="20" width="11.42578125" bestFit="1" customWidth="1"/>
    <col min="29" max="33" width="10.85546875" customWidth="1"/>
    <col min="34" max="34" width="12.140625" customWidth="1"/>
    <col min="35" max="40" width="10.85546875" customWidth="1"/>
    <col min="42" max="51" width="10.85546875" customWidth="1"/>
  </cols>
  <sheetData>
    <row r="1" spans="1:58" s="105" customFormat="1" x14ac:dyDescent="0.25">
      <c r="A1" s="104" t="s">
        <v>108</v>
      </c>
      <c r="B1" s="104"/>
    </row>
    <row r="2" spans="1:58" x14ac:dyDescent="0.25">
      <c r="Q2" s="102" t="s">
        <v>72</v>
      </c>
      <c r="R2" s="102"/>
      <c r="S2" s="102"/>
      <c r="T2" s="102"/>
      <c r="U2" s="102"/>
      <c r="V2" s="102"/>
      <c r="W2" s="102"/>
      <c r="X2" s="102"/>
      <c r="Y2" s="102"/>
      <c r="Z2" s="102"/>
      <c r="AA2" s="102"/>
      <c r="AB2" s="102"/>
      <c r="AC2" s="101" t="s">
        <v>104</v>
      </c>
      <c r="AD2" s="101"/>
      <c r="AE2" s="101"/>
      <c r="AF2" s="101"/>
      <c r="AG2" s="101"/>
      <c r="AH2" s="101"/>
      <c r="AI2" s="101"/>
      <c r="AJ2" s="101"/>
      <c r="AK2" s="101"/>
      <c r="AL2" s="101"/>
      <c r="AM2" s="101"/>
      <c r="AN2" s="101"/>
      <c r="AP2" s="103">
        <v>3</v>
      </c>
      <c r="AQ2" s="103">
        <v>4</v>
      </c>
      <c r="AR2" s="103">
        <v>5</v>
      </c>
      <c r="AS2" s="103">
        <v>6</v>
      </c>
      <c r="AT2" s="103">
        <v>7</v>
      </c>
      <c r="AU2" s="103">
        <v>8</v>
      </c>
      <c r="AV2" s="103">
        <v>9</v>
      </c>
      <c r="AW2" s="103">
        <v>10</v>
      </c>
      <c r="AX2" s="103">
        <v>11</v>
      </c>
      <c r="AZ2" s="103">
        <v>5</v>
      </c>
      <c r="BA2" s="103">
        <v>6</v>
      </c>
      <c r="BB2" s="103">
        <v>7</v>
      </c>
      <c r="BC2" s="103">
        <v>8</v>
      </c>
      <c r="BD2" s="103">
        <v>9</v>
      </c>
      <c r="BE2" s="103">
        <v>10</v>
      </c>
      <c r="BF2" s="103">
        <v>11</v>
      </c>
    </row>
    <row r="3" spans="1:58" ht="28.7" customHeight="1" x14ac:dyDescent="0.25">
      <c r="A3" s="11" t="s">
        <v>47</v>
      </c>
      <c r="B3" s="11"/>
      <c r="C3" s="11"/>
      <c r="D3" s="11"/>
      <c r="E3" s="11"/>
      <c r="F3" s="11"/>
      <c r="G3" s="109" t="s">
        <v>50</v>
      </c>
      <c r="H3" s="109"/>
      <c r="I3" s="110" t="s">
        <v>44</v>
      </c>
      <c r="J3" s="110"/>
      <c r="K3" s="101" t="s">
        <v>58</v>
      </c>
      <c r="L3" s="101"/>
      <c r="M3" s="110" t="s">
        <v>45</v>
      </c>
      <c r="N3" s="110"/>
      <c r="Q3" s="102" t="s">
        <v>1</v>
      </c>
      <c r="R3" s="102"/>
      <c r="S3" s="102"/>
      <c r="T3" s="102"/>
      <c r="U3" s="102"/>
      <c r="V3" s="102"/>
      <c r="W3" s="102"/>
      <c r="X3" s="102"/>
      <c r="Y3" s="102"/>
      <c r="Z3" s="102"/>
      <c r="AA3" s="102"/>
      <c r="AB3" s="102"/>
      <c r="AC3" s="101" t="s">
        <v>71</v>
      </c>
      <c r="AD3" s="101"/>
      <c r="AE3" s="101"/>
      <c r="AF3" s="101"/>
      <c r="AG3" s="101"/>
      <c r="AH3" s="101"/>
      <c r="AI3" s="101"/>
      <c r="AJ3" s="101"/>
      <c r="AK3" s="101"/>
      <c r="AL3" s="101"/>
      <c r="AM3" s="101"/>
      <c r="AN3" s="101"/>
      <c r="AP3" s="103" t="s">
        <v>73</v>
      </c>
      <c r="AQ3" s="103" t="s">
        <v>74</v>
      </c>
      <c r="AR3" s="103" t="s">
        <v>75</v>
      </c>
      <c r="AS3" s="103" t="s">
        <v>76</v>
      </c>
      <c r="AT3" s="103" t="s">
        <v>77</v>
      </c>
      <c r="AU3" s="103" t="s">
        <v>78</v>
      </c>
      <c r="AV3" s="103" t="s">
        <v>79</v>
      </c>
      <c r="AW3" s="103" t="s">
        <v>80</v>
      </c>
      <c r="AX3" s="103" t="s">
        <v>81</v>
      </c>
      <c r="AZ3" s="103" t="s">
        <v>105</v>
      </c>
      <c r="BA3" s="103" t="s">
        <v>91</v>
      </c>
      <c r="BB3" s="103" t="s">
        <v>93</v>
      </c>
      <c r="BC3" s="103" t="s">
        <v>94</v>
      </c>
      <c r="BD3" s="103" t="s">
        <v>95</v>
      </c>
      <c r="BE3" s="103" t="s">
        <v>96</v>
      </c>
      <c r="BF3" s="103" t="s">
        <v>97</v>
      </c>
    </row>
    <row r="4" spans="1:58" ht="45" x14ac:dyDescent="0.25">
      <c r="A4" s="70" t="s">
        <v>40</v>
      </c>
      <c r="B4" s="70" t="s">
        <v>41</v>
      </c>
      <c r="C4" s="70" t="s">
        <v>53</v>
      </c>
      <c r="D4" s="70" t="s">
        <v>48</v>
      </c>
      <c r="E4" s="70" t="s">
        <v>42</v>
      </c>
      <c r="F4" s="76" t="s">
        <v>49</v>
      </c>
      <c r="G4" s="71" t="s">
        <v>51</v>
      </c>
      <c r="H4" s="71" t="s">
        <v>52</v>
      </c>
      <c r="I4" s="72" t="s">
        <v>51</v>
      </c>
      <c r="J4" s="72" t="s">
        <v>52</v>
      </c>
      <c r="K4" s="77" t="s">
        <v>51</v>
      </c>
      <c r="L4" s="77" t="s">
        <v>52</v>
      </c>
      <c r="M4" s="72" t="s">
        <v>51</v>
      </c>
      <c r="N4" s="72" t="s">
        <v>52</v>
      </c>
      <c r="Q4" s="102">
        <v>1</v>
      </c>
      <c r="R4" s="102">
        <v>2</v>
      </c>
      <c r="S4" s="102">
        <v>3</v>
      </c>
      <c r="T4" s="102">
        <v>4</v>
      </c>
      <c r="U4" s="102">
        <v>5</v>
      </c>
      <c r="V4" s="102">
        <v>6</v>
      </c>
      <c r="W4" s="102">
        <v>7</v>
      </c>
      <c r="X4" s="102">
        <v>8</v>
      </c>
      <c r="Y4" s="102">
        <v>9</v>
      </c>
      <c r="Z4" s="102">
        <v>10</v>
      </c>
      <c r="AA4" s="102">
        <v>11</v>
      </c>
      <c r="AB4" s="102">
        <v>12</v>
      </c>
      <c r="AC4" s="101">
        <v>1</v>
      </c>
      <c r="AD4" s="101">
        <v>2</v>
      </c>
      <c r="AE4" s="101">
        <v>3</v>
      </c>
      <c r="AF4" s="101">
        <v>4</v>
      </c>
      <c r="AG4" s="101">
        <v>5</v>
      </c>
      <c r="AH4" s="101">
        <v>6</v>
      </c>
      <c r="AI4" s="101">
        <v>7</v>
      </c>
      <c r="AJ4" s="101">
        <v>8</v>
      </c>
      <c r="AK4" s="101">
        <v>9</v>
      </c>
      <c r="AL4" s="101">
        <v>10</v>
      </c>
      <c r="AM4" s="101">
        <v>11</v>
      </c>
      <c r="AN4" s="101">
        <v>12</v>
      </c>
      <c r="AP4" s="103" t="e">
        <f>((TP-H_1-((TP-H_1-(H_1*hnh)-(TP*Co_1*VE))*H_2/(TP-H_1-(H_1*hnh)))-(H_1*hnh)-((TP-H_1-(H_1*hnh)-(TP*Co_1*VE))*H_2*hnh/(TP-H_1-(H_1*hnh)))-(TP*Co_1*VE)-(TP*Co_2*VE))*(H_3/(TP-H_1-H_2-(hnh*(H_1+H_2)))))</f>
        <v>#DIV/0!</v>
      </c>
      <c r="AQ4" s="103" t="e">
        <f>(TP-H_1-((TP-H_1-(H_1*hnh)-(TP*Co_1*VE))*H_2/(TP-H_1-(H_1*hnh)))-AP4-(H_1*hnh)-((TP-H_1-(H_1*hnh)-(TP*Co_1*VE))*H_2*hnh/(TP-H_1-(H_1*hnh)))-AP6-(TP*Co_1*VE)-(TP*Co_2*VE)-(TP*Co_3*VE))*(H_4/(TP-H_1-H_2-H_3-(hnh*(H_1+H_2+H_3))))</f>
        <v>#DIV/0!</v>
      </c>
      <c r="AR4" s="103" t="e">
        <f>(TP-H_1-((TP-H_1-(H_1*hnh)-(TP*Co_1*VE))*H_2/(TP-H_1-(H_1*hnh)))-AP4-AQ4-(H_1*hnh)-((TP-H_1-(H_1*hnh)-(TP*Co_1*VE))*H_2*hnh/(TP-H_1-(H_1*hnh)))-AP6-AQ6-(TP*Co_1*VE)-(TP*Co_2*VE)-(TP*Co_3*VE)-(TP*Co_4*VE))*(H_5/(TP-H_1-H_2-H_3-H_4-(hnh*(H_1+H_2+H_3+H_4))))</f>
        <v>#DIV/0!</v>
      </c>
      <c r="AS4" s="103" t="e">
        <f>(TP-H_1-((TP-H_1-(H_1*hnh)-(TP*Co_1*VE))*H_2/(TP-H_1-(H_1*hnh)))-AP4-AQ4-AR4-(H_1*hnh)-((TP-H_1-(H_1*hnh)-(TP*Co_1*VE))*H_2*hnh/(TP-H_1-(H_1*hnh)))-AP6-AQ6-AR6-(TP*Co_1*VE)-(TP*Co_2*VE)-(TP*Co_3*VE)-(TP*Co_4*VE)-(TP*Co_5*VE))*(H_6/(TP-H_1-H_2-H_3-H_4-H_5-(hnh*(H_1+H_2+H_3+H_4+H_5))))</f>
        <v>#DIV/0!</v>
      </c>
      <c r="AT4" s="103" t="e">
        <f>(TP-H_1-((TP-H_1-(H_1*hnh)-(TP*Co_1*VE))*H_2/(TP-H_1-(H_1*hnh)))-AP4-AQ4-AR4-AS4-(H_1*hnh)-((TP-H_1-(H_1*hnh)-(TP*Co_1*VE))*H_2*hnh/(TP-H_1-(H_1*hnh)))-AP6-AQ6-AR6-AS6-(TP*Co_1*VE)-(TP*Co_2*VE)-(TP*Co_3*VE)-(TP*Co_4*VE)-(TP*Co_5*VE)-(TP*Co_6*VE))*(H_7/(TP-H_1-H_2-H_3-H_4-H_5-H_6-(hnh*(H_1+H_2+H_3+H_4+H_5+H_6))))</f>
        <v>#DIV/0!</v>
      </c>
      <c r="AU4" s="103" t="e">
        <f>(TP-H_1-((TP-H_1-(H_1*hnh)-(TP*Co_1*VE))*H_2/(TP-H_1-(H_1*hnh)))-AP4-AQ4-AR4-AS4-AT4-(H_1*hnh)-((TP-H_1-(H_1*hnh)-(TP*Co_1*VE))*H_2*hnh/(TP-H_1-(H_1*hnh)))-AP6-AQ6-AR6-AS6-AT6-(TP*Co_1*VE)-(TP*Co_2*VE)-(TP*Co_3*VE)-(TP*Co_4*VE)-(TP*Co_5*VE)-(TP*Co_6*VE)-(TP*Co_7*VE))*(H_8/(TP-H_1-H_2-H_3-H_4-H_5-H_6-H_7-(hnh*(H_1+H_2+H_3+H_4+H_5+H_6+H_7))))</f>
        <v>#DIV/0!</v>
      </c>
      <c r="AV4" s="103" t="e">
        <f>(TP-H_1-((TP-H_1-(H_1*hnh)-(TP*Co_1*VE))*H_2/(TP-H_1-(H_1*hnh)))-AP4-AQ4-AR4-AS4-AT4-AU4-(H_1*hnh)-((TP-H_1-(H_1*hnh)-(TP*Co_1*VE))*H_2*hnh/(TP-H_1-(H_1*hnh)))-AP6-AQ6-AR6-AS6-AT6-AU6-(TP*Co_1*VE)-(TP*Co_2*VE)-(TP*Co_3*VE)-(TP*Co_4*VE)-(TP*Co_5*VE)-(TP*Co_6*VE)-(TP*Co_7*VE)-(TP*Co_8*VE))*(H_9/(TP-H_1-H_2-H_3-H_4-H_5-H_6-H_7-H_8-(hnh*(H_1+H_2+H_3+H_4+H_5+H_6+H_7+H_8))))</f>
        <v>#DIV/0!</v>
      </c>
      <c r="AW4" s="103" t="e">
        <f>(TP-H_1-((TP-H_1-(H_1*hnh)-(TP*Co_1*VE))*H_2/(TP-H_1-(H_1*hnh)))-AP4-AQ4-AR4-AS4-AT4-AU4-AV4-(H_1*hnh)-((TP-H_1-(H_1*hnh)-(TP*Co_1*VE))*H_2*hnh/(TP-H_1-(H_1*hnh)))-AP6-AQ6-AR6-AS6-AT6-AU6-AV6-(TP*Co_1*VE)-(TP*Co_2*VE)-(TP*Co_3*VE)-(TP*Co_4*VE)-(TP*Co_5*VE)-(TP*Co_6*VE)-(TP*Co_7*VE)-(TP*Co_8*VE)-(TP*Co_9*VE))*(H_10/(TP-H_1-H_2-H_3-H_4-H_5-H_6-H_7-H_8-H_9-(hnh*(H_1+H_2+H_3+H_4+H_5+H_6+H_7+H_8+H_9))))</f>
        <v>#DIV/0!</v>
      </c>
      <c r="AX4" s="103" t="e">
        <f>(TP-H_1-((TP-H_1-(H_1*hnh)-(TP*Co_1*VE))*H_2/(TP-H_1-(H_1*hnh)))-AP4-AQ4-AR4-AS4-AT4-AU4-AV4-AW4-(H_1*hnh)-((TP-H_1-(H_1*hnh)-(TP*Co_1*VE))*H_2*hnh/(TP-H_1-(H_1*hnh)))-AP6-AQ6-AR6-AS6-AT6-AU6-AV6-AW6-(TP*Co_1*VE)-(TP*Co_2*VE)-(TP*Co_3*VE)-(TP*Co_4*VE)-(TP*Co_5*VE)-(TP*Co_6*VE)-(TP*Co_7*VE)-(TP*Co_8*VE)-(TP*Co_9*VE)-(TP*Co_10*VE))*(H_11/(TP-H_1-H_2-H_3-H_4-H_5-H_6-H_7-H_8-H_9-H_10-(hnh*(H_1+H_2+H_3+H_4+H_5+H_6+H_7+H_8+H_9+H_10))))</f>
        <v>#DIV/0!</v>
      </c>
      <c r="AZ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TP-H_1-H_2-H_3-H_4-H_5-(hnh*(H_1+H_2+H_3+H_4+H_5))-(TP*VE*(Co_1+Co_2+Co_3+Co_4+Co_5)))</f>
        <v>#DIV/0!</v>
      </c>
      <c r="BB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TP-H_1-H_2-H_3-H_4-H_5-H_6-(hnh*(H_1+H_2+H_3+H_4+H_5+H_6))-(TP*VE*(Co_1+Co_2+Co_3+Co_4+Co_5+Co_6)))</f>
        <v>#DIV/0!</v>
      </c>
      <c r="BC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TP-H_1-H_2-H_3-H_4-H_5-H_6-H_7-(hnh*(H_1+H_2+H_3+H_4+H_5+H_6+H_7))-(TP*VE*(Co_1+Co_2+Co_3+Co_4+Co_5+Co_6+Co_7)))</f>
        <v>#DIV/0!</v>
      </c>
      <c r="BD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TP-H_1-H_2-H_3-H_4-H_5-H_6-H_7-H_8-(hnh*(H_1+H_2+H_3+H_4+H_5+H_6+H_7+H_8))-(TP*VE*(Co_1+Co_2+Co_3+Co_4+Co_5+Co_6+Co_7+Co_8)))</f>
        <v>#DIV/0!</v>
      </c>
      <c r="BE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TP-H_1-H_2-H_3-H_4-H_5-H_6-H_7-H_8-H_9-(hnh*(H_1+H_2+H_3+H_4+H_5+H_6+H_7+H_8+H_9))-(TP*VE*(Co_1+Co_2+Co_3+Co_4+Co_5+Co_6+Co_7+Co_8+Co_9)))</f>
        <v>#DIV/0!</v>
      </c>
      <c r="BF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TP-H_1-H_2-H_3-H_4-H_5-H_6-H_7-H_8-H_9-H_10-(hnh*(H_1+H_2+H_3+H_4+H_5+H_6+H_7+H_8+H_9+H_10))-(TP*VE*(Co_1+Co_2+Co_3+Co_4+Co_5+Co_6+Co_7+Co_8+Co_9+Co_10)))</f>
        <v>#DIV/0!</v>
      </c>
    </row>
    <row r="5" spans="1:58" x14ac:dyDescent="0.25">
      <c r="A5" s="73">
        <f>season</f>
        <v>0</v>
      </c>
      <c r="B5" s="73">
        <f>TG</f>
        <v>0</v>
      </c>
      <c r="C5" s="73">
        <f>TP</f>
        <v>0</v>
      </c>
      <c r="D5" s="74">
        <f>TCv</f>
        <v>0</v>
      </c>
      <c r="E5" s="75">
        <f>VE</f>
        <v>0</v>
      </c>
      <c r="F5" s="78" t="e">
        <f>G5/IF(mb=1,SUM(AC5:AN5),IF(mb=2,SUM(AD5:AN5),IF(mb=3,SUM(AE5:AN5),IF(mb=4,SUM(AF5:AN5),IF(mb=5,SUM(AG5:AN5),IF(mb=6,SUM(AH5:AN5),IF(mb=7,SUM(AI5:AN5),IF(mb=8,SUM(AJ5:AN5),0))))))))</f>
        <v>#DIV/0!</v>
      </c>
      <c r="G5" s="42">
        <f>IF(mb=1,SUM(AC5:AN5)-SUM(Q5:AB5),IF(mb=2,SUM(AD5:AN5)-SUM(R5:AB5),IF(mb=3,SUM(AE5:AN5)-SUM(S5:AB5),IF(mb=4,SUM(AF5:AN5)-SUM(T5:AB5),IF(mb=5,SUM(AG5:AN5)-SUM(U5:AB5),IF(mb=6,SUM(AH5:AN5)-SUM(V5:AB5),IF(mb=7,SUM(AI5:AN5)-SUM(W5:AB5),IF(mb=8,SUM(AJ5:AN5)-SUM(X5:AB5),0))))))))</f>
        <v>0</v>
      </c>
      <c r="H5" s="96" t="e">
        <f>1/(VE*IF(mb=1,SUM(AC5:AN5),IF(mb=2,SUM(AD5:AN5),IF(mb=3,SUM(AE5:AN5),IF(mb=4,SUM(AF5:AN5),IF(mb=5,SUM(AG5:AN5),IF(mb=6,SUM(AH5:AN5),IF(mb=7,SUM(AI5:AN5),IF(mb=8,SUM(AJ5:AN5),0))))))))/TP)</f>
        <v>#DIV/0!</v>
      </c>
      <c r="I5" s="93" t="e">
        <f>G5/hnh</f>
        <v>#DIV/0!</v>
      </c>
      <c r="J5" s="42" t="e">
        <f>1/(VE*IF(mb=1,SUM(AC5:AN5),IF(mb=2,SUM(AD5:AN5),IF(mb=3,SUM(AE5:AN5),IF(mb=4,SUM(AF5:AN5),IF(mb=5,SUM(AG5:AN5),IF(mb=6,SUM(AH5:AN5),IF(mb=7,SUM(AI5:AN5),IF(mb=8,SUM(AJ5:AN5),0))))))))/(TP*hnh))</f>
        <v>#DIV/0!</v>
      </c>
      <c r="K5" s="42" t="e">
        <f>M5*mai</f>
        <v>#DIV/0!</v>
      </c>
      <c r="L5" s="42" t="e">
        <f>1/(VE*((IF(mb=1,SUM(AC5:AN5),IF(mb=2,SUM(AD5:AN5),IF(mb=3,SUM(AE5:AN5),IF(mb=4,SUM(AF5:AN5),IF(mb=5,SUM(AG5:AN5),IF(mb=6,SUM(AH5:AN5),IF(mb=7,SUM(AI5:AN5),IF(mb=8,SUM(AJ5:AN5),0))))))))+(IF(mb=1,SUM(AC5:AN5),IF(mb=2,SUM(AD5:AN5),IF(mb=3,SUM(AE5:AN5),IF(mb=4,SUM(AF5:AN5),IF(mb=5,SUM(AG5:AN5),IF(mb=6,SUM(AH5:AN5),IF(mb=7,SUM(AI5:AN5),IF(mb=8,SUM(AJ5:AN5),0)))))))))/hnh)*mai)/TP)</f>
        <v>#DIV/0!</v>
      </c>
      <c r="M5" s="42" t="e">
        <f>G5+I5</f>
        <v>#DIV/0!</v>
      </c>
      <c r="N5" s="42" t="e">
        <f>1/(VE*(IF(mb=1,SUM(AC5:AN5),IF(mb=2,SUM(AD5:AN5),IF(mb=3,SUM(AE5:AN5),IF(mb=4,SUM(AF5:AN5),IF(mb=5,SUM(AG5:AN5),IF(mb=6,SUM(AH5:AN5),IF(mb=7,SUM(AI5:AN5),IF(mb=8,SUM(AJ5:AN5),0))))))))+(IF(mb=1,SUM(AC5:AN5),IF(mb=2,SUM(AD5:AN5),IF(mb=3,SUM(AE5:AN5),IF(mb=4,SUM(AF5:AN5),IF(mb=5,SUM(AG5:AN5),IF(mb=6,SUM(AH5:AN5),IF(mb=7,SUM(AI5:AN5),IF(mb=8,SUM(AJ5:AN5),0)))))))))/hnh)/TP)</f>
        <v>#DIV/0!</v>
      </c>
      <c r="Q5" s="86">
        <f>IF(ISc=1,H_1*hnh,IF(ISc=2,H_1*hnh,0))</f>
        <v>0</v>
      </c>
      <c r="R5" s="111">
        <f>IF(ScI=1,H_2*hnh,IF(ScI=2,(TP-H_1-(H_1*hnh)-(TP*Co_1*VE))*(H_2*hnh/(TP-H_1-(H_1*hnh))),0))</f>
        <v>0</v>
      </c>
      <c r="S5" s="86">
        <f>IF(ScI=1,H_3*hnh,IF(ScI=2,(TP-H_1-((TP-H_1-(H_1*hnh)-(TP*Co_1*VE))*H_2/(TP-H_1-(H_1*hnh)))-(H_1*hnh)-((TP-H_1-(H_1*hnh)-(TP*Co_1*VE))*H_2*hnh/(TP-H_1-(H_1*hnh)))-(TP*Co_1*VE)-(TP*Co_2*VE))*(H_3*hnh/(TP-H_1-H_2-(hnh*(H_1+H_2)))),0))</f>
        <v>0</v>
      </c>
      <c r="T5" s="86">
        <f>IF(ScI=1,H_4*hnh,IF(ScI=2,(TP-H_1-((TP-H_1-(H_1*hnh)-(TP*Co_1*VE))*H_2/(TP-H_1-(H_1*hnh)))-((TP-H_1-(((TP-H_1-(H_1*hnh)-(TP*Co_1*VE))*H_2/(TP-H_1-(H_1*hnh))))-(H_1*hnh)-((TP-H_1-(H_1*hnh)-(TP*Co_1*VE))*H_2*hnh/(TP-H_1-(H_1*hnh)))-(TP*Co_1*VE)-(TP*Co_2*VE))*(H_3/(TP-H_1-H_2-(hnh*(H_1+H_2)))))-(H_1*hnh)-((TP-H_1-(H_1*hnh)-(TP*Co_1*VE))*H_2*hnh/(TP-H_1-(H_1*hnh)))-((TP-H_1-(((TP-H_1-(H_1*hnh)-(TP*Co_1*VE))*H_2/(TP-H_1-(H_1*hnh))))-(H_1*hnh)-(((TP-H_1-(H_1*hnh)-(TP*Co_1*VE))*H_2*hnh/(TP-H_1-(H_1*hnh))))-(TP*Co_1*VE)-(TP*Co_2*VE))*(H_3*hnh/(TP-H_1-H_2-(hnh*(H_1+H_2)))))-(TP*Co_1*VE)-(TP*Co_2*VE)-(TP*Co_3*VE))*(H_4*hnh/(TP-H_1-H_2-H_3-(hnh*(H_1+H_2+H_3)))),0))</f>
        <v>0</v>
      </c>
      <c r="U5" s="86">
        <f>IF(ScI=1,H_5*hnh,IF(ScI=2,(TP-H_1-(((TP-H_1-(H_1*hnh)-(TP*Co_1*VE))*H_2/(TP-H_1-(H_1*hnh))))-AP4-AQ4-(H_1*hnh)-((TP-H_1-(H_1*hnh)-(TP*Co_1*VE))*H_2*hnh/(TP-H_1-(H_1*hnh)))-AP6-AQ6-(TP*Co_1*VE)-(TP*Co_2*VE)-(TP*Co_3*VE)-(TP*Co_4*VE))*(H_5*hnh/(TP-H_1-H_2-H_3-H_4-(hnh*(H_1+H_2+H_3+H_4)))),0))</f>
        <v>0</v>
      </c>
      <c r="V5" s="86">
        <f>IF(ScI=1,H_6*hnh,IF(ScI=2,(TP-H_1-((TP-H_1-(H_1*hnh)-(TP*Co_1*VE))*H_2/(TP-H_1-(H_1*hnh)))-AP4-AQ4-AR4-(H_1*hnh)-((TP-H_1-(H_1*hnh)-(TP*Co_1*VE))*H_2*hnh/(TP-H_1-(H_1*hnh)))-AP6-AQ6-AR6-(TP*Co_1*VE)-(TP*Co_2*VE)-(TP*Co_3*VE)-(TP*Co_4*VE)-(TP*Co_5*VE))*(H_6*hnh/(TP-H_1-H_2-H_3-H_4-H_5-(hnh*(H_1+H_2+H_3+H_4+H_5)))),0))</f>
        <v>0</v>
      </c>
      <c r="W5" s="86">
        <f>IF(ScI=1,H_7*hnh,IF(ScI=2,(TP-H_1-((TP-H_1-(H_1*hnh)-(TP*Co_1*VE))*H_2/(TP-H_1-(H_1*hnh)))-AP4-AQ4-AR4-AS4-(H_1*hnh)-((TP-H_1-(H_1*hnh)-(TP*Co_1*VE))*H_2*hnh/(TP-H_1-(H_1*hnh)))-AP6-AQ6-AR6-AS6-(TP*Co_1*VE)-(TP*Co_2*VE)-(TP*Co_3*VE)-(TP*Co_4*VE)-(TP*Co_5*VE)-(TP*Co_6*VE))*(H_7*hnh/(TP-H_1-H_2-H_3-H_4-H_5-H_6-(hnh*(H_1+H_2+H_3+H_4+H_5+H_6)))),0))</f>
        <v>0</v>
      </c>
      <c r="X5" s="86">
        <f>IF(ScI=1,H_8*hnh,IF(ScI=2,(TP-H_1-((TP-H_1-(H_1*hnh)-(TP*Co_1*VE))*H_2/(TP-H_1-(H_1*hnh)))-AP4-AQ4-AR4-AS4-AT4-(H_1*hnh)-((TP-H_1-(H_1*hnh)-(TP*Co_1*VE))*H_2*hnh/(TP-H_1-(H_1*hnh)))-AP6-AQ6-AR6-AS6-AT6-(TP*Co_1*VE)-(TP*Co_2*VE)-(TP*Co_3*VE)-(TP*Co_4*VE)-(TP*Co_5*VE)-(TP*Co_6*VE)-(TP*Co_7*VE))*(H_8*hnh/(TP-H_1-H_2-H_3-H_4-H_5-H_6-H_7-(hnh*(H_1+H_2+H_3+H_4+H_5+H_6+H_7)))),0))</f>
        <v>0</v>
      </c>
      <c r="Y5" s="86">
        <f>IF(ScI=1,H_9*hnh,IF(ScI=2,(TP-H_1-((TP-H_1-(H_1*hnh)-(TP*Co_1*VE))*H_2/(TP-H_1-(H_1*hnh)))-AP4-AQ4-AR4-AS4-AT4-AU4-(H_1*hnh)-((TP-H_1-(H_1*hnh)-(TP*Co_1*VE))*H_2*hnh/(TP-H_1-(H_1*hnh)))-AP6-AQ6-AR6-AS6-AT6-AU6-(TP*Co_1*VE)-(TP*Co_2*VE)-(TP*Co_3*VE)-(TP*Co_4*VE)-(TP*Co_5*VE)-(TP*Co_6*VE)-(TP*Co_7*VE)-(TP*Co_8*VE))*(H_9*hnh/(TP-H_1-H_2-H_3-H_4-H_5-H_6-H_7-H_8-(hnh*(H_1+H_2+H_3+H_4+H_5+H_6+H_7+H_8)))),0))</f>
        <v>0</v>
      </c>
      <c r="Z5" s="86">
        <f>IF(ScI=1,H_10*hnh,IF(ScI=2,(TP-H_1-((TP-H_1-(H_1*hnh)-(TP*Co_1*VE))*H_2/(TP-H_1-(H_1*hnh)))-AP4-AQ4-AR4-AS4-AT4-AU4-AV4-(H_1*hnh)-((TP-H_1-(H_1*hnh)-(TP*Co_1*VE))*H_2*hnh/(TP-H_1-(H_1*hnh)))-AP6-AQ6-AR6-AS6-AT6-AU6-AV6-(TP*Co_1*VE)-(TP*Co_2*VE)-(TP*Co_3*VE)-(TP*Co_4*VE)-(TP*Co_5*VE)-(TP*Co_6*VE)-(TP*Co_7*VE)-(TP*Co_8*VE)-(TP*Co_9*VE))*(H_10*hnh/(TP-H_1-H_2-H_3-H_4-H_5-H_6-H_7-H_8-H_9-(hnh*(H_1+H_2+H_3+H_4+H_5+H_6+H_7+H_8+H_9)))),0))</f>
        <v>0</v>
      </c>
      <c r="AA5" s="86">
        <f>IF(ScI=1,H_11*hnh,IF(ScI=2,(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0))</f>
        <v>0</v>
      </c>
      <c r="AB5" s="86">
        <f>IF(ScI=1,H_12*hnh,IF(ScI=2,(TP-H_1-((TP-H_1-(H_1*hnh)-(TP*Co_1*VE))*H_2/(TP-H_1-(H_1*hnh)))-AP4-AQ4-AR4-AS4-AT4-AU4-AV4-AW4-AX4-(H_1*hnh)-((TP-H_1-(H_1*hnh)-(TP*Co_1*VE))*H_2*hnh/(TP-H_1-(H_1*hnh)))-AP6-AQ6-AR6-AS6-AT6-AU6-AV6-AW6-AX6-(TP*Co_1*VE)-(TP*Co_2*VE)-(TP*Co_3*VE)-(TP*Co_4*VE)-(TP*Co_5*VE)-(TP*Co_6*VE)-(TP*Co_7*VE)-(TP*Co_8*VE)-(TP*Co_9*VE)-(TP*Co_10*VE)-(TP*Co_11*VE))*(H_12*hnh/(TP-H_1-H_2-H_3-H_4-H_5-H_6-H_7-H_8-H_9-H_10-H_11-(hnh*(H_1+H_2+H_3+H_4+H_5+H_6+H_7+H_8+H_9+H_10+H_11)))),0))</f>
        <v>0</v>
      </c>
      <c r="AC5" s="88">
        <f>IF(ScI=1,H_1*hnh,IF(ScI=2,H_1*hnh,0))</f>
        <v>0</v>
      </c>
      <c r="AD5" s="88" t="e">
        <f>IF(ScI=1,(TP-H_1-(H_1*hnh))*H_2*hnh/(TP-H_1-(H_1*hnh)-(TP*Co_1*VE)),IF(ScI=2,H_2*hnh,0))</f>
        <v>#DIV/0!</v>
      </c>
      <c r="AE5" s="88" t="e">
        <f>IF(ScI=1,(TP-H_1-((TP-H_1-(H_1*hnh))*H_2/(TP-H_1-(H_1*hnh)-(TP*Co_1*VE)))-(H_1*hnh)-((TP-H_1-(H_1*hnh))*H_2*hnh/(TP-H_1-(H_1*hnh)-(TP*Co_1*VE))))*H_3*hnh/(TP-H_1-H_2-(hnh*(H_1+H_2))-(TP*VE*(Co_1+Co_2))),IF(ScI=2,H_3*hnh,0))</f>
        <v>#DIV/0!</v>
      </c>
      <c r="AF5"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IF(ScI=2,H_6*hnh,0))</f>
        <v>#DIV/0!</v>
      </c>
      <c r="AI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IF(ScI=2,H_7*hnh,0))</f>
        <v>#DIV/0!</v>
      </c>
      <c r="AJ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IF(ScI=2,H_8*hnh,0))</f>
        <v>#DIV/0!</v>
      </c>
      <c r="AK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IF(ScI=2,H_9*hnh,0))</f>
        <v>#DIV/0!</v>
      </c>
      <c r="AL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IF(ScI=2,H_10*hnh,0))</f>
        <v>#DIV/0!</v>
      </c>
      <c r="AM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IF(ScI=2,H_11*hnh,0))</f>
        <v>#DIV/0!</v>
      </c>
      <c r="AN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BF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BF6)*H_12*hnh/(TP-H_1-H_2-H_3-H_4-H_5-H_6-H_7-H_8-H_9-H_10-H_11-(hnh*(H_1+H_2+H_3+H_4+H_5+H_6+H_7+H_8+H_9+H_10+H_11))-(TP*VE*(Co_1+Co_2+Co_3+Co_4+Co_5+Co_6+Co_7+Co_8+Co_9+Co_10+Co_11))),IF(ScI=2,H_12*hnh,0))</f>
        <v>#DIV/0!</v>
      </c>
      <c r="AP5" s="103" t="s">
        <v>82</v>
      </c>
      <c r="AQ5" s="103" t="s">
        <v>83</v>
      </c>
      <c r="AR5" s="103" t="s">
        <v>84</v>
      </c>
      <c r="AS5" s="103" t="s">
        <v>85</v>
      </c>
      <c r="AT5" s="103" t="s">
        <v>86</v>
      </c>
      <c r="AU5" s="103" t="s">
        <v>87</v>
      </c>
      <c r="AV5" s="103" t="s">
        <v>88</v>
      </c>
      <c r="AW5" s="103" t="s">
        <v>89</v>
      </c>
      <c r="AX5" s="103" t="s">
        <v>90</v>
      </c>
      <c r="AZ5" s="103" t="s">
        <v>106</v>
      </c>
      <c r="BA5" s="103" t="s">
        <v>92</v>
      </c>
      <c r="BB5" s="103" t="s">
        <v>98</v>
      </c>
      <c r="BC5" s="103" t="s">
        <v>99</v>
      </c>
      <c r="BD5" s="103" t="s">
        <v>100</v>
      </c>
      <c r="BE5" s="103" t="s">
        <v>101</v>
      </c>
      <c r="BF5" s="103" t="s">
        <v>102</v>
      </c>
    </row>
    <row r="6" spans="1:58" x14ac:dyDescent="0.25">
      <c r="E6">
        <v>1</v>
      </c>
      <c r="F6" s="113" t="str">
        <f>'3. Model'!AE18</f>
        <v>Fail</v>
      </c>
      <c r="G6" s="31">
        <f>'3. Model'!AB18</f>
        <v>0</v>
      </c>
      <c r="H6" s="31" t="e">
        <f>'3. Model'!AH$18</f>
        <v>#VALUE!</v>
      </c>
      <c r="I6" s="31">
        <f>'3. Model'!AA$18</f>
        <v>0</v>
      </c>
      <c r="J6" s="31" t="e">
        <f>'3. Model'!AG$18</f>
        <v>#VALUE!</v>
      </c>
      <c r="K6" s="31">
        <f>'3. Model'!AC$18</f>
        <v>0</v>
      </c>
      <c r="L6" s="31" t="e">
        <f>'3. Model'!AI$18</f>
        <v>#VALUE!</v>
      </c>
      <c r="M6" s="31">
        <f>'3. Model'!AD$18</f>
        <v>0</v>
      </c>
      <c r="N6" s="31" t="e">
        <f>'3. Model'!AJ$18</f>
        <v>#VALUE!</v>
      </c>
      <c r="P6" t="s">
        <v>107</v>
      </c>
      <c r="Q6" s="31">
        <f>'3. Model'!D6</f>
        <v>0</v>
      </c>
      <c r="R6" s="97">
        <f>'3. Model'!D7</f>
        <v>0</v>
      </c>
      <c r="S6" s="97">
        <f>'3. Model'!D8</f>
        <v>0</v>
      </c>
      <c r="T6" s="97">
        <f>'3. Model'!D9</f>
        <v>0</v>
      </c>
      <c r="U6" s="97">
        <f>'3. Model'!D10</f>
        <v>0</v>
      </c>
      <c r="V6" s="97">
        <f>'3. Model'!D11</f>
        <v>0</v>
      </c>
      <c r="W6" s="97">
        <f>'3. Model'!D12</f>
        <v>0</v>
      </c>
      <c r="X6" s="97">
        <f>'3. Model'!D13</f>
        <v>0</v>
      </c>
      <c r="Y6" s="97">
        <f>'3. Model'!D14</f>
        <v>0</v>
      </c>
      <c r="Z6" s="97">
        <f>'3. Model'!D15</f>
        <v>0</v>
      </c>
      <c r="AA6" s="97">
        <f>'3. Model'!D16</f>
        <v>0</v>
      </c>
      <c r="AB6" s="97">
        <f>'3. Model'!D17</f>
        <v>0</v>
      </c>
      <c r="AC6" s="98" t="e">
        <f>'3. Model'!S6</f>
        <v>#DIV/0!</v>
      </c>
      <c r="AD6" s="98" t="e">
        <f>'3. Model'!S7</f>
        <v>#DIV/0!</v>
      </c>
      <c r="AE6" s="98" t="e">
        <f>'3. Model'!S8</f>
        <v>#DIV/0!</v>
      </c>
      <c r="AF6" s="98" t="e">
        <f>'3. Model'!S9</f>
        <v>#DIV/0!</v>
      </c>
      <c r="AG6" s="98" t="e">
        <f>'3. Model'!S10</f>
        <v>#DIV/0!</v>
      </c>
      <c r="AH6" s="98" t="e">
        <f>'3. Model'!S11</f>
        <v>#DIV/0!</v>
      </c>
      <c r="AI6" s="98" t="e">
        <f>'3. Model'!S12</f>
        <v>#DIV/0!</v>
      </c>
      <c r="AJ6" s="98" t="e">
        <f>'3. Model'!S13</f>
        <v>#DIV/0!</v>
      </c>
      <c r="AK6" s="98" t="e">
        <f>'3. Model'!S14</f>
        <v>#DIV/0!</v>
      </c>
      <c r="AL6" s="98" t="e">
        <f>'3. Model'!S15</f>
        <v>#DIV/0!</v>
      </c>
      <c r="AM6" s="98" t="e">
        <f>'3. Model'!S16</f>
        <v>#DIV/0!</v>
      </c>
      <c r="AN6" s="98" t="e">
        <f>'3. Model'!S17</f>
        <v>#DIV/0!</v>
      </c>
      <c r="AP6" s="103" t="e">
        <f>((TP-H_1-((TP-H_1-(H_1*hnh)-(TP*Co_1*VE))*H_2/(TP-H_1-(H_1*hnh)))-(H_1*hnh)-((TP-H_1-(H_1*hnh)-(TP*Co_1*VE))*H_2*hnh/(TP-H_1-(H_1*hnh)))-(TP*Co_1*VE)-(TP*Co_2*VE))*(H_3*hnh/(TP-H_1-H_2-(hnh*(H_1+H_2)))))</f>
        <v>#DIV/0!</v>
      </c>
      <c r="AQ6" s="103" t="e">
        <f>(TP-H_1-((TP-H_1-(H_1*hnh)-(TP*Co_1*VE))*H_2/(TP-H_1-(H_1*hnh)))-AP4-(H_1*hnh)-((TP-H_1-(H_1*hnh)-(TP*Co_1*VE))*H_2*hnh/(TP-H_1-(H_1*hnh)))-AP6-(TP*Co_1*VE)-(TP*Co_2*VE)-(TP*Co_3*VE))*(H_4*hnh/(TP-H_1-H_2-H_3-(hnh*(H_1+H_2+H_3))))</f>
        <v>#DIV/0!</v>
      </c>
      <c r="AR6" s="103" t="e">
        <f>(TP-H_1-((TP-H_1-(H_1*hnh)-(TP*Co_1*VE))*H_2/(TP-H_1-(H_1*hnh)))-AP4-AQ4-(H_1*hnh)-((TP-H_1-(H_1*hnh)-(TP*Co_1*VE))*H_2*hnh/(TP-H_1-(H_1*hnh)))-AP6-AQ6-(TP*Co_1*VE)-(TP*Co_2*VE)-(TP*Co_3*VE)-(TP*Co_4*VE))*(H_5*hnh/(TP-H_1-H_2-H_3-H_4-(hnh*(H_1+H_2+H_3+H_4))))</f>
        <v>#DIV/0!</v>
      </c>
      <c r="AS6" s="103" t="e">
        <f>(TP-H_1-((TP-H_1-(H_1*hnh)-(TP*Co_1*VE))*H_2/(TP-H_1-(H_1*hnh)))-AP4-AQ4-AR4-(H_1*hnh)-((TP-H_1-(H_1*hnh)-(TP*Co_1*VE))*H_2*hnh/(TP-H_1-(H_1*hnh)))-AP6-AQ6-AR6-(TP*Co_1*VE)-(TP*Co_2*VE)-(TP*Co_3*VE)-(TP*Co_4*VE)-(TP*Co_5*VE))*(H_6*hnh/(TP-H_1-H_2-H_3-H_4-H_5-(hnh*(H_1+H_2+H_3+H_4+H_5))))</f>
        <v>#DIV/0!</v>
      </c>
      <c r="AT6" s="103" t="e">
        <f>(TP-H_1-((TP-H_1-(H_1*hnh)-(TP*Co_1*VE))*H_2/(TP-H_1-(H_1*hnh)))-AP4-AQ4-AR4-AS4-(H_1*hnh)-((TP-H_1-(H_1*hnh)-(TP*Co_1*VE))*H_2*hnh/(TP-H_1-(H_1*hnh)))-AP6-AQ6-AR6-AS6-(TP*Co_1*VE)-(TP*Co_2*VE)-(TP*Co_3*VE)-(TP*Co_4*VE)-(TP*Co_5*VE)-(TP*Co_6*VE))*(H_7*hnh/(TP-H_1-H_2-H_3-H_4-H_5-H_6-(hnh*(H_1+H_2+H_3+H_4+H_5+H_6))))</f>
        <v>#DIV/0!</v>
      </c>
      <c r="AU6" s="103" t="e">
        <f>(TP-H_1-((TP-H_1-(H_1*hnh)-(TP*Co_1*VE))*H_2/(TP-H_1-(H_1*hnh)))-AP4-AQ4-AR4-AS4-AT4-(H_1*hnh)-((TP-H_1-(H_1*hnh)-(TP*Co_1*VE))*H_2*hnh/(TP-H_1-(H_1*hnh)))-AP6-AQ6-AR6-AS6-AT6-(TP*Co_1*VE)-(TP*Co_2*VE)-(TP*Co_3*VE)-(TP*Co_4*VE)-(TP*Co_5*VE)-(TP*Co_6*VE)-(TP*Co_7*VE))*(H_8*hnh/(TP-H_1-H_2-H_3-H_4-H_5-H_6-H_7-(hnh*(H_1+H_2+H_3+H_4+H_5+H_6+H_7))))</f>
        <v>#DIV/0!</v>
      </c>
      <c r="AV6" s="103" t="e">
        <f>(TP-H_1-((TP-H_1-(H_1*hnh)-(TP*Co_1*VE))*H_2/(TP-H_1-(H_1*hnh)))-AP4-AQ4-AR4-AS4-AT4-AU4-(H_1*hnh)-((TP-H_1-(H_1*hnh)-(TP*Co_1*VE))*H_2*hnh/(TP-H_1-(H_1*hnh)))-AP6-AQ6-AR6-AS6-AT6-AU6-(TP*Co_1*VE)-(TP*Co_2*VE)-(TP*Co_3*VE)-(TP*Co_4*VE)-(TP*Co_5*VE)-(TP*Co_6*VE)-(TP*Co_7*VE)-(TP*Co_8*VE))*(H_9*hnh/(TP-H_1-H_2-H_3-H_4-H_5-H_6-H_7-H_8-(hnh*(H_1+H_2+H_3+H_4+H_5+H_6+H_7+H_8))))</f>
        <v>#DIV/0!</v>
      </c>
      <c r="AW6" s="103" t="e">
        <f>(TP-H_1-((TP-H_1-(H_1*hnh)-(TP*Co_1*VE))*H_2/(TP-H_1-(H_1*hnh)))-AP4-AQ4-AR4-AS4-AT4-AU4-AV4-(H_1*hnh)-((TP-H_1-(H_1*hnh)-(TP*Co_1*VE))*H_2*hnh/(TP-H_1-(H_1*hnh)))-AP6-AQ6-AR6-AS6-AT6-AU6-AV6-(TP*Co_1*VE)-(TP*Co_2*VE)-(TP*Co_3*VE)-(TP*Co_4*VE)-(TP*Co_5*VE)-(TP*Co_6*VE)-(TP*Co_7*VE)-(TP*Co_8*VE)-(TP*Co_9*VE))*(H_10*hnh/(TP-H_1-H_2-H_3-H_4-H_5-H_6-H_7-H_8-H_9-(hnh*(H_1+H_2+H_3+H_4+H_5+H_6+H_7+H_8+H_9))))</f>
        <v>#DIV/0!</v>
      </c>
      <c r="AX6" s="103" t="e">
        <f>(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f>
        <v>#DIV/0!</v>
      </c>
      <c r="AZ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f>
        <v>#DIV/0!</v>
      </c>
      <c r="BB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f>
        <v>#DIV/0!</v>
      </c>
      <c r="BC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f>
        <v>#DIV/0!</v>
      </c>
      <c r="BD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f>
        <v>#DIV/0!</v>
      </c>
      <c r="BE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f>
        <v>#DIV/0!</v>
      </c>
      <c r="BF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f>
        <v>#DIV/0!</v>
      </c>
    </row>
    <row r="7" spans="1:58" x14ac:dyDescent="0.25">
      <c r="F7" s="112"/>
    </row>
    <row r="8" spans="1:58" x14ac:dyDescent="0.25">
      <c r="E8" s="89" t="s">
        <v>56</v>
      </c>
      <c r="F8" s="94" t="e">
        <f>F6-F5</f>
        <v>#VALUE!</v>
      </c>
      <c r="G8" s="95">
        <f t="shared" ref="G8:N8" si="0">G5-G6</f>
        <v>0</v>
      </c>
      <c r="H8" s="95" t="e">
        <f t="shared" si="0"/>
        <v>#DIV/0!</v>
      </c>
      <c r="I8" s="95" t="e">
        <f t="shared" si="0"/>
        <v>#DIV/0!</v>
      </c>
      <c r="J8" s="95" t="e">
        <f t="shared" si="0"/>
        <v>#DIV/0!</v>
      </c>
      <c r="K8" s="95" t="e">
        <f t="shared" si="0"/>
        <v>#DIV/0!</v>
      </c>
      <c r="L8" s="95" t="e">
        <f t="shared" si="0"/>
        <v>#DIV/0!</v>
      </c>
      <c r="M8" s="95" t="e">
        <f t="shared" si="0"/>
        <v>#DIV/0!</v>
      </c>
      <c r="N8" s="95" t="e">
        <f t="shared" si="0"/>
        <v>#DIV/0!</v>
      </c>
      <c r="P8" s="89" t="s">
        <v>56</v>
      </c>
      <c r="Q8" s="89">
        <f t="shared" ref="Q8:AN8" si="1">Q5-Q6</f>
        <v>0</v>
      </c>
      <c r="R8" s="89">
        <f t="shared" si="1"/>
        <v>0</v>
      </c>
      <c r="S8" s="89">
        <f t="shared" si="1"/>
        <v>0</v>
      </c>
      <c r="T8" s="89">
        <f t="shared" si="1"/>
        <v>0</v>
      </c>
      <c r="U8" s="89">
        <f t="shared" si="1"/>
        <v>0</v>
      </c>
      <c r="V8" s="89">
        <f t="shared" si="1"/>
        <v>0</v>
      </c>
      <c r="W8" s="89">
        <f t="shared" si="1"/>
        <v>0</v>
      </c>
      <c r="X8" s="89">
        <f t="shared" si="1"/>
        <v>0</v>
      </c>
      <c r="Y8" s="89">
        <f t="shared" si="1"/>
        <v>0</v>
      </c>
      <c r="Z8" s="89">
        <f t="shared" si="1"/>
        <v>0</v>
      </c>
      <c r="AA8" s="89">
        <f t="shared" si="1"/>
        <v>0</v>
      </c>
      <c r="AB8" s="89">
        <f t="shared" si="1"/>
        <v>0</v>
      </c>
      <c r="AC8" s="90" t="e">
        <f t="shared" si="1"/>
        <v>#DIV/0!</v>
      </c>
      <c r="AD8" s="90" t="e">
        <f t="shared" si="1"/>
        <v>#DIV/0!</v>
      </c>
      <c r="AE8" s="90" t="e">
        <f t="shared" si="1"/>
        <v>#DIV/0!</v>
      </c>
      <c r="AF8" s="90" t="e">
        <f t="shared" si="1"/>
        <v>#DIV/0!</v>
      </c>
      <c r="AG8" s="90" t="e">
        <f t="shared" si="1"/>
        <v>#DIV/0!</v>
      </c>
      <c r="AH8" s="90" t="e">
        <f t="shared" si="1"/>
        <v>#DIV/0!</v>
      </c>
      <c r="AI8" s="90" t="e">
        <f t="shared" si="1"/>
        <v>#DIV/0!</v>
      </c>
      <c r="AJ8" s="90" t="e">
        <f t="shared" si="1"/>
        <v>#DIV/0!</v>
      </c>
      <c r="AK8" s="90" t="e">
        <f t="shared" si="1"/>
        <v>#DIV/0!</v>
      </c>
      <c r="AL8" s="90" t="e">
        <f t="shared" si="1"/>
        <v>#DIV/0!</v>
      </c>
      <c r="AM8" s="90" t="e">
        <f t="shared" si="1"/>
        <v>#DIV/0!</v>
      </c>
      <c r="AN8" s="90" t="e">
        <f t="shared" si="1"/>
        <v>#DIV/0!</v>
      </c>
    </row>
    <row r="9" spans="1:58" x14ac:dyDescent="0.25">
      <c r="G9" s="25"/>
    </row>
    <row r="11" spans="1:58" s="105" customFormat="1" x14ac:dyDescent="0.25">
      <c r="A11" s="104" t="s">
        <v>109</v>
      </c>
      <c r="B11" s="104"/>
    </row>
    <row r="12" spans="1:58" hidden="1" outlineLevel="1" x14ac:dyDescent="0.25">
      <c r="Q12" s="369" t="s">
        <v>72</v>
      </c>
      <c r="R12" s="369"/>
      <c r="S12" s="369"/>
      <c r="T12" s="369"/>
      <c r="U12" s="369"/>
      <c r="V12" s="369"/>
      <c r="W12" s="369"/>
      <c r="X12" s="369"/>
      <c r="Y12" s="369"/>
      <c r="Z12" s="369"/>
      <c r="AA12" s="369"/>
      <c r="AB12" s="369"/>
      <c r="AC12" s="370" t="s">
        <v>104</v>
      </c>
      <c r="AD12" s="370"/>
      <c r="AE12" s="370"/>
      <c r="AF12" s="370"/>
      <c r="AG12" s="370"/>
      <c r="AH12" s="370"/>
      <c r="AI12" s="370"/>
      <c r="AJ12" s="370"/>
      <c r="AK12" s="370"/>
      <c r="AL12" s="370"/>
      <c r="AM12" s="370"/>
      <c r="AN12" s="370"/>
      <c r="AP12" s="103">
        <v>3</v>
      </c>
      <c r="AQ12" s="103">
        <v>4</v>
      </c>
      <c r="AR12" s="103">
        <v>5</v>
      </c>
      <c r="AS12" s="103">
        <v>6</v>
      </c>
      <c r="AT12" s="103">
        <v>7</v>
      </c>
      <c r="AU12" s="103">
        <v>8</v>
      </c>
      <c r="AV12" s="103">
        <v>9</v>
      </c>
      <c r="AW12" s="103">
        <v>10</v>
      </c>
      <c r="AX12" s="103">
        <v>11</v>
      </c>
      <c r="AZ12" s="103">
        <v>5</v>
      </c>
      <c r="BA12" s="103">
        <v>6</v>
      </c>
      <c r="BB12" s="103">
        <v>7</v>
      </c>
      <c r="BC12" s="103">
        <v>8</v>
      </c>
      <c r="BD12" s="103">
        <v>9</v>
      </c>
      <c r="BE12" s="103">
        <v>10</v>
      </c>
      <c r="BF12" s="103">
        <v>11</v>
      </c>
    </row>
    <row r="13" spans="1:58" ht="45" hidden="1" outlineLevel="1" x14ac:dyDescent="0.25">
      <c r="A13" s="11" t="s">
        <v>47</v>
      </c>
      <c r="B13" s="11"/>
      <c r="C13" s="11"/>
      <c r="D13" s="11"/>
      <c r="E13" s="11"/>
      <c r="F13" s="11"/>
      <c r="G13" s="371" t="s">
        <v>50</v>
      </c>
      <c r="H13" s="371"/>
      <c r="I13" s="372" t="s">
        <v>44</v>
      </c>
      <c r="J13" s="372"/>
      <c r="K13" s="370" t="s">
        <v>58</v>
      </c>
      <c r="L13" s="370"/>
      <c r="M13" s="372" t="s">
        <v>45</v>
      </c>
      <c r="N13" s="372"/>
      <c r="Q13" s="369" t="s">
        <v>1</v>
      </c>
      <c r="R13" s="369"/>
      <c r="S13" s="369"/>
      <c r="T13" s="369"/>
      <c r="U13" s="369"/>
      <c r="V13" s="369"/>
      <c r="W13" s="369"/>
      <c r="X13" s="369"/>
      <c r="Y13" s="369"/>
      <c r="Z13" s="369"/>
      <c r="AA13" s="369"/>
      <c r="AB13" s="369"/>
      <c r="AC13" s="370" t="s">
        <v>71</v>
      </c>
      <c r="AD13" s="370"/>
      <c r="AE13" s="370"/>
      <c r="AF13" s="370"/>
      <c r="AG13" s="370"/>
      <c r="AH13" s="370"/>
      <c r="AI13" s="370"/>
      <c r="AJ13" s="370"/>
      <c r="AK13" s="370"/>
      <c r="AL13" s="370"/>
      <c r="AM13" s="370"/>
      <c r="AN13" s="370"/>
      <c r="AP13" s="103" t="s">
        <v>73</v>
      </c>
      <c r="AQ13" s="103" t="s">
        <v>74</v>
      </c>
      <c r="AR13" s="103" t="s">
        <v>75</v>
      </c>
      <c r="AS13" s="103" t="s">
        <v>76</v>
      </c>
      <c r="AT13" s="103" t="s">
        <v>77</v>
      </c>
      <c r="AU13" s="103" t="s">
        <v>78</v>
      </c>
      <c r="AV13" s="103" t="s">
        <v>79</v>
      </c>
      <c r="AW13" s="103" t="s">
        <v>80</v>
      </c>
      <c r="AX13" s="103" t="s">
        <v>81</v>
      </c>
      <c r="AZ13" s="103" t="s">
        <v>105</v>
      </c>
      <c r="BA13" s="103" t="s">
        <v>91</v>
      </c>
      <c r="BB13" s="103" t="s">
        <v>93</v>
      </c>
      <c r="BC13" s="103" t="s">
        <v>94</v>
      </c>
      <c r="BD13" s="103" t="s">
        <v>95</v>
      </c>
      <c r="BE13" s="103" t="s">
        <v>96</v>
      </c>
      <c r="BF13" s="103" t="s">
        <v>97</v>
      </c>
    </row>
    <row r="14" spans="1:58" ht="45" hidden="1" outlineLevel="1" x14ac:dyDescent="0.25">
      <c r="A14" s="70" t="s">
        <v>40</v>
      </c>
      <c r="B14" s="70" t="s">
        <v>41</v>
      </c>
      <c r="C14" s="70" t="s">
        <v>53</v>
      </c>
      <c r="D14" s="70" t="s">
        <v>48</v>
      </c>
      <c r="E14" s="70" t="s">
        <v>42</v>
      </c>
      <c r="F14" s="76" t="s">
        <v>49</v>
      </c>
      <c r="G14" s="71" t="s">
        <v>51</v>
      </c>
      <c r="H14" s="71" t="s">
        <v>52</v>
      </c>
      <c r="I14" s="72" t="s">
        <v>51</v>
      </c>
      <c r="J14" s="72" t="s">
        <v>52</v>
      </c>
      <c r="K14" s="77" t="s">
        <v>51</v>
      </c>
      <c r="L14" s="77" t="s">
        <v>52</v>
      </c>
      <c r="M14" s="72" t="s">
        <v>51</v>
      </c>
      <c r="N14" s="72" t="s">
        <v>52</v>
      </c>
      <c r="Q14" s="102">
        <v>1</v>
      </c>
      <c r="R14" s="102">
        <v>2</v>
      </c>
      <c r="S14" s="102">
        <v>3</v>
      </c>
      <c r="T14" s="102">
        <v>4</v>
      </c>
      <c r="U14" s="102">
        <v>5</v>
      </c>
      <c r="V14" s="102">
        <v>6</v>
      </c>
      <c r="W14" s="102">
        <v>7</v>
      </c>
      <c r="X14" s="102">
        <v>8</v>
      </c>
      <c r="Y14" s="102">
        <v>9</v>
      </c>
      <c r="Z14" s="102">
        <v>10</v>
      </c>
      <c r="AA14" s="102">
        <v>11</v>
      </c>
      <c r="AB14" s="102">
        <v>12</v>
      </c>
      <c r="AC14" s="101">
        <v>1</v>
      </c>
      <c r="AD14" s="101">
        <v>2</v>
      </c>
      <c r="AE14" s="101">
        <v>3</v>
      </c>
      <c r="AF14" s="101">
        <v>4</v>
      </c>
      <c r="AG14" s="101">
        <v>5</v>
      </c>
      <c r="AH14" s="101">
        <v>6</v>
      </c>
      <c r="AI14" s="101">
        <v>7</v>
      </c>
      <c r="AJ14" s="101">
        <v>8</v>
      </c>
      <c r="AK14" s="101">
        <v>9</v>
      </c>
      <c r="AL14" s="101">
        <v>10</v>
      </c>
      <c r="AM14" s="101">
        <v>11</v>
      </c>
      <c r="AN14" s="101">
        <v>12</v>
      </c>
      <c r="AP14" s="103" t="e">
        <f>((TP-H_1-((TP-H_1-(H_1*hnh)-(TP*Co_1*lVE))*H_2/(TP-H_1-(H_1*hnh)))-(H_1*hnh)-((TP-H_1-(H_1*hnh)-(TP*Co_1*lVE))*H_2*hnh/(TP-H_1-(H_1*hnh)))-(TP*Co_1*lVE)-(TP*Co_2*lVE))*(H_3/(TP-H_1-H_2-(hnh*(H_1+H_2)))))</f>
        <v>#DIV/0!</v>
      </c>
      <c r="AQ14" s="103" t="e">
        <f>(TP-H_1-((TP-H_1-(H_1*hnh)-(TP*Co_1*lVE))*H_2/(TP-H_1-(H_1*hnh)))-AP14-(H_1*hnh)-((TP-H_1-(H_1*hnh)-(TP*Co_1*lVE))*H_2*hnh/(TP-H_1-(H_1*hnh)))-AP16-(TP*Co_1*lVE)-(TP*Co_2*VE)-(TP*Co_3*lVE))*(H_4/(TP-H_1-H_2-H_3-(hnh*(H_1+H_2+H_3))))</f>
        <v>#DIV/0!</v>
      </c>
      <c r="AR14" s="103" t="e">
        <f>(TP-H_1-((TP-H_1-(H_1*hnh)-(TP*Co_1*lVE))*H_2/(TP-H_1-(H_1*hnh)))-AP14-AQ14-(H_1*hnh)-((TP-H_1-(H_1*hnh)-(TP*Co_1*lVE))*H_2*hnh/(TP-H_1-(H_1*hnh)))-AP16-AQ16-(TP*Co_1*lVE)-(TP*Co_2*lVE)-(TP*Co_3*lVE)-(TP*Co_4*lVE))*(H_5/(TP-H_1-H_2-H_3-H_4-(hnh*(H_1+H_2+H_3+H_4))))</f>
        <v>#DIV/0!</v>
      </c>
      <c r="AS14" s="103" t="e">
        <f>(TP-H_1-((TP-H_1-(H_1*hnh)-(TP*Co_1*lVE))*H_2/(TP-H_1-(H_1*hnh)))-AP14-AQ14-AR14-(H_1*hnh)-((TP-H_1-(H_1*hnh)-(TP*Co_1*lVE))*H_2*hnh/(TP-H_1-(H_1*hnh)))-AP16-AQ16-AR16-(TP*Co_1*lVE)-(TP*Co_2*lVE)-(TP*Co_3*lVE)-(TP*Co_4*lVE)-(TP*Co_5*lVE))*(H_6/(TP-H_1-H_2-H_3-H_4-H_5-(hnh*(H_1+H_2+H_3+H_4+H_5))))</f>
        <v>#DIV/0!</v>
      </c>
      <c r="AT14" s="103" t="e">
        <f>(TP-H_1-((TP-H_1-(H_1*hnh)-(TP*Co_1*lVE))*H_2/(TP-H_1-(H_1*hnh)))-AP14-AQ14-AR14-AS14-(H_1*hnh)-((TP-H_1-(H_1*hnh)-(TP*Co_1*lVE))*H_2*hnh/(TP-H_1-(H_1*hnh)))-AP16-AQ16-AR16-AS16-(TP*Co_1*lVE)-(TP*Co_2*lVE)-(TP*Co_3*lVE)-(TP*Co_4*lVE)-(TP*Co_5*lVE)-(TP*Co_6*lVE))*(H_7/(TP-H_1-H_2-H_3-H_4-H_5-H_6-(hnh*(H_1+H_2+H_3+H_4+H_5+H_6))))</f>
        <v>#DIV/0!</v>
      </c>
      <c r="AU14" s="103" t="e">
        <f>(TP-H_1-((TP-H_1-(H_1*hnh)-(TP*Co_1*lVE))*H_2/(TP-H_1-(H_1*hnh)))-AP14-AQ14-AR14-AS14-AT14-(H_1*hnh)-((TP-H_1-(H_1*hnh)-(TP*Co_1*lVE))*H_2*hnh/(TP-H_1-(H_1*hnh)))-AP16-AQ16-AR16-AS16-AT16-(TP*Co_1*lVE)-(TP*Co_2*lVE)-(TP*Co_3*lVE)-(TP*Co_4*lVE)-(TP*Co_5*lVE)-(TP*Co_6*lVE)-(TP*Co_7*lVE))*(H_8/(TP-H_1-H_2-H_3-H_4-H_5-H_6-H_7-(hnh*(H_1+H_2+H_3+H_4+H_5+H_6+H_7))))</f>
        <v>#DIV/0!</v>
      </c>
      <c r="AV14" s="103" t="e">
        <f>(TP-H_1-((TP-H_1-(H_1*hnh)-(TP*Co_1*lVE))*H_2/(TP-H_1-(H_1*hnh)))-AP14-AQ14-AR14-AS14-AT14-AU14-(H_1*hnh)-((TP-H_1-(H_1*hnh)-(TP*Co_1*lVE))*H_2*hnh/(TP-H_1-(H_1*hnh)))-AP16-AQ16-AR16-AS16-AT16-AU16-(TP*Co_1*lVE)-(TP*Co_2*lVE)-(TP*Co_3*lVE)-(TP*Co_4*lVE)-(TP*Co_5*lVE)-(TP*Co_6*lVE)-(TP*Co_7*lVE)-(TP*Co_8*lVE))*(H_9/(TP-H_1-H_2-H_3-H_4-H_5-H_6-H_7-H_8-(hnh*(H_1+H_2+H_3+H_4+H_5+H_6+H_7+H_8))))</f>
        <v>#DIV/0!</v>
      </c>
      <c r="AW14" s="103" t="e">
        <f>(TP-H_1-((TP-H_1-(H_1*hnh)-(TP*Co_1*lVE))*H_2/(TP-H_1-(H_1*hnh)))-AP14-AQ14-AR14-AS14-AT14-AU14-AV14-(H_1*hnh)-((TP-H_1-(H_1*hnh)-(TP*Co_1*lVE))*H_2*hnh/(TP-H_1-(H_1*hnh)))-AP16-AQ16-AR16-AS16-AT16-AU16-AV16-(TP*Co_1*lVE)-(TP*Co_2*lVE)-(TP*Co_3*lVE)-(TP*Co_4*lVE)-(TP*Co_5*lVE)-(TP*Co_6*lVE)-(TP*Co_7*lVE)-(TP*Co_8*lVE)-(TP*Co_9*lVE))*(H_10/(TP-H_1-H_2-H_3-H_4-H_5-H_6-H_7-H_8-H_9-(hnh*(H_1+H_2+H_3+H_4+H_5+H_6+H_7+H_8+H_9))))</f>
        <v>#DIV/0!</v>
      </c>
      <c r="AX14" s="103" t="e">
        <f>(TP-H_1-((TP-H_1-(H_1*hnh)-(TP*Co_1*lVE))*H_2/(TP-H_1-(H_1*hnh)))-AP14-AQ14-AR14-AS14-AT14-AU14-AV14-AW14-(H_1*hnh)-((TP-H_1-(H_1*hnh)-(TP*Co_1*lVE))*H_2*hnh/(TP-H_1-(H_1*hnh)))-AP16-AQ16-AR16-AS16-AT16-AU16-AV16-AW16-(TP*Co_1*lVE)-(TP*Co_2*lVE)-(TP*Co_3*lVE)-(TP*Co_4*lVE)-(TP*Co_5*lVE)-(TP*Co_6*lVE)-(TP*Co_7*lVE)-(TP*Co_8*lVE)-(TP*Co_9*lVE)-(TP*Co_10*lVE))*(H_11/(TP-H_1-H_2-H_3-H_4-H_5-H_6-H_7-H_8-H_9-H_10-(hnh*(H_1+H_2+H_3+H_4+H_5+H_6+H_7+H_8+H_9+H_10))))</f>
        <v>#DIV/0!</v>
      </c>
      <c r="AZ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H_5/(TP-H_1-H_2-H_3-H_4-(hnh*(H_1+H_2+H_3+H_4))-(TP*lVE*(Co_1+Co_2+Co_3+Co_4)))</f>
        <v>#DIV/0!</v>
      </c>
      <c r="BA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H_6/(TP-H_1-H_2-H_3-H_4-H_5-(hnh*(H_1+H_2+H_3+H_4+H_5))-(TP*lVE*(Co_1+Co_2+Co_3+Co_4+Co_5)))</f>
        <v>#DIV/0!</v>
      </c>
      <c r="BB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H_7/(TP-H_1-H_2-H_3-H_4-H_5-H_6-(hnh*(H_1+H_2+H_3+H_4+H_5+H_6))-(TP*lVE*(Co_1+Co_2+Co_3+Co_4+Co_5+Co_6)))</f>
        <v>#DIV/0!</v>
      </c>
      <c r="BC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H_8/(TP-H_1-H_2-H_3-H_4-H_5-H_6-H_7-(hnh*(H_1+H_2+H_3+H_4+H_5+H_6+H_7))-(TP*lVE*(Co_1+Co_2+Co_3+Co_4+Co_5+Co_6+Co_7)))</f>
        <v>#DIV/0!</v>
      </c>
      <c r="BD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H_9/(TP-H_1-H_2-H_3-H_4-H_5-H_6-H_7-H_8-(hnh*(H_1+H_2+H_3+H_4+H_5+H_6+H_7+H_8))-(TP*lVE*(Co_1+Co_2+Co_3+Co_4+Co_5+Co_6+Co_7+Co_8)))</f>
        <v>#DIV/0!</v>
      </c>
      <c r="BE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H_10/(TP-H_1-H_2-H_3-H_4-H_5-H_6-H_7-H_8-H_9-(hnh*(H_1+H_2+H_3+H_4+H_5+H_6+H_7+H_8+H_9))-(TP*lVE*(Co_1+Co_2+Co_3+Co_4+Co_5+Co_6+Co_7+Co_8+Co_9)))</f>
        <v>#DIV/0!</v>
      </c>
      <c r="BF14"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H_11/(TP-H_1-H_2-H_3-H_4-H_5-H_6-H_7-H_8-H_9-H_10-(hnh*(H_1+H_2+H_3+H_4+H_5+H_6+H_7+H_8+H_9+H_10))-(TP*lVE*(Co_1+Co_2+Co_3+Co_4+Co_5+Co_6+Co_7+Co_8+Co_9+Co_10)))</f>
        <v>#DIV/0!</v>
      </c>
    </row>
    <row r="15" spans="1:58" hidden="1" outlineLevel="1" x14ac:dyDescent="0.25">
      <c r="A15" s="73">
        <f>season</f>
        <v>0</v>
      </c>
      <c r="B15" s="73">
        <f>TG</f>
        <v>0</v>
      </c>
      <c r="C15" s="73">
        <f>TP</f>
        <v>0</v>
      </c>
      <c r="D15" s="74">
        <f>TCv</f>
        <v>0</v>
      </c>
      <c r="E15" s="75">
        <f>lVE</f>
        <v>0</v>
      </c>
      <c r="F15" s="78" t="e">
        <f>G15/IF(mb=1,SUM(AC15:AN15),IF(mb=2,SUM(AD15:AN15),IF(mb=3,SUM(AE15:AN15),IF(mb=4,SUM(AF15:AN15),IF(mb=5,SUM(AG15:AN15),IF(mb=6,SUM(AH15:AN15),IF(mb=7,SUM(AI15:AN15),IF(mb=8,SUM(AJ15:AN15),0))))))))</f>
        <v>#DIV/0!</v>
      </c>
      <c r="G15" s="42" t="e">
        <f>SUM(AC15:AN15)-SUM(Q15:AB15)</f>
        <v>#DIV/0!</v>
      </c>
      <c r="H15" s="96" t="e">
        <f>1/(lVE*IF(mb=1,SUM(AC15:AN15),IF(mb=2,SUM(AD15:AN15),IF(mb=3,SUM(AE15:AN15),IF(mb=4,SUM(AF15:AN15),IF(mb=5,SUM(AG15:AN15),IF(mb=6,SUM(AH15:AN15),IF(mb=7,SUM(AI15:AN15),IF(mb=8,SUM(AC15:AN15),0))))))))/TP)</f>
        <v>#DIV/0!</v>
      </c>
      <c r="I15" s="93" t="e">
        <f>G15/hnh</f>
        <v>#DIV/0!</v>
      </c>
      <c r="J15" s="42" t="e">
        <f>1/(lVE*IF(mb=1,SUM(AC15:AN15),IF(mb=2,SUM(AD15:AN15),IF(mb=3,SUM(AE15:AN15),IF(mb=4,SUM(AF15:AN15),IF(mb=5,SUM(AG15:AN15),IF(mb=6,SUM(AH15:AN15),IF(mb=7,SUM(AI15:AN15),IF(mb=8,SUM(AJ15:AN15),0))))))))/(TP*hnh))</f>
        <v>#DIV/0!</v>
      </c>
      <c r="K15" s="42" t="e">
        <f>M15*mai</f>
        <v>#DIV/0!</v>
      </c>
      <c r="L15" s="42" t="e">
        <f>1/(lVE*((IF(mb=1,SUM(AC15:AN15),IF(mb=2,SUM(AD15:AN15),IF(mb=3,SUM(AE15:AN15),IF(mb=4,SUM(AF15:AN15),IF(mb=5,SUM(AG15:AN15),IF(mb=6,SUM(AH15:AN15),IF(mb=7,SUM(AI15:AN15),IF(mb=8,SUM(AC15:AN15),0))))))))+(IF(mb=1,SUM(AC15:AN15),IF(mb=2,SUM(AD15:AN15),IF(mb=3,SUM(AE15:AN15),IF(mb=4,SUM(AF15:AN15),IF(mb=5,SUM(AG15:AN15),IF(mb=6,SUM(AH15:AN15),IF(mb=7,SUM(AI15:AN15),IF(mb=8,SUM(AC15:AN15),0)))))))))/hnh)*mai)/TP)</f>
        <v>#DIV/0!</v>
      </c>
      <c r="M15" s="42" t="e">
        <f>G15+I15</f>
        <v>#DIV/0!</v>
      </c>
      <c r="N15" s="31" t="e">
        <f>1/(lVE*(IF(mb=1,SUM(AC5:AN5),IF(mb=2,SUM(AD5:AN5),IF(mb=3,SUM(AE5:AN5),IF(mb=4,SUM(AF5:AN5),IF(mb=5,SUM(AG5:AN5),IF(mb=6,SUM(AH5:AN5),IF(mb=7,SUM(AI5:AN5),IF(mb=8,SUM(AC5:AN5),0))))))))+(IF(mb=1,SUM(AC5:AN5),IF(mb=2,SUM(AD5:AN5),IF(mb=3,SUM(AE5:AN5),IF(mb=4,SUM(AF5:AN5),IF(mb=5,SUM(AG5:AN5),IF(mb=6,SUM(AH5:AN5),IF(mb=7,SUM(AI5:AN5),IF(mb=8,SUM(AC5:AN5),0)))))))))/hnh)/TP)</f>
        <v>#DIV/0!</v>
      </c>
      <c r="Q15" s="86">
        <f>IF(ISc=1,H_1*hnh,IF(ISc=2,H_1*hnh,0))</f>
        <v>0</v>
      </c>
      <c r="R15" s="86">
        <f>IF(ScI=1,H_2*hnh,IF(ScI=2,(TP-H_1-(H_1*hnh)-(TP*Co_1*lVE))*(H_2*hnh/(TP-H_1-(H_1*hnh))),0))</f>
        <v>0</v>
      </c>
      <c r="S15" s="86">
        <f>IF(ScI=1,H_3*hnh,IF(ScI=2,(TP-H_1-((TP-H_1-(H_1*hnh)-(TP*Co_1*lVE))*H_2/(TP-H_1-(H_1*hnh)))-(H_1*hnh)-((TP-H_1-(H_1*hnh)-(TP*Co_1*lVE))*H_2*hnh/(TP-H_1-(H_1*hnh)))-(TP*Co_1*lVE)-(TP*Co_2*lVE))*(H_3*hnh/(TP-H_1-H_2-(hnh*(H_1+H_2)))),0))</f>
        <v>0</v>
      </c>
      <c r="T15" s="86">
        <f>IF(ScI=1,H_4*hnh,IF(ScI=2,(TP-H_1-((TP-H_1-(H_1*hnh)-(TP*Co_1*lVE))*H_2/(TP-H_1-(H_1*hnh)))-((TP-H_1-(((TP-H_1-(H_1*hnh)-(TP*Co_1*lVE))*H_2/(TP-H_1-(H_1*hnh))))-(H_1*hnh)-((TP-H_1-(H_1*hnh)-(TP*Co_1*lVE))*H_2*hnh/(TP-H_1-(H_1*hnh)))-(TP*Co_1*lVE)-(TP*Co_2*lVE))*(H_3/(TP-H_1-H_2-(hnh*(H_1+H_2)))))-(H_1*hnh)-((TP-H_1-(H_1*hnh)-(TP*Co_1*lVE))*H_2*hnh/(TP-H_1-(H_1*hnh)))-((TP-H_1-(((TP-H_1-(H_1*hnh)-(TP*Co_1*lVE))*H_2/(TP-H_1-(H_1*hnh))))-(H_1*hnh)-(((TP-H_1-(H_1*hnh)-(TP*Co_1*lVE))*H_2*hnh/(TP-H_1-(H_1*hnh))))-(TP*Co_1*lVE)-(TP*Co_2*lVE))*(H_3*hnh/(TP-H_1-H_2-(hnh*(H_1+H_2)))))-(TP*Co_1*lVE)-(TP*Co_2*lVE)-(TP*Co_3*lVE))*(H_4*hnh/(TP-H_1-H_2-H_3-(hnh*(H_1+H_2+H_3)))),0))</f>
        <v>0</v>
      </c>
      <c r="U15" s="86">
        <f>IF(ScI=1,H_5*hnh,IF(ScI=2,(TP-H_1-(((TP-H_1-(H_1*hnh)-(TP*Co_1*lVE))*H_2/(TP-H_1-(H_1*hnh))))-AP14-AQ14-(H_1*hnh)-((TP-H_1-(H_1*hnh)-(TP*Co_1*lVE))*H_2*hnh/(TP-H_1-(H_1*hnh)))-AP16-AQ16-(TP*Co_1*VE)-(TP*Co_2*lVE)-(TP*Co_3*lVE)-(TP*Co_4*lVE))*(H_5*hnh/(TP-H_1-H_2-H_3-H_4-(hnh*(H_1+H_2+H_3+H_4)))),0))</f>
        <v>0</v>
      </c>
      <c r="V15" s="86">
        <f>IF(ScI=1,H_6*hnh,IF(ScI=2,(TP-H_1-((TP-H_1-(H_1*hnh)-(TP*Co_1*lVE))*H_2/(TP-H_1-(H_1*hnh)))-AP14-AQ14-AR14-(H_1*hnh)-((TP-H_1-(H_1*hnh)-(TP*Co_1*lVE))*H_2*hnh/(TP-H_1-(H_1*hnh)))-AP16-AQ16-AR16-(TP*Co_1*lVE)-(TP*Co_2*lVE)-(TP*Co_3*lVE)-(TP*Co_4*lVE)-(TP*Co_5*lVE))*(H_6*hnh/(TP-H_1-H_2-H_3-H_4-H_5-(hnh*(H_1+H_2+H_3+H_4+H_5)))),0))</f>
        <v>0</v>
      </c>
      <c r="W15" s="86">
        <f>IF(ScI=1,H_7*hnh,IF(ScI=2,(TP-H_1-((TP-H_1-(H_1*hnh)-(TP*Co_1*lVE))*H_2/(TP-H_1-(H_1*hnh)))-AP14-AQ14-AR14-AS14-(H_1*hnh)-((TP-H_1-(H_1*hnh)-(TP*Co_1*lVE))*H_2*hnh/(TP-H_1-(H_1*hnh)))-AP16-AQ16-AR16-AS16-(TP*Co_1*lVE)-(TP*Co_2*lVE)-(TP*Co_3*lVE)-(TP*Co_4*lVE)-(TP*Co_5*lVE)-(TP*Co_6*lVE))*(H_7*hnh/(TP-H_1-H_2-H_3-H_4-H_5-H_6-(hnh*(H_1+H_2+H_3+H_4+H_5+H_6)))),0))</f>
        <v>0</v>
      </c>
      <c r="X15" s="86">
        <f>IF(ScI=1,H_8*hnh,IF(ScI=2,(TP-H_1-((TP-H_1-(H_1*hnh)-(TP*Co_1*lVE))*H_2/(TP-H_1-(H_1*hnh)))-AP14-AQ14-AR14-AS14-AT14-(H_1*hnh)-((TP-H_1-(H_1*hnh)-(TP*Co_1*lVE))*H_2*hnh/(TP-H_1-(H_1*hnh)))-AP16-AQ16-AR16-AS16-AT16-(TP*Co_1*lVE)-(TP*Co_2*lVE)-(TP*Co_3*lVE)-(TP*Co_4*lVE)-(TP*Co_5*lVE)-(TP*Co_6*lVE)-(TP*Co_7*lVE))*(H_8*hnh/(TP-H_1-H_2-H_3-H_4-H_5-H_6-H_7-(hnh*(H_1+H_2+H_3+H_4+H_5+H_6+H_7)))),0))</f>
        <v>0</v>
      </c>
      <c r="Y15" s="86">
        <f>IF(ScI=1,H_9*hnh,IF(ScI=2,(TP-H_1-((TP-H_1-(H_1*hnh)-(TP*Co_1*lVE))*H_2/(TP-H_1-(H_1*hnh)))-AP14-AQ14-AR14-AS14-AT14-AU14-(H_1*hnh)-((TP-H_1-(H_1*hnh)-(TP*Co_1*lVE))*H_2*hnh/(TP-H_1-(H_1*hnh)))-AP16-AQ16-AR16-AS16-AT16-AU16-(TP*Co_1*lVE)-(TP*Co_2*lVE)-(TP*Co_3*lVE)-(TP*Co_4*lVE)-(TP*Co_5*lVE)-(TP*Co_6*lVE)-(TP*Co_7*lVE)-(TP*Co_8*lVE))*(H_9*hnh/(TP-H_1-H_2-H_3-H_4-H_5-H_6-H_7-H_8-(hnh*(H_1+H_2+H_3+H_4+H_5+H_6+H_7+H_8)))),0))</f>
        <v>0</v>
      </c>
      <c r="Z15" s="86">
        <f>IF(ScI=1,H_10*hnh,IF(ScI=2,(TP-H_1-((TP-H_1-(H_1*hnh)-(TP*Co_1*lVE))*H_2/(TP-H_1-(H_1*hnh)))-AP14-AQ14-AR14-AS14-AT14-AU14-AV14-(H_1*hnh)-((TP-H_1-(H_1*hnh)-(TP*Co_1*lVE))*H_2*hnh/(TP-H_1-(H_1*hnh)))-AP16-AQ16-AR16-AS16-AT16-AU16-AV16-(TP*Co_1*lVE)-(TP*Co_2*lVE)-(TP*Co_3*lVE)-(TP*Co_4*lVE)-(TP*Co_5*lVE)-(TP*Co_6*lVE)-(TP*Co_7*lVE)-(TP*Co_8*lVE)-(TP*Co_9*lVE))*(H_10*hnh/(TP-H_1-H_2-H_3-H_4-H_5-H_6-H_7-H_8-H_9-(hnh*(H_1+H_2+H_3+H_4+H_5+H_6+H_7+H_8+H_9)))),0))</f>
        <v>0</v>
      </c>
      <c r="AA15" s="86">
        <f>IF(ScI=1,H_11*hnh,IF(ScI=2,(TP-H_1-((TP-H_1-(H_1*hnh)-(TP*Co_1*lVE))*H_2/(TP-H_1-(H_1*hnh)))-AP14-AQ14-AR14-AS14-AT14-AU14-AV14-AW14-(H_1*hnh)-((TP-H_1-(H_1*hnh)-(TP*Co_1*lVE))*H_2*hnh/(TP-H_1-(H_1*hnh)))-AP16-AQ16-AR16-AS16-AT16-AU16-AV16-AW16-(TP*Co_1*lVE)-(TP*Co_2*lVE)-(TP*Co_3*lVE)-(TP*Co_4*lVE)-(TP*Co_5*lVE)-(TP*Co_6*lVE)-(TP*Co_7*lVE)-(TP*Co_8*lVE)-(TP*Co_9*lVE)-(TP*Co_10*lVE))*(H_11*hnh/(TP-H_1-H_2-H_3-H_4-H_5-H_6-H_7-H_8-H_9-H_10-(hnh*(H_1+H_2+H_3+H_4+H_5+H_6+H_7+H_8+H_9+H_10)))),0))</f>
        <v>0</v>
      </c>
      <c r="AB15" s="86">
        <f>IF(ScI=1,H_12*hnh,IF(ScI=2,(TP-H_1-((TP-H_1-(H_1*hnh)-(TP*Co_1*lVE))*H_2/(TP-H_1-(H_1*hnh)))-AP14-AQ14-AR14-AS14-AT14-AU14-AV14-AW14-AX14-(H_1*hnh)-((TP-H_1-(H_1*hnh)-(TP*Co_1*lVE))*H_2*hnh/(TP-H_1-(H_1*hnh)))-AP16-AQ16-AR16-AS16-AT16-AU16-AV16-AW16-AX16-(TP*Co_1*lVE)-(TP*Co_2*lVE)-(TP*Co_3*lVE)-(TP*Co_4*lVE)-(TP*Co_5*lVE)-(TP*Co_6*lVE)-(TP*Co_7*lVE)-(TP*Co_8*lVE)-(TP*Co_9*lVE)-(TP*Co_10*lVE)-(TP*Co_11*lVE))*(H_12*hnh/(TP-H_1-H_2-H_3-H_4-H_5-H_6-H_7-H_8-H_9-H_10-H_11-(hnh*(H_1+H_2+H_3+H_4+H_5+H_6+H_7+H_8+H_9+H_10+H_11)))),0))</f>
        <v>0</v>
      </c>
      <c r="AC15" s="88">
        <f>IF(ScI=1,H_1*hnh,IF(ScI=2,H_1*hnh,0))</f>
        <v>0</v>
      </c>
      <c r="AD15" s="88" t="e">
        <f>IF(ScI=1,(TP-H_1-(H_1*hnh))*H_2*hnh/(TP-H_1-(H_1*hnh)-(TP*Co_1*lVE)),IF(ScI=2,H_2*hnh,0))</f>
        <v>#DIV/0!</v>
      </c>
      <c r="AE15" s="88" t="e">
        <f>IF(ScI=1,(TP-H_1-((TP-H_1-(H_1*hnh))*H_2/(TP-H_1-(H_1*hnh)-(TP*Co_1*lVE)))-(H_1*hnh)-((TP-H_1-(H_1*hnh))*H_2*hnh/(TP-H_1-(H_1*hnh)-(TP*Co_1*lVE))))*H_3*hnh/(TP-H_1-H_2-(hnh*(H_1+H_2))-(TP*lVE*(Co_1+Co_2))),IF(ScI=2,H_3*hnh,0))</f>
        <v>#DIV/0!</v>
      </c>
      <c r="AF15" s="88" t="e">
        <f>IF(ScI=1,(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IF(ScI=2,H_4*hnh,0))</f>
        <v>#DIV/0!</v>
      </c>
      <c r="AG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VE*(Co_1+Co_2)))))*H_4*hnh/(TP-H_1-H_2-H_3-(hnh*(H_1+H_2+H_3))-(TP*lVE*(Co_1+Co_2+Co_3)))))*H_5*hnh/(TP-H_1-H_2-H_3-H_4-(hnh*(H_1+H_2+H_3+H_4))-(TP*lVE*(Co_1+Co_2+Co_3+Co_4))),IF(ScI=2,H_5*hnh,0))</f>
        <v>#DIV/0!</v>
      </c>
      <c r="AH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H_6*hnh/(TP-H_1-H_2-H_3-H_4-H_5-(hnh*(H_1+H_2+H_3+H_4+H_5))-(TP*lVE*(Co_1+Co_2+Co_3+Co_4+Co_5))),IF(ScI=2,H_6*hnh,0))</f>
        <v>#DIV/0!</v>
      </c>
      <c r="AI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H_1*hnh)-((TP-H_1-(H_1*hnh))*H_2*hnh/(TP-H_1-(H_1*hnh)-(TP*Co_1*lVE)))-((TP-H_1-((TP-H_1-(H_1*hnh))*H_2/(TP-H_1-(H_1*hnh)-(TP*Co_1*lVE)))-(H_1*hnh)-((TP-H_1-(H_1*hnh))*H_2*hnh/(TP-H_1-(H_1*hnh)-(TP*Co_1*lVE))))*H_3*hnh/(TP-H_1-H_2-(hnh*(H_1+H_2))-(TP*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H_7*hnh/(TP-H_1-H_2-H_3-H_4-H_5-H_6-(hnh*(H_1+H_2+H_3+H_4+H_5+H_6))-(TP*lVE*(Co_1+Co_2+Co_3+Co_4+Co_5+Co_6))),IF(ScI=2,H_7*hnh,0))</f>
        <v>#DIV/0!</v>
      </c>
      <c r="AJ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H_1*hnh)-((TP-H_1-(H_1*hnh))*H_2*hnh/(TP-H_1-(H_1*hnh)-(TP*Co_1*lVE)))-((TP-H_1-((TP-H_1-(H_1*hnh))*H_2/(TP-H_1-(H_1*hnh)-(TP*Co_1*lVE)))-(H_1*hnh)-((TP-H_1-(H_1*hnh))*H_2*hnh/(TP-H_1-(H_1*hnh)-(TP*Co_1*lVE))))*H_3*hnh/(TP-H_1-H_2-(hnh*(H_1+H_2))-(TP*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VE*(Co_1+Co_2)))))*H_4*hnh/(TP-H_1-H_2-H_3-(hnh*(H_1+H_2+H_3))-(TP*lVE*(Co_1+Co_2+Co_3))))-AZ16-BA16-BB16)*H_8*hnh/(TP-H_1-H_2-H_3-H_4-H_5-H_6-H_7-(hnh*(H_1+H_2+H_3+H_4+H_5+H_6+H_7))-(TP*lVE*(Co_1+Co_2+Co_3+Co_4+Co_5+Co_6+Co_7))),IF(ScI=2,H_8*hnh,0))</f>
        <v>#DIV/0!</v>
      </c>
      <c r="AK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H_9*hnh/(TP-H_1-H_2-H_3-H_4-H_5-H_6-H_7-H_8-(hnh*(H_1+H_2+H_3+H_4+H_5+H_6+H_7+H_8))-(TP*lVE*(Co_1+Co_2+Co_3+Co_4+Co_5+Co_6+Co_7+Co_8))),IF(ScI=2,H_9*hnh,0))</f>
        <v>#DIV/0!</v>
      </c>
      <c r="AL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H_10*hnh/(TP-H_1-H_2-H_3-H_4-H_5-H_6-H_7-H_8-H_9-(hnh*(H_1+H_2+H_3+H_4+H_5+H_6+H_7+H_8+H_9))-(TP*lVE*(Co_1+Co_2+Co_3+Co_4+Co_5+Co_6+Co_7+Co_8+Co_9))),IF(ScI=2,H_10*hnh,0))</f>
        <v>#DIV/0!</v>
      </c>
      <c r="AM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H_11*hnh/(TP-H_1-H_2-H_3-H_4-H_5-H_6-H_7-H_8-H_9-H_10-(hnh*(H_1+H_2+H_3+H_4+H_5+H_6+H_7+H_8+H_9+H_10))-(TP*lVE*(Co_1+Co_2+Co_3+Co_4+Co_5+Co_6+Co_7+Co_8+Co_9+Co_10))),IF(ScI=2,H_11*hnh,0))</f>
        <v>#DIV/0!</v>
      </c>
      <c r="AN15" s="88" t="e">
        <f>IF(ScI=1,(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BF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BF16)*H_12*hnh/(TP-H_1-H_2-H_3-H_4-H_5-H_6-H_7-H_8-H_9-H_10-H_11-(hnh*(H_1+H_2+H_3+H_4+H_5+H_6+H_7+H_8+H_9+H_10+H_11))-(TP*lVE*(Co_1+Co_2+Co_3+Co_4+Co_5+Co_6+Co_7+Co_8+Co_9+Co_10+Co_11))),IF(ScI=2,H_12*hnh,0))</f>
        <v>#DIV/0!</v>
      </c>
      <c r="AP15" s="103" t="s">
        <v>82</v>
      </c>
      <c r="AQ15" s="103" t="s">
        <v>83</v>
      </c>
      <c r="AR15" s="103" t="s">
        <v>84</v>
      </c>
      <c r="AS15" s="103" t="s">
        <v>85</v>
      </c>
      <c r="AT15" s="103" t="s">
        <v>86</v>
      </c>
      <c r="AU15" s="103" t="s">
        <v>87</v>
      </c>
      <c r="AV15" s="103" t="s">
        <v>88</v>
      </c>
      <c r="AW15" s="103" t="s">
        <v>89</v>
      </c>
      <c r="AX15" s="103" t="s">
        <v>90</v>
      </c>
      <c r="AZ15" s="103" t="s">
        <v>106</v>
      </c>
      <c r="BA15" s="103" t="s">
        <v>92</v>
      </c>
      <c r="BB15" s="103" t="s">
        <v>98</v>
      </c>
      <c r="BC15" s="103" t="s">
        <v>99</v>
      </c>
      <c r="BD15" s="103" t="s">
        <v>100</v>
      </c>
      <c r="BE15" s="103" t="s">
        <v>101</v>
      </c>
      <c r="BF15" s="103" t="s">
        <v>102</v>
      </c>
    </row>
    <row r="16" spans="1:58" hidden="1" outlineLevel="1" x14ac:dyDescent="0.25">
      <c r="Q16" s="31"/>
      <c r="R16" s="97"/>
      <c r="S16" s="97"/>
      <c r="T16" s="97"/>
      <c r="U16" s="97"/>
      <c r="V16" s="97"/>
      <c r="W16" s="97"/>
      <c r="X16" s="97"/>
      <c r="Y16" s="97"/>
      <c r="Z16" s="97"/>
      <c r="AA16" s="97"/>
      <c r="AB16" s="97"/>
      <c r="AC16" s="98"/>
      <c r="AD16" s="98"/>
      <c r="AE16" s="98"/>
      <c r="AF16" s="98"/>
      <c r="AG16" s="98"/>
      <c r="AH16" s="98"/>
      <c r="AI16" s="98"/>
      <c r="AJ16" s="98"/>
      <c r="AK16" s="98"/>
      <c r="AL16" s="98"/>
      <c r="AM16" s="98"/>
      <c r="AN16" s="98"/>
      <c r="AP16" s="103" t="e">
        <f>((TP-H_1-((TP-H_1-(H_1*hnh)-(TP*Co_1*lVE))*H_2/(TP-H_1-(H_1*hnh)))-(H_1*hnh)-((TP-H_1-(H_1*hnh)-(TP*Co_1*lVE))*H_2*hnh/(TP-H_1-(H_1*hnh)))-(TP*Co_1*lVE)-(TP*Co_2*lVE))*(H_3*hnh/(TP-H_1-H_2-(hnh*(H_1+H_2)))))</f>
        <v>#DIV/0!</v>
      </c>
      <c r="AQ16" s="103" t="e">
        <f>(TP-H_1-((TP-H_1-(H_1*hnh)-(TP*Co_1*lVE))*H_2/(TP-H_1-(H_1*hnh)))-AP14-(H_1*hnh)-((TP-H_1-(H_1*hnh)-(TP*Co_1*lVE))*H_2*hnh/(TP-H_1-(H_1*hnh)))-AP16-(TP*Co_1*lVE)-(TP*Co_2*lVE)-(TP*Co_3*lVE))*(H_4*hnh/(TP-H_1-H_2-H_3-(hnh*(H_1+H_2+H_3))))</f>
        <v>#DIV/0!</v>
      </c>
      <c r="AR16" s="103" t="e">
        <f>(TP-H_1-((TP-H_1-(H_1*hnh)-(TP*Co_1*lVE))*H_2/(TP-H_1-(H_1*hnh)))-AP14-AQ14-(H_1*hnh)-((TP-H_1-(H_1*hnh)-(TP*Co_1*lVE))*H_2*hnh/(TP-H_1-(H_1*hnh)))-AP16-AQ16-(TP*Co_1*lVE)-(TP*Co_2*lVE)-(TP*Co_3*lVE)-(TP*Co_4*lVE))*(H_5*hnh/(TP-H_1-H_2-H_3-H_4-(hnh*(H_1+H_2+H_3+H_4))))</f>
        <v>#DIV/0!</v>
      </c>
      <c r="AS16" s="103" t="e">
        <f>(TP-H_1-((TP-H_1-(H_1*hnh)-(TP*Co_1*lVE))*H_2/(TP-H_1-(H_1*hnh)))-AP14-AQ14-AR14-(H_1*hnh)-((TP-H_1-(H_1*hnh)-(TP*Co_1*lVE))*H_2*hnh/(TP-H_1-(H_1*hnh)))-AP16-AQ16-AR16-(TP*Co_1*lVE)-(TP*Co_2*lVE)-(TP*Co_3*lVE)-(TP*Co_4*lVE)-(TP*Co_5*lVE))*(H_6*hnh/(TP-H_1-H_2-H_3-H_4-H_5-(hnh*(H_1+H_2+H_3+H_4+H_5))))</f>
        <v>#DIV/0!</v>
      </c>
      <c r="AT16" s="103" t="e">
        <f>(TP-H_1-((TP-H_1-(H_1*hnh)-(TP*Co_1*lVE))*H_2/(TP-H_1-(H_1*hnh)))-AP14-AQ14-AR14-AS14-(H_1*hnh)-((TP-H_1-(H_1*hnh)-(TP*Co_1*lVE))*H_2*hnh/(TP-H_1-(H_1*hnh)))-AP16-AQ16-AR16-AS16-(TP*Co_1*lVE)-(TP*Co_2*lVE)-(TP*Co_3*lVE)-(TP*Co_4*lVE)-(TP*Co_5*lVE)-(TP*Co_6*lVE))*(H_7*hnh/(TP-H_1-H_2-H_3-H_4-H_5-H_6-(hnh*(H_1+H_2+H_3+H_4+H_5+H_6))))</f>
        <v>#DIV/0!</v>
      </c>
      <c r="AU16" s="103" t="e">
        <f>(TP-H_1-((TP-H_1-(H_1*hnh)-(TP*Co_1*VE))*H_2/(TP-H_1-(H_1*hnh)))-AP14-AQ14-AR14-AS14-AT14-(H_1*hnh)-((TP-H_1-(H_1*hnh)-(TP*Co_1*lVE))*H_2*hnh/(TP-H_1-(H_1*hnh)))-AP16-AQ16-AR16-AS16-AT16-(TP*Co_1*lVE)-(TP*Co_2*lVE)-(TP*Co_3*lVE)-(TP*Co_4*lVE)-(TP*Co_5*lVE)-(TP*Co_6*lVE)-(TP*Co_7*lVE))*(H_8*hnh/(TP-H_1-H_2-H_3-H_4-H_5-H_6-H_7-(hnh*(H_1+H_2+H_3+H_4+H_5+H_6+H_7))))</f>
        <v>#DIV/0!</v>
      </c>
      <c r="AV16" s="103" t="e">
        <f>(TP-H_1-((TP-H_1-(H_1*hnh)-(TP*Co_1*lVE))*H_2/(TP-H_1-(H_1*hnh)))-AP14-AQ14-AR14-AS14-AT14-AU14-(H_1*hnh)-((TP-H_1-(H_1*hnh)-(TP*Co_1*lVE))*H_2*hnh/(TP-H_1-(H_1*hnh)))-AP16-AQ16-AR16-AS16-AT16-AU16-(TP*Co_1*lVE)-(TP*Co_2*lVE)-(TP*Co_3*lVE)-(TP*Co_4*lVE)-(TP*Co_5*lVE)-(TP*Co_6*lVE)-(TP*Co_7*lVE)-(TP*Co_8*lVE))*(H_9*hnh/(TP-H_1-H_2-H_3-H_4-H_5-H_6-H_7-H_8-(hnh*(H_1+H_2+H_3+H_4+H_5+H_6+H_7+H_8))))</f>
        <v>#DIV/0!</v>
      </c>
      <c r="AW16" s="103" t="e">
        <f>(TP-H_1-((TP-H_1-(H_1*hnh)-(TP*Co_1*lVE))*H_2/(TP-H_1-(H_1*hnh)))-AP14-AQ14-AR14-AS14-AT14-AU14-AV14-(H_1*hnh)-((TP-H_1-(H_1*hnh)-(TP*Co_1*lVE))*H_2*hnh/(TP-H_1-(H_1*hnh)))-AP16-AQ16-AR16-AS16-AT16-AU16-AV16-(TP*Co_1*lVE)-(TP*Co_2*lVE)-(TP*Co_3*lVE)-(TP*Co_4*lVE)-(TP*Co_5*lVE)-(TP*Co_6*lVE)-(TP*Co_7*lVE)-(TP*Co_8*lVE)-(TP*Co_9*lVE))*(H_10*hnh/(TP-H_1-H_2-H_3-H_4-H_5-H_6-H_7-H_8-H_9-(hnh*(H_1+H_2+H_3+H_4+H_5+H_6+H_7+H_8+H_9))))</f>
        <v>#DIV/0!</v>
      </c>
      <c r="AX16" s="103" t="e">
        <f>(TP-H_1-((TP-H_1-(H_1*hnh)-(TP*Co_1*lVE))*H_2/(TP-H_1-(H_1*hnh)))-AP14-AQ14-AR14-AS14-AT14-AU14-AV14-AW14-(H_1*hnh)-((TP-H_1-(H_1*hnh)-(TP*Co_1*lVE))*H_2*hnh/(TP-H_1-(H_1*hnh)))-AP16-AQ16-AR16-AS16-AT16-AU16-AV16-AW16-(TP*Co_1*lVE)-(TP*Co_2*lVE)-(TP*Co_3*lVE)-(TP*Co_4*lVE)-(TP*Co_5*lVE)-(TP*Co_6*lVE)-(TP*Co_7*lVE)-(TP*Co_8*lVE)-(TP*Co_9*lVE)-(TP*Co_10*lVE))*(H_11*hnh/(TP-H_1-H_2-H_3-H_4-H_5-H_6-H_7-H_8-H_9-H_10-(hnh*(H_1+H_2+H_3+H_4+H_5+H_6+H_7+H_8+H_9+H_10))))</f>
        <v>#DIV/0!</v>
      </c>
      <c r="AZ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H_5*hnh/(TP-H_1-H_2-H_3-H_4-(hnh*(H_1+H_2+H_3+H_4))-(TP*lVE*(Co_1+Co_2+Co_3+Co_4)))</f>
        <v>#DIV/0!</v>
      </c>
      <c r="BA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H_6*hnh/(TP-H_1-H_2-H_3-H_4-H_5-(hnh*(H_1+H_2+H_3+H_4+H_5))-(TP*lVE*(Co_1+Co_2+Co_3+Co_4+Co_5)))</f>
        <v>#DIV/0!</v>
      </c>
      <c r="BB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H_7*hnh/(TP-H_1-H_2-H_3-H_4-H_5-H_6-(hnh*(H_1+H_2+H_3+H_4+H_5+H_6))-(TP*lVE*(Co_1+Co_2+Co_3+Co_4+Co_5+Co_6)))</f>
        <v>#DIV/0!</v>
      </c>
      <c r="BC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H_8*hnh/(TP-H_1-H_2-H_3-H_4-H_5-H_6-H_7-(hnh*(H_1+H_2+H_3+H_4+H_5+H_6+H_7))-(TP*lVE*(Co_1+Co_2+Co_3+Co_4+Co_5+Co_6+Co_7)))</f>
        <v>#DIV/0!</v>
      </c>
      <c r="BD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H_9*hnh/(TP-H_1-H_2-H_3-H_4-H_5-H_6-H_7-H_8-(hnh*(H_1+H_2+H_3+H_4+H_5+H_6+H_7+H_8))-(TP*lVE*(Co_1+Co_2+Co_3+Co_4+Co_5+Co_6+Co_7+Co_8)))</f>
        <v>#DIV/0!</v>
      </c>
      <c r="BE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H_10*hnh/(TP-H_1-H_2-H_3-H_4-H_5-H_6-H_7-H_8-H_9-(hnh*(H_1+H_2+H_3+H_4+H_5+H_6+H_7+H_8+H_9))-(TP*lVE*(Co_1+Co_2+Co_3+Co_4+Co_5+Co_6+Co_7+Co_8+Co_9)))</f>
        <v>#DIV/0!</v>
      </c>
      <c r="BF16" s="103" t="e">
        <f>(TP-H_1-((TP-H_1-(H_1*hnh))*H_2/(TP-H_1-(H_1*hnh)-(TP*Co_1*lVE)))-((TP-H_1-((TP-H_1-(H_1*hnh))*H_2/(TP-H_1-(H_1*hnh)-(TP*Co_1*lVE)))-(H_1*hnh)-((TP-H_1-(H_1*hnh))*H_2*hnh/(TP-H_1-(H_1*hnh)-(TP*Co_1*lVE))))*H_3/(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TP-H_1-H_2-H_3-(hnh*(H_1+H_2+H_3))-(TP*lVE*(Co_1+Co_2+Co_3))))-AZ14-BA14-BB14-BC14-BD14-BE14-(H_1*hnh)-((TP-H_1-(H_1*hnh))*H_2*hnh/(TP-H_1-(H_1*hnh)-(TP*Co_1*lVE)))-((TP-H_1-((TP-H_1-(H_1*hnh))*H_2/(TP-H_1-(H_1*hnh)-(TP*Co_1*lVE)))-(H_1*hnh)-((TP-H_1-(H_1*hnh))*H_2*hnh/(TP-H_1-(H_1*hnh)-(TP*Co_1*lVE))))*H_3*hnh/(TP-H_1-H_2-(hnh*(H_1+H_2))-(TP*lVE*(Co_1+Co_2))))-((TP-H_1-((TP-H_1-(H_1*hnh))*H_2/(TP-H_1-(H_1*hnh)-(TP*Co_1*lVE)))-((TP-H_1-((TP-H_1-(H_1*hnh))*H_2/(TP-H_1-(H_1*hnh)-(TP*Co_1*lVE)))-(H_1*hnh)-((TP-H_1-(H_1*hnh))*H_2*hnh/(TP-H_1-(H_1*hnh)-(TP*Co_1*lVE))))*H_3/(TP-H_1-H_2-(hnh*(H_1+H_2))-(TP*lVE*(Co_1+Co_2))))-(H_1*hnh)-((TP-H_1-(H_1*hnh))*H_2*hnh/(TP-H_1-(H_1*hnh)-(TP*Co_1*lVE)))-((TP-H_1-((TP-H_1-(H_1*hnh))*H_2/(TP-H_1-(H_1*hnh)-(TP*Co_1*lVE)))-(H_1*hnh)-((TP-H_1-(H_1*hnh))*H_2*hnh/(TP-H_1-(H_1*hnh)-(TP*Co_1*lVE))))*H_3*hnh/(TP-H_1-H_2-(hnh*(H_1+H_2))-(TP*lVE*(Co_1+Co_2)))))*H_4*hnh/(TP-H_1-H_2-H_3-(hnh*(H_1+H_2+H_3))-(TP*lVE*(Co_1+Co_2+Co_3))))-AZ16-BA16-BB16-BC16-BD16-BE16)*H_11*hnh/(TP-H_1-H_2-H_3-H_4-H_5-H_6-H_7-H_8-H_9-H_10-(hnh*(H_1+H_2+H_3+H_4+H_5+H_6+H_7+H_8+H_9+H_10))-(TP*lVE*(Co_1+Co_2+Co_3+Co_4+Co_5+Co_6+Co_7+Co_8+Co_9+Co_10)))</f>
        <v>#DIV/0!</v>
      </c>
    </row>
    <row r="17" spans="1:58" hidden="1" outlineLevel="1" x14ac:dyDescent="0.25">
      <c r="F17" s="106"/>
      <c r="G17" s="31"/>
      <c r="H17" s="31"/>
      <c r="I17" s="31"/>
      <c r="J17" s="31"/>
      <c r="K17" s="31"/>
      <c r="L17" s="31"/>
      <c r="M17" s="31"/>
      <c r="N17" s="31"/>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row>
    <row r="18" spans="1:58" hidden="1" outlineLevel="1" x14ac:dyDescent="0.25"/>
    <row r="19" spans="1:58" collapsed="1" x14ac:dyDescent="0.25"/>
    <row r="20" spans="1:58" s="105" customFormat="1" x14ac:dyDescent="0.25">
      <c r="A20" s="104" t="s">
        <v>110</v>
      </c>
      <c r="B20" s="104"/>
    </row>
    <row r="21" spans="1:58" hidden="1" outlineLevel="1" x14ac:dyDescent="0.25">
      <c r="Q21" s="369" t="s">
        <v>72</v>
      </c>
      <c r="R21" s="369"/>
      <c r="S21" s="369"/>
      <c r="T21" s="369"/>
      <c r="U21" s="369"/>
      <c r="V21" s="369"/>
      <c r="W21" s="369"/>
      <c r="X21" s="369"/>
      <c r="Y21" s="369"/>
      <c r="Z21" s="369"/>
      <c r="AA21" s="369"/>
      <c r="AB21" s="369"/>
      <c r="AC21" s="370" t="s">
        <v>104</v>
      </c>
      <c r="AD21" s="370"/>
      <c r="AE21" s="370"/>
      <c r="AF21" s="370"/>
      <c r="AG21" s="370"/>
      <c r="AH21" s="370"/>
      <c r="AI21" s="370"/>
      <c r="AJ21" s="370"/>
      <c r="AK21" s="370"/>
      <c r="AL21" s="370"/>
      <c r="AM21" s="370"/>
      <c r="AN21" s="370"/>
      <c r="AP21" s="103">
        <v>3</v>
      </c>
      <c r="AQ21" s="103">
        <v>4</v>
      </c>
      <c r="AR21" s="103">
        <v>5</v>
      </c>
      <c r="AS21" s="103">
        <v>6</v>
      </c>
      <c r="AT21" s="103">
        <v>7</v>
      </c>
      <c r="AU21" s="103">
        <v>8</v>
      </c>
      <c r="AV21" s="103">
        <v>9</v>
      </c>
      <c r="AW21" s="103">
        <v>10</v>
      </c>
      <c r="AX21" s="103">
        <v>11</v>
      </c>
      <c r="AZ21" s="103">
        <v>5</v>
      </c>
      <c r="BA21" s="103">
        <v>6</v>
      </c>
      <c r="BB21" s="103">
        <v>7</v>
      </c>
      <c r="BC21" s="103">
        <v>8</v>
      </c>
      <c r="BD21" s="103">
        <v>9</v>
      </c>
      <c r="BE21" s="103">
        <v>10</v>
      </c>
      <c r="BF21" s="103">
        <v>11</v>
      </c>
    </row>
    <row r="22" spans="1:58" ht="45" hidden="1" outlineLevel="1" x14ac:dyDescent="0.25">
      <c r="A22" s="11" t="s">
        <v>47</v>
      </c>
      <c r="B22" s="11"/>
      <c r="C22" s="11"/>
      <c r="D22" s="11"/>
      <c r="E22" s="11"/>
      <c r="F22" s="11"/>
      <c r="G22" s="371" t="s">
        <v>50</v>
      </c>
      <c r="H22" s="371"/>
      <c r="I22" s="372" t="s">
        <v>44</v>
      </c>
      <c r="J22" s="372"/>
      <c r="K22" s="370" t="s">
        <v>58</v>
      </c>
      <c r="L22" s="370"/>
      <c r="M22" s="372" t="s">
        <v>45</v>
      </c>
      <c r="N22" s="372"/>
      <c r="Q22" s="369" t="s">
        <v>1</v>
      </c>
      <c r="R22" s="369"/>
      <c r="S22" s="369"/>
      <c r="T22" s="369"/>
      <c r="U22" s="369"/>
      <c r="V22" s="369"/>
      <c r="W22" s="369"/>
      <c r="X22" s="369"/>
      <c r="Y22" s="369"/>
      <c r="Z22" s="369"/>
      <c r="AA22" s="369"/>
      <c r="AB22" s="369"/>
      <c r="AC22" s="370" t="s">
        <v>71</v>
      </c>
      <c r="AD22" s="370"/>
      <c r="AE22" s="370"/>
      <c r="AF22" s="370"/>
      <c r="AG22" s="370"/>
      <c r="AH22" s="370"/>
      <c r="AI22" s="370"/>
      <c r="AJ22" s="370"/>
      <c r="AK22" s="370"/>
      <c r="AL22" s="370"/>
      <c r="AM22" s="370"/>
      <c r="AN22" s="370"/>
      <c r="AP22" s="103" t="s">
        <v>73</v>
      </c>
      <c r="AQ22" s="103" t="s">
        <v>74</v>
      </c>
      <c r="AR22" s="103" t="s">
        <v>75</v>
      </c>
      <c r="AS22" s="103" t="s">
        <v>76</v>
      </c>
      <c r="AT22" s="103" t="s">
        <v>77</v>
      </c>
      <c r="AU22" s="103" t="s">
        <v>78</v>
      </c>
      <c r="AV22" s="103" t="s">
        <v>79</v>
      </c>
      <c r="AW22" s="103" t="s">
        <v>80</v>
      </c>
      <c r="AX22" s="103" t="s">
        <v>81</v>
      </c>
      <c r="AZ22" s="103" t="s">
        <v>105</v>
      </c>
      <c r="BA22" s="103" t="s">
        <v>91</v>
      </c>
      <c r="BB22" s="103" t="s">
        <v>93</v>
      </c>
      <c r="BC22" s="103" t="s">
        <v>94</v>
      </c>
      <c r="BD22" s="103" t="s">
        <v>95</v>
      </c>
      <c r="BE22" s="103" t="s">
        <v>96</v>
      </c>
      <c r="BF22" s="103" t="s">
        <v>97</v>
      </c>
    </row>
    <row r="23" spans="1:58" ht="45" hidden="1" outlineLevel="1" x14ac:dyDescent="0.25">
      <c r="A23" s="70" t="s">
        <v>40</v>
      </c>
      <c r="B23" s="70" t="s">
        <v>41</v>
      </c>
      <c r="C23" s="70" t="s">
        <v>53</v>
      </c>
      <c r="D23" s="70" t="s">
        <v>48</v>
      </c>
      <c r="E23" s="70" t="s">
        <v>42</v>
      </c>
      <c r="F23" s="76" t="s">
        <v>49</v>
      </c>
      <c r="G23" s="71" t="s">
        <v>51</v>
      </c>
      <c r="H23" s="71" t="s">
        <v>52</v>
      </c>
      <c r="I23" s="72" t="s">
        <v>51</v>
      </c>
      <c r="J23" s="72" t="s">
        <v>52</v>
      </c>
      <c r="K23" s="77" t="s">
        <v>51</v>
      </c>
      <c r="L23" s="77" t="s">
        <v>52</v>
      </c>
      <c r="M23" s="72" t="s">
        <v>51</v>
      </c>
      <c r="N23" s="72" t="s">
        <v>52</v>
      </c>
      <c r="Q23" s="102">
        <v>1</v>
      </c>
      <c r="R23" s="102">
        <v>2</v>
      </c>
      <c r="S23" s="102">
        <v>3</v>
      </c>
      <c r="T23" s="102">
        <v>4</v>
      </c>
      <c r="U23" s="102">
        <v>5</v>
      </c>
      <c r="V23" s="102">
        <v>6</v>
      </c>
      <c r="W23" s="102">
        <v>7</v>
      </c>
      <c r="X23" s="102">
        <v>8</v>
      </c>
      <c r="Y23" s="102">
        <v>9</v>
      </c>
      <c r="Z23" s="102">
        <v>10</v>
      </c>
      <c r="AA23" s="102">
        <v>11</v>
      </c>
      <c r="AB23" s="102">
        <v>12</v>
      </c>
      <c r="AC23" s="101">
        <v>1</v>
      </c>
      <c r="AD23" s="101">
        <v>2</v>
      </c>
      <c r="AE23" s="101">
        <v>3</v>
      </c>
      <c r="AF23" s="101">
        <v>4</v>
      </c>
      <c r="AG23" s="101">
        <v>5</v>
      </c>
      <c r="AH23" s="101">
        <v>6</v>
      </c>
      <c r="AI23" s="101">
        <v>7</v>
      </c>
      <c r="AJ23" s="101">
        <v>8</v>
      </c>
      <c r="AK23" s="101">
        <v>9</v>
      </c>
      <c r="AL23" s="101">
        <v>10</v>
      </c>
      <c r="AM23" s="101">
        <v>11</v>
      </c>
      <c r="AN23" s="101">
        <v>12</v>
      </c>
      <c r="AP23" s="103" t="e">
        <f>((TP-H_1-((TP-H_1-(H_1*hnh)-(TP*Co_1*uVE))*H_2/(TP-H_1-(H_1*hnh)))-(H_1*hnh)-((TP-H_1-(H_1*hnh)-(TP*Co_1*uVE))*H_2*hnh/(TP-H_1-(H_1*hnh)))-(TP*Co_1*uVE)-(TP*Co_2*uVE))*(H_3/(TP-H_1-H_2-(hnh*(H_1+H_2)))))</f>
        <v>#DIV/0!</v>
      </c>
      <c r="AQ23" s="103" t="e">
        <f>(TP-H_1-((TP-H_1-(H_1*hnh)-(TP*Co_1*uVE))*H_2/(TP-H_1-(H_1*hnh)))-AP23-(H_1*hnh)-((TP-H_1-(H_1*hnh)-(TP*Co_1*uVE))*H_2*hnh/(TP-H_1-(H_1*hnh)))-AP25-(TP*Co_1*uVE)-(TP*Co_2*uVE)-(TP*Co_3*uVE))*(H_4/(TP-H_1-H_2-H_3-(hnh*(H_1+H_2+H_3))))</f>
        <v>#DIV/0!</v>
      </c>
      <c r="AR23" s="103" t="e">
        <f>(TP-H_1-((TP-H_1-(H_1*hnh)-(TP*Co_1*uVE))*H_2/(TP-H_1-(H_1*hnh)))-AP23-AQ23-(H_1*hnh)-((TP-H_1-(H_1*hnh)-(TP*Co_1*uVE))*H_2*hnh/(TP-H_1-(H_1*hnh)))-AP25-AQ25-(TP*Co_1*uVE)-(TP*Co_2*uVE)-(TP*Co_3*uVE)-(TP*Co_4*uVE))*(H_5/(TP-H_1-H_2-H_3-H_4-(hnh*(H_1+H_2+H_3+H_4))))</f>
        <v>#DIV/0!</v>
      </c>
      <c r="AS23" s="103" t="e">
        <f>(TP-H_1-((TP-H_1-(H_1*hnh)-(TP*Co_1*uVE))*H_2/(TP-H_1-(H_1*hnh)))-AP23-AQ23-AR23-(H_1*hnh)-((TP-H_1-(H_1*hnh)-(TP*Co_1*uVE))*H_2*hnh/(TP-H_1-(H_1*hnh)))-AP25-AQ25-AR25-(TP*Co_1*uVE)-(TP*Co_2*uVE)-(TP*Co_3*uVE)-(TP*Co_4*uVE)-(TP*Co_5*uVE))*(H_6/(TP-H_1-H_2-H_3-H_4-H_5-(hnh*(H_1+H_2+H_3+H_4+H_5))))</f>
        <v>#DIV/0!</v>
      </c>
      <c r="AT23" s="103" t="e">
        <f>(TP-H_1-((TP-H_1-(H_1*hnh)-(TP*Co_1*uVE))*H_2/(TP-H_1-(H_1*hnh)))-AP23-AQ23-AR23-AS23-(H_1*hnh)-((TP-H_1-(H_1*hnh)-(TP*Co_1*uVE))*H_2*hnh/(TP-H_1-(H_1*hnh)))-AP25-AQ25-AR25-AS25-(TP*Co_1*uVE)-(TP*Co_2*uVE)-(TP*Co_3*uVE)-(TP*Co_4*uVE)-(TP*Co_5*uVE)-(TP*Co_6*uVE))*(H_7/(TP-H_1-H_2-H_3-H_4-H_5-H_6-(hnh*(H_1+H_2+H_3+H_4+H_5+H_6))))</f>
        <v>#DIV/0!</v>
      </c>
      <c r="AU23" s="103" t="e">
        <f>(TP-H_1-((TP-H_1-(H_1*hnh)-(TP*Co_1*uVE))*H_2/(TP-H_1-(H_1*hnh)))-AP23-AQ23-AR23-AS23-AT23-(H_1*hnh)-((TP-H_1-(H_1*hnh)-(TP*Co_1*uVE))*H_2*hnh/(TP-H_1-(H_1*hnh)))-AP25-AQ25-AR25-AS25-AT25-(TP*Co_1*uVE)-(TP*Co_2*uVE)-(TP*Co_3*uVE)-(TP*Co_4*uVE)-(TP*Co_5*uVE)-(TP*Co_6*uVE)-(TP*Co_7*uVE))*(H_8/(TP-H_1-H_2-H_3-H_4-H_5-H_6-H_7-(hnh*(H_1+H_2+H_3+H_4+H_5+H_6+H_7))))</f>
        <v>#DIV/0!</v>
      </c>
      <c r="AV23" s="103" t="e">
        <f>(TP-H_1-((TP-H_1-(H_1*hnh)-(TP*Co_1*uVE))*H_2/(TP-H_1-(H_1*hnh)))-AP23-AQ23-AR23-AS23-AT23-AU23-(H_1*hnh)-((TP-H_1-(H_1*hnh)-(TP*Co_1*uVE))*H_2*hnh/(TP-H_1-(H_1*hnh)))-AP25-AQ25-AR25-AS25-AT25-AU25-(TP*Co_1*uVE)-(TP*Co_2*uVE)-(TP*Co_3*uVE)-(TP*Co_4*uVE)-(TP*Co_5*uVE)-(TP*Co_6*uVE)-(TP*Co_7*uVE)-(TP*Co_8*uVE))*(H_9/(TP-H_1-H_2-H_3-H_4-H_5-H_6-H_7-H_8-(hnh*(H_1+H_2+H_3+H_4+H_5+H_6+H_7+H_8))))</f>
        <v>#DIV/0!</v>
      </c>
      <c r="AW23" s="103" t="e">
        <f>(TP-H_1-((TP-H_1-(H_1*hnh)-(TP*Co_1*uVE))*H_2/(TP-H_1-(H_1*hnh)))-AP23-AQ23-AR23-AS23-AT23-AU23-AV23-(H_1*hnh)-((TP-H_1-(H_1*hnh)-(TP*Co_1*uVE))*H_2*hnh/(TP-H_1-(H_1*hnh)))-AP25-AQ25-AR25-AS25-AT25-AU25-AV25-(TP*Co_1*uVE)-(TP*Co_2*uVE)-(TP*Co_3*uVE)-(TP*Co_4*uVE)-(TP*Co_5*uVE)-(TP*Co_6*uVE)-(TP*Co_7*uVE)-(TP*Co_8*uVE)-(TP*Co_9*uVE))*(H_10/(TP-H_1-H_2-H_3-H_4-H_5-H_6-H_7-H_8-H_9-(hnh*(H_1+H_2+H_3+H_4+H_5+H_6+H_7+H_8+H_9))))</f>
        <v>#DIV/0!</v>
      </c>
      <c r="AX23" s="103" t="e">
        <f>(TP-H_1-((TP-H_1-(H_1*hnh)-(TP*Co_1*uVE))*H_2/(TP-H_1-(H_1*hnh)))-AP23-AQ23-AR23-AS23-AT23-AU23-AV23-AW23-(H_1*hnh)-((TP-H_1-(H_1*hnh)-(TP*Co_1*uVE))*H_2*hnh/(TP-H_1-(H_1*hnh)))-AP25-AQ25-AR25-AS25-AT25-AU25-AV25-AW25-(TP*Co_1*uVE)-(TP*Co_2*uVE)-(TP*Co_3*uVE)-(TP*Co_4*uVE)-(TP*Co_5*uVE)-(TP*Co_6*uVE)-(TP*Co_7*uVE)-(TP*Co_8*uVE)-(TP*Co_9*uVE)-(TP*Co_10*uVE))*(H_11/(TP-H_1-H_2-H_3-H_4-H_5-H_6-H_7-H_8-H_9-H_10-(hnh*(H_1+H_2+H_3+H_4+H_5+H_6+H_7+H_8+H_9+H_10))))</f>
        <v>#DIV/0!</v>
      </c>
      <c r="AZ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H_5/(TP-H_1-H_2-H_3-H_4-(hnh*(H_1+H_2+H_3+H_4))-(TP*uVE*(Co_1+Co_2+Co_3+Co_4)))</f>
        <v>#DIV/0!</v>
      </c>
      <c r="BA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H_6/(TP-H_1-H_2-H_3-H_4-H_5-(hnh*(H_1+H_2+H_3+H_4+H_5))-(TP*uVE*(Co_1+Co_2+Co_3+Co_4+Co_5)))</f>
        <v>#DIV/0!</v>
      </c>
      <c r="BB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H_7/(TP-H_1-H_2-H_3-H_4-H_5-H_6-(hnh*(H_1+H_2+H_3+H_4+H_5+H_6))-(TP*uVE*(Co_1+Co_2+Co_3+Co_4+Co_5+Co_6)))</f>
        <v>#DIV/0!</v>
      </c>
      <c r="BC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H_8/(TP-H_1-H_2-H_3-H_4-H_5-H_6-H_7-(hnh*(H_1+H_2+H_3+H_4+H_5+H_6+H_7))-(TP*uVE*(Co_1+Co_2+Co_3+Co_4+Co_5+Co_6+Co_7)))</f>
        <v>#DIV/0!</v>
      </c>
      <c r="BD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H_9/(TP-H_1-H_2-H_3-H_4-H_5-H_6-H_7-H_8-(hnh*(H_1+H_2+H_3+H_4+H_5+H_6+H_7+H_8))-(TP*uVE*(Co_1+Co_2+Co_3+Co_4+Co_5+Co_6+Co_7+Co_8)))</f>
        <v>#DIV/0!</v>
      </c>
      <c r="BE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H_10/(TP-H_1-H_2-H_3-H_4-H_5-H_6-H_7-H_8-H_9-(hnh*(H_1+H_2+H_3+H_4+H_5+H_6+H_7+H_8+H_9))-(TP*uVE*(Co_1+Co_2+Co_3+Co_4+Co_5+Co_6+Co_7+Co_8+Co_9)))</f>
        <v>#DIV/0!</v>
      </c>
      <c r="BF23"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H_11/(TP-H_1-H_2-H_3-H_4-H_5-H_6-H_7-H_8-H_9-H_10-(hnh*(H_1+H_2+H_3+H_4+H_5+H_6+H_7+H_8+H_9+H_10))-(TP*uVE*(Co_1+Co_2+Co_3+Co_4+Co_5+Co_6+Co_7+Co_8+Co_9+Co_10)))</f>
        <v>#DIV/0!</v>
      </c>
    </row>
    <row r="24" spans="1:58" hidden="1" outlineLevel="1" x14ac:dyDescent="0.25">
      <c r="A24" s="73">
        <f>season</f>
        <v>0</v>
      </c>
      <c r="B24" s="73">
        <f>TG</f>
        <v>0</v>
      </c>
      <c r="C24" s="73">
        <f>TP</f>
        <v>0</v>
      </c>
      <c r="D24" s="74">
        <f>TCv</f>
        <v>0</v>
      </c>
      <c r="E24" s="75">
        <f>uVE</f>
        <v>0</v>
      </c>
      <c r="F24" s="78" t="e">
        <f>G24/IF(mb=1,SUM(AC24:AN24),IF(mb=2,SUM(AD24:AN24),IF(mb=3,SUM(AE24:AN24),IF(mb=4,SUM(AF24:AN24),IF(mb=5,SUM(AG24:AN24),IF(mb=6,SUM(AH24:AN24),IF(mb=7,SUM(AI24:AN24),IF(mb=8,SUM(AJ24:AN24),0))))))))</f>
        <v>#DIV/0!</v>
      </c>
      <c r="G24" s="42" t="e">
        <f>SUM(AC24:AN24)-SUM(Q24:AB24)</f>
        <v>#DIV/0!</v>
      </c>
      <c r="H24" s="96" t="e">
        <f>1/(uVE*IF(mb=1,SUM(AC24:AN24),IF(mb=2,SUM(AD24:AN24),IF(mb=3,SUM(AE24:AN24),IF(mb=4,SUM(AF24:AN24),IF(mb=5,SUM(AG24:AN24),IF(mb=6,SUM(AH24:AN24),IF(mb=7,SUM(AI24:AN24),IF(mb=8,SUM(AC24:AN24),0))))))))/TP)</f>
        <v>#DIV/0!</v>
      </c>
      <c r="I24" s="93" t="e">
        <f>G24/hnh</f>
        <v>#DIV/0!</v>
      </c>
      <c r="J24" s="42" t="e">
        <f>1/(uVE*IF(mb=1,SUM(AC24:AN24),IF(mb=2,SUM(AD24:AN24),IF(mb=3,SUM(AE24:AN24),IF(mb=4,SUM(AF24:AN24),IF(mb=5,SUM(AG24:AN24),IF(mb=6,SUM(AH24:AN24),IF(mb=7,SUM(AI24:AN24),IF(mb=8,SUM(AJ24:AN24),0))))))))/(TP*hnh))</f>
        <v>#DIV/0!</v>
      </c>
      <c r="K24" s="42" t="e">
        <f>M24*mai</f>
        <v>#DIV/0!</v>
      </c>
      <c r="L24" s="42" t="e">
        <f>1/(uVE*((IF(mb=1,SUM(AC24:AN24),IF(mb=2,SUM(AD24:AN24),IF(mb=3,SUM(AE24:AN24),IF(mb=4,SUM(AF24:AN24),IF(mb=5,SUM(AG24:AN24),IF(mb=6,SUM(AH24:AN24),IF(mb=7,SUM(AI24:AN24),IF(mb=8,SUM(AJ24:AN24),0))))))))+(IF(mb=1,SUM(AC24:AN24),IF(mb=2,SUM(AD24:AN24),IF(mb=3,SUM(AE24:AN24),IF(mb=4,SUM(AF24:AN24),IF(mb=5,SUM(AG24:AN24),IF(mb=6,SUM(AH24:AN24),IF(mb=7,SUM(AI24:AN24),IF(mb=8,SUM(AJ24:AN24),0)))))))))/hnh)*mai)/TP)</f>
        <v>#DIV/0!</v>
      </c>
      <c r="M24" s="42" t="e">
        <f>G24+I24</f>
        <v>#DIV/0!</v>
      </c>
      <c r="N24" s="42" t="e">
        <f>1/(uVE*(IF(mb=1,SUM(AC24:AN24),IF(mb=2,SUM(AD24:AN24),IF(mb=3,SUM(AE24:AN24),IF(mb=4,SUM(AF24:AN24),IF(mb=5,SUM(AG24:AN24),IF(mb=6,SUM(AH24:AN24),IF(mb=7,SUM(AI24:AN24),IF(mb=8,SUM(AC24:AN24),0))))))))+(IF(mb=1,SUM(AC24:AN24),IF(mb=2,SUM(AD24:AN24),IF(mb=3,SUM(AE24:AN24),IF(mb=4,SUM(AF24:AN24),IF(mb=5,SUM(AG24:AN24),IF(mb=6,SUM(AH24:AN24),IF(mb=7,SUM(AI24:AN24),IF(mb=8,SUM(AC24:AN24),0)))))))))/hnh)/TP)</f>
        <v>#DIV/0!</v>
      </c>
      <c r="Q24" s="86">
        <f>IF(ISc=1,H_1*hnh,IF(ISc=2,H_1*hnh,0))</f>
        <v>0</v>
      </c>
      <c r="R24" s="86">
        <f>IF(ScI=1,H_2*hnh,IF(ScI=2,(TP-H_1-(H_1*hnh)-(TP*Co_1*uVE))*(H_2*hnh/(TP-H_1-(H_1*hnh))),0))</f>
        <v>0</v>
      </c>
      <c r="S24" s="86">
        <f>IF(ScI=1,H_3*hnh,IF(ScI=2,(TP-H_1-((TP-H_1-(H_1*hnh)-(TP*Co_1*uVE))*H_2/(TP-H_1-(H_1*hnh)))-(H_1*hnh)-((TP-H_1-(H_1*hnh)-(TP*Co_1*uVE))*H_2*hnh/(TP-H_1-(H_1*hnh)))-(TP*Co_1*uVE)-(TP*Co_2*uVE))*(H_3*hnh/(TP-H_1-H_2-(hnh*(H_1+H_2)))),0))</f>
        <v>0</v>
      </c>
      <c r="T24" s="86">
        <f>IF(ScI=1,H_4*hnh,IF(ScI=2,(TP-H_1-((TP-H_1-(H_1*hnh)-(TP*Co_1*uVE))*H_2/(TP-H_1-(H_1*hnh)))-((TP-H_1-(((TP-H_1-(H_1*hnh)-(TP*Co_1*uVE))*H_2/(TP-H_1-(H_1*hnh))))-(H_1*hnh)-((TP-H_1-(H_1*hnh)-(TP*Co_1*uVE))*H_2*hnh/(TP-H_1-(H_1*hnh)))-(TP*Co_1*VE)-(TP*Co_2*uVE))*(H_3/(TP-H_1-H_2-(hnh*(H_1+H_2)))))-(H_1*hnh)-((TP-H_1-(H_1*hnh)-(TP*Co_1*uVE))*H_2*hnh/(TP-H_1-(H_1*hnh)))-((TP-H_1-(((TP-H_1-(H_1*hnh)-(TP*Co_1*uVE))*H_2/(TP-H_1-(H_1*hnh))))-(H_1*hnh)-(((TP-H_1-(H_1*hnh)-(TP*Co_1*uVE))*H_2*hnh/(TP-H_1-(H_1*hnh))))-(TP*Co_1*uVE)-(TP*Co_2*uVE))*(H_3*hnh/(TP-H_1-H_2-(hnh*(H_1+H_2)))))-(TP*Co_1*uVE)-(TP*Co_2*uVE)-(TP*Co_3*uVE))*(H_4*hnh/(TP-H_1-H_2-H_3-(hnh*(H_1+H_2+H_3)))),0))</f>
        <v>0</v>
      </c>
      <c r="U24" s="86">
        <f>IF(ScI=1,H_5*hnh,IF(ScI=2,(TP-H_1-(((TP-H_1-(H_1*hnh)-(TP*Co_1*uVE))*H_2/(TP-H_1-(H_1*hnh))))-AP23-AQ23-(H_1*hnh)-((TP-H_1-(H_1*hnh)-(TP*Co_1*uVE))*H_2*hnh/(TP-H_1-(H_1*hnh)))-AP25-AQ25-(TP*Co_1*uVE)-(TP*Co_2*uVE)-(TP*Co_3*uVE)-(TP*Co_4*uVE))*(H_5*hnh/(TP-H_1-H_2-H_3-H_4-(hnh*(H_1+H_2+H_3+H_4)))),0))</f>
        <v>0</v>
      </c>
      <c r="V24" s="86">
        <f>IF(ScI=1,H_6*hnh,IF(ScI=2,(TP-H_1-((TP-H_1-(H_1*hnh)-(TP*Co_1*uVE))*H_2/(TP-H_1-(H_1*hnh)))-AP23-AQ23-AR23-(H_1*hnh)-((TP-H_1-(H_1*hnh)-(TP*Co_1*uVE))*H_2*hnh/(TP-H_1-(H_1*hnh)))-AP25-AQ25-AR25-(TP*Co_1*uVE)-(TP*Co_2*uVE)-(TP*Co_3*uVE)-(TP*Co_4*uVE)-(TP*Co_5*uVE))*(H_6*hnh/(TP-H_1-H_2-H_3-H_4-H_5-(hnh*(H_1+H_2+H_3+H_4+H_5)))),0))</f>
        <v>0</v>
      </c>
      <c r="W24" s="86">
        <f>IF(ScI=1,H_7*hnh,IF(ScI=2,(TP-H_1-((TP-H_1-(H_1*hnh)-(TP*Co_1*uVE))*H_2/(TP-H_1-(H_1*hnh)))-AP23-AQ23-AR23-AS23-(H_1*hnh)-((TP-H_1-(H_1*hnh)-(TP*Co_1*uVE))*H_2*hnh/(TP-H_1-(H_1*hnh)))-AP25-AQ25-AR25-AS25-(TP*Co_1*uVE)-(TP*Co_2*uVE)-(TP*Co_3*uVE)-(TP*Co_4*uVE)-(TP*Co_5*uVE)-(TP*Co_6*uVE))*(H_7*hnh/(TP-H_1-H_2-H_3-H_4-H_5-H_6-(hnh*(H_1+H_2+H_3+H_4+H_5+H_6)))),0))</f>
        <v>0</v>
      </c>
      <c r="X24" s="86">
        <f>IF(ScI=1,H_8*hnh,IF(ScI=2,(TP-H_1-((TP-H_1-(H_1*hnh)-(TP*Co_1*uVE))*H_2/(TP-H_1-(H_1*hnh)))-AP23-AQ23-AR23-AS23-AT23-(H_1*hnh)-((TP-H_1-(H_1*hnh)-(TP*Co_1*uVE))*H_2*hnh/(TP-H_1-(H_1*hnh)))-AP25-AQ25-AR25-AS25-AT25-(TP*Co_1*uVE)-(TP*Co_2*uVE)-(TP*Co_3*uVE)-(TP*Co_4*uVE)-(TP*Co_5*uVE)-(TP*Co_6*uVE)-(TP*Co_7*uVE))*(H_8*hnh/(TP-H_1-H_2-H_3-H_4-H_5-H_6-H_7-(hnh*(H_1+H_2+H_3+H_4+H_5+H_6+H_7)))),0))</f>
        <v>0</v>
      </c>
      <c r="Y24" s="86">
        <f>IF(ScI=1,H_9*hnh,IF(ScI=2,(TP-H_1-((TP-H_1-(H_1*hnh)-(TP*Co_1*uVE))*H_2/(TP-H_1-(H_1*hnh)))-AP23-AQ23-AR23-AS23-AT23-AU23-(H_1*hnh)-((TP-H_1-(H_1*hnh)-(TP*Co_1*uVE))*H_2*hnh/(TP-H_1-(H_1*hnh)))-AP25-AQ25-AR25-AS25-AT25-AU25-(TP*Co_1*uVE)-(TP*Co_2*uVE)-(TP*Co_3*uVE)-(TP*Co_4*uVE)-(TP*Co_5*uVE)-(TP*Co_6*uVE)-(TP*Co_7*uVE)-(TP*Co_8*uVE))*(H_9*hnh/(TP-H_1-H_2-H_3-H_4-H_5-H_6-H_7-H_8-(hnh*(H_1+H_2+H_3+H_4+H_5+H_6+H_7+H_8)))),0))</f>
        <v>0</v>
      </c>
      <c r="Z24" s="86">
        <f>IF(ScI=1,H_10*hnh,IF(ScI=2,(TP-H_1-((TP-H_1-(H_1*hnh)-(TP*Co_1*uVE))*H_2/(TP-H_1-(H_1*hnh)))-AP23-AQ23-AR23-AS23-AT23-AU23-AV23-(H_1*hnh)-((TP-H_1-(H_1*hnh)-(TP*Co_1*uVE))*H_2*hnh/(TP-H_1-(H_1*hnh)))-AP25-AQ25-AR25-AS25-AT25-AU25-AV25-(TP*Co_1*uVE)-(TP*Co_2*uVE)-(TP*Co_3*uVE)-(TP*Co_4*uVE)-(TP*Co_5*uVE)-(TP*Co_6*uVE)-(TP*Co_7*uVE)-(TP*Co_8*uVE)-(TP*Co_9*uVE))*(H_10*hnh/(TP-H_1-H_2-H_3-H_4-H_5-H_6-H_7-H_8-H_9-(hnh*(H_1+H_2+H_3+H_4+H_5+H_6+H_7+H_8+H_9)))),0))</f>
        <v>0</v>
      </c>
      <c r="AA24" s="86">
        <f>IF(ScI=1,H_11*hnh,IF(ScI=2,(TP-H_1-((TP-H_1-(H_1*hnh)-(TP*Co_1*uVE))*H_2/(TP-H_1-(H_1*hnh)))-AP23-AQ23-AR23-AS23-AT23-AU23-AV23-AW23-(H_1*hnh)-((TP-H_1-(H_1*hnh)-(TP*Co_1*uVE))*H_2*hnh/(TP-H_1-(H_1*hnh)))-AP25-AQ25-AR25-AS25-AT25-AU25-AV25-AW25-(TP*Co_1*uVE)-(TP*Co_2*uVE)-(TP*Co_3*uVE)-(TP*Co_4*uVE)-(TP*Co_5*uVE)-(TP*Co_6*uVE)-(TP*Co_7*uVE)-(TP*Co_8*uVE)-(TP*Co_9*uVE)-(TP*Co_10*uVE))*(H_11*hnh/(TP-H_1-H_2-H_3-H_4-H_5-H_6-H_7-H_8-H_9-H_10-(hnh*(H_1+H_2+H_3+H_4+H_5+H_6+H_7+H_8+H_9+H_10)))),0))</f>
        <v>0</v>
      </c>
      <c r="AB24" s="86">
        <f>IF(ScI=1,H_12*hnh,IF(ScI=2,(TP-H_1-((TP-H_1-(H_1*hnh)-(TP*Co_1*uVE))*H_2/(TP-H_1-(H_1*hnh)))-AP23-AQ23-AR23-AS23-AT23-AU23-AV23-AW23-AX23-(H_1*hnh)-((TP-H_1-(H_1*hnh)-(TP*Co_1*uVE))*H_2*hnh/(TP-H_1-(H_1*hnh)))-AP25-AQ25-AR25-AS25-AT25-AU25-AV25-AW25-AX25-(TP*Co_1*uVE)-(TP*Co_2*uVE)-(TP*Co_3*uVE)-(TP*Co_4*uVE)-(TP*Co_5*uVE)-(TP*Co_6*uVE)-(TP*Co_7*uVE)-(TP*Co_8*uVE)-(TP*Co_9*uVE)-(TP*Co_10*uVE)-(TP*Co_11*uVE))*(H_12*hnh/(TP-H_1-H_2-H_3-H_4-H_5-H_6-H_7-H_8-H_9-H_10-H_11-(hnh*(H_1+H_2+H_3+H_4+H_5+H_6+H_7+H_8+H_9+H_10+H_11)))),0))</f>
        <v>0</v>
      </c>
      <c r="AC24" s="88">
        <f>IF(ScI=1,H_1*hnh,IF(ScI=2,H_1*hnh,0))</f>
        <v>0</v>
      </c>
      <c r="AD24" s="88" t="e">
        <f>IF(ScI=1,(TP-H_1-(H_1*hnh))*H_2*hnh/(TP-H_1-(H_1*hnh)-(TP*Co_1*uVE)),IF(ScI=2,H_2*hnh,0))</f>
        <v>#DIV/0!</v>
      </c>
      <c r="AE24" s="88" t="e">
        <f>IF(ScI=1,(TP-H_1-((TP-H_1-(H_1*hnh))*H_2/(TP-H_1-(H_1*hnh)-(TP*Co_1*uVE)))-(H_1*hnh)-((TP-H_1-(H_1*hnh))*H_2*hnh/(TP-H_1-(H_1*hnh)-(TP*Co_1*uVE))))*H_3*hnh/(TP-H_1-H_2-(hnh*(H_1+H_2))-(TP*uVE*(Co_1+Co_2))),IF(ScI=2,H_3*hnh,0))</f>
        <v>#DIV/0!</v>
      </c>
      <c r="AF24" s="88" t="e">
        <f>IF(ScI=1,(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IF(ScI=2,H_4*hnh,0))</f>
        <v>#DIV/0!</v>
      </c>
      <c r="AG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H_5*hnh/(TP-H_1-H_2-H_3-H_4-(hnh*(H_1+H_2+H_3+H_4))-(TP*uVE*(Co_1+Co_2+Co_3+Co_4))),IF(ScI=2,H_5*hnh,0))</f>
        <v>#DIV/0!</v>
      </c>
      <c r="AH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H_6*hnh/(TP-H_1-H_2-H_3-H_4-H_5-(hnh*(H_1+H_2+H_3+H_4+H_5))-(TP*uVE*(Co_1+Co_2+Co_3+Co_4+Co_5))),IF(ScI=2,H_6*hnh,0))</f>
        <v>#DIV/0!</v>
      </c>
      <c r="AI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H_7*hnh/(TP-H_1-H_2-H_3-H_4-H_5-H_6-(hnh*(H_1+H_2+H_3+H_4+H_5+H_6))-(TP*uVE*(Co_1+Co_2+Co_3+Co_4+Co_5+Co_6))),IF(ScI=2,H_7*hnh,0))</f>
        <v>#DIV/0!</v>
      </c>
      <c r="AJ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H_8*hnh/(TP-H_1-H_2-H_3-H_4-H_5-H_6-H_7-(hnh*(H_1+H_2+H_3+H_4+H_5+H_6+H_7))-(TP*uVE*(Co_1+Co_2+Co_3+Co_4+Co_5+Co_6+Co_7))),IF(ScI=2,H_8*hnh,0))</f>
        <v>#DIV/0!</v>
      </c>
      <c r="AK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H_9*hnh/(TP-H_1-H_2-H_3-H_4-H_5-H_6-H_7-H_8-(hnh*(H_1+H_2+H_3+H_4+H_5+H_6+H_7+H_8))-(TP*uVE*(Co_1+Co_2+Co_3+Co_4+Co_5+Co_6+Co_7+Co_8))),IF(ScI=2,H_9*hnh,0))</f>
        <v>#DIV/0!</v>
      </c>
      <c r="AL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H_10*hnh/(TP-H_1-H_2-H_3-H_4-H_5-H_6-H_7-H_8-H_9-(hnh*(H_1+H_2+H_3+H_4+H_5+H_6+H_7+H_8+H_9))-(TP*uVE*(Co_1+Co_2+Co_3+Co_4+Co_5+Co_6+Co_7+Co_8+Co_9))),IF(ScI=2,H_10*hnh,0))</f>
        <v>#DIV/0!</v>
      </c>
      <c r="AM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H_11*hnh/(TP-H_1-H_2-H_3-H_4-H_5-H_6-H_7-H_8-H_9-H_10-(hnh*(H_1+H_2+H_3+H_4+H_5+H_6+H_7+H_8+H_9+H_10))-(TP*uVE*(Co_1+Co_2+Co_3+Co_4+Co_5+Co_6+Co_7+Co_8+Co_9+Co_10))),IF(ScI=2,H_11*hnh,0))</f>
        <v>#DIV/0!</v>
      </c>
      <c r="AN24" s="88" t="e">
        <f>IF(ScI=1,(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BF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BF25)*H_12*hnh/(TP-H_1-H_2-H_3-H_4-H_5-H_6-H_7-H_8-H_9-H_10-H_11-(hnh*(H_1+H_2+H_3+H_4+H_5+H_6+H_7+H_8+H_9+H_10+H_11))-(TP*uVE*(Co_1+Co_2+Co_3+Co_4+Co_5+Co_6+Co_7+Co_8+Co_9+Co_10+Co_11))),IF(ScI=2,H_12*hnh,0))</f>
        <v>#DIV/0!</v>
      </c>
      <c r="AP24" s="103" t="s">
        <v>82</v>
      </c>
      <c r="AQ24" s="103" t="s">
        <v>83</v>
      </c>
      <c r="AR24" s="103" t="s">
        <v>84</v>
      </c>
      <c r="AS24" s="103" t="s">
        <v>85</v>
      </c>
      <c r="AT24" s="103" t="s">
        <v>86</v>
      </c>
      <c r="AU24" s="103" t="s">
        <v>87</v>
      </c>
      <c r="AV24" s="103" t="s">
        <v>88</v>
      </c>
      <c r="AW24" s="103" t="s">
        <v>89</v>
      </c>
      <c r="AX24" s="103" t="s">
        <v>90</v>
      </c>
      <c r="AZ24" s="103" t="s">
        <v>106</v>
      </c>
      <c r="BA24" s="103" t="s">
        <v>92</v>
      </c>
      <c r="BB24" s="103" t="s">
        <v>98</v>
      </c>
      <c r="BC24" s="103" t="s">
        <v>99</v>
      </c>
      <c r="BD24" s="103" t="s">
        <v>100</v>
      </c>
      <c r="BE24" s="103" t="s">
        <v>101</v>
      </c>
      <c r="BF24" s="103" t="s">
        <v>102</v>
      </c>
    </row>
    <row r="25" spans="1:58" hidden="1" outlineLevel="1" x14ac:dyDescent="0.25">
      <c r="G25" s="31"/>
      <c r="H25" s="31"/>
      <c r="I25" s="31"/>
      <c r="J25" s="31"/>
      <c r="K25" s="31"/>
      <c r="L25" s="31"/>
      <c r="M25" s="31"/>
      <c r="N25" s="31"/>
      <c r="Q25" s="31"/>
      <c r="R25" s="97"/>
      <c r="S25" s="97"/>
      <c r="T25" s="97"/>
      <c r="U25" s="97"/>
      <c r="V25" s="97"/>
      <c r="W25" s="97"/>
      <c r="X25" s="97"/>
      <c r="Y25" s="97"/>
      <c r="Z25" s="97"/>
      <c r="AA25" s="97"/>
      <c r="AB25" s="97"/>
      <c r="AC25" s="98"/>
      <c r="AD25" s="98"/>
      <c r="AE25" s="98"/>
      <c r="AF25" s="98"/>
      <c r="AG25" s="98"/>
      <c r="AH25" s="98"/>
      <c r="AI25" s="98"/>
      <c r="AJ25" s="98"/>
      <c r="AK25" s="98"/>
      <c r="AL25" s="98"/>
      <c r="AM25" s="98"/>
      <c r="AN25" s="98"/>
      <c r="AP25" s="103" t="e">
        <f>((TP-H_1-((TP-H_1-(H_1*hnh)-(TP*Co_1*uVE))*H_2/(TP-H_1-(H_1*hnh)))-(H_1*hnh)-((TP-H_1-(H_1*hnh)-(TP*Co_1*uVE))*H_2*hnh/(TP-H_1-(H_1*hnh)))-(TP*Co_1*uVE)-(TP*Co_2*uVE))*(H_3*hnh/(TP-H_1-H_2-(hnh*(H_1+H_2)))))</f>
        <v>#DIV/0!</v>
      </c>
      <c r="AQ25" s="103" t="e">
        <f>(TP-H_1-((TP-H_1-(H_1*hnh)-(TP*Co_1*uVE))*H_2/(TP-H_1-(H_1*hnh)))-AP23-(H_1*hnh)-((TP-H_1-(H_1*hnh)-(TP*Co_1*uVE))*H_2*hnh/(TP-H_1-(H_1*hnh)))-AP25-(TP*Co_1*uVE)-(TP*Co_2*uVE)-(TP*Co_3*uVE))*(H_4*hnh/(TP-H_1-H_2-H_3-(hnh*(H_1+H_2+H_3))))</f>
        <v>#DIV/0!</v>
      </c>
      <c r="AR25" s="103" t="e">
        <f>(TP-H_1-((TP-H_1-(H_1*hnh)-(TP*Co_1*uVE))*H_2/(TP-H_1-(H_1*hnh)))-AP23-AQ23-(H_1*hnh)-((TP-H_1-(H_1*hnh)-(TP*Co_1*uVE))*H_2*hnh/(TP-H_1-(H_1*hnh)))-AP25-AQ25-(TP*Co_1*uVE)-(TP*Co_2*uVE)-(TP*Co_3*uVE)-(TP*Co_4*uVE))*(H_5*hnh/(TP-H_1-H_2-H_3-H_4-(hnh*(H_1+H_2+H_3+H_4))))</f>
        <v>#DIV/0!</v>
      </c>
      <c r="AS25" s="103" t="e">
        <f>(TP-H_1-((TP-H_1-(H_1*hnh)-(TP*Co_1*uVE))*H_2/(TP-H_1-(H_1*hnh)))-AP23-AQ23-AR23-(H_1*hnh)-((TP-H_1-(H_1*hnh)-(TP*Co_1*uVE))*H_2*hnh/(TP-H_1-(H_1*hnh)))-AP25-AQ25-AR25-(TP*Co_1*uVE)-(TP*Co_2*uVE)-(TP*Co_3*uVE)-(TP*Co_4*uVE)-(TP*Co_5*uVE))*(H_6*hnh/(TP-H_1-H_2-H_3-H_4-H_5-(hnh*(H_1+H_2+H_3+H_4+H_5))))</f>
        <v>#DIV/0!</v>
      </c>
      <c r="AT25" s="103" t="e">
        <f>(TP-H_1-((TP-H_1-(H_1*hnh)-(TP*Co_1*uVE))*H_2/(TP-H_1-(H_1*hnh)))-AP23-AQ23-AR23-AS23-(H_1*hnh)-((TP-H_1-(H_1*hnh)-(TP*Co_1*uVE))*H_2*hnh/(TP-H_1-(H_1*hnh)))-AP25-AQ25-AR25-AS25-(TP*Co_1*VE)-(TP*Co_2*uVE)-(TP*Co_3*uVE)-(TP*Co_4*uVE)-(TP*Co_5*uVE)-(TP*Co_6*uVE))*(H_7*hnh/(TP-H_1-H_2-H_3-H_4-H_5-H_6-(hnh*(H_1+H_2+H_3+H_4+H_5+H_6))))</f>
        <v>#DIV/0!</v>
      </c>
      <c r="AU25" s="103" t="e">
        <f>(TP-H_1-((TP-H_1-(H_1*hnh)-(TP*Co_1*uVE))*H_2/(TP-H_1-(H_1*hnh)))-AP23-AQ23-AR23-AS23-AT23-(H_1*hnh)-((TP-H_1-(H_1*hnh)-(TP*Co_1*uVE))*H_2*hnh/(TP-H_1-(H_1*hnh)))-AP25-AQ25-AR25-AS25-AT25-(TP*Co_1*uVE)-(TP*Co_2*uVE)-(TP*Co_3*uVE)-(TP*Co_4*uVE)-(TP*Co_5*uVE)-(TP*Co_6*uVE)-(TP*Co_7*uVE))*(H_8*hnh/(TP-H_1-H_2-H_3-H_4-H_5-H_6-H_7-(hnh*(H_1+H_2+H_3+H_4+H_5+H_6+H_7))))</f>
        <v>#DIV/0!</v>
      </c>
      <c r="AV25" s="103" t="e">
        <f>(TP-H_1-((TP-H_1-(H_1*hnh)-(TP*Co_1*uVE))*H_2/(TP-H_1-(H_1*hnh)))-AP23-AQ23-AR23-AS23-AT23-AU23-(H_1*hnh)-((TP-H_1-(H_1*hnh)-(TP*Co_1*uVE))*H_2*hnh/(TP-H_1-(H_1*hnh)))-AP25-AQ25-AR25-AS25-AT25-AU25-(TP*Co_1*uVE)-(TP*Co_2*uVE)-(TP*Co_3*uVE)-(TP*Co_4*uVE)-(TP*Co_5*uVE)-(TP*Co_6*uVE)-(TP*Co_7*uVE)-(TP*Co_8*uVE))*(H_9*hnh/(TP-H_1-H_2-H_3-H_4-H_5-H_6-H_7-H_8-(hnh*(H_1+H_2+H_3+H_4+H_5+H_6+H_7+H_8))))</f>
        <v>#DIV/0!</v>
      </c>
      <c r="AW25" s="103" t="e">
        <f>(TP-H_1-((TP-H_1-(H_1*hnh)-(TP*Co_1*uVE))*H_2/(TP-H_1-(H_1*hnh)))-AP23-AQ23-AR23-AS23-AT23-AU23-AV23-(H_1*hnh)-((TP-H_1-(H_1*hnh)-(TP*Co_1*uVE))*H_2*hnh/(TP-H_1-(H_1*hnh)))-AP25-AQ25-AR25-AS25-AT25-AU25-AV25-(TP*Co_1*uVE)-(TP*Co_2*uVE)-(TP*Co_3*uVE)-(TP*Co_4*uVE)-(TP*Co_5*uVE)-(TP*Co_6*uVE)-(TP*Co_7*uVE)-(TP*Co_8*uVE)-(TP*Co_9*uVE))*(H_10*hnh/(TP-H_1-H_2-H_3-H_4-H_5-H_6-H_7-H_8-H_9-(hnh*(H_1+H_2+H_3+H_4+H_5+H_6+H_7+H_8+H_9))))</f>
        <v>#DIV/0!</v>
      </c>
      <c r="AX25" s="103" t="e">
        <f>(TP-H_1-((TP-H_1-(H_1*hnh)-(TP*Co_1*uVE))*H_2/(TP-H_1-(H_1*hnh)))-AP23-AQ23-AR23-AS23-AT23-AU23-AV23-AW23-(H_1*hnh)-((TP-H_1-(H_1*hnh)-(TP*Co_1*uVE))*H_2*hnh/(TP-H_1-(H_1*hnh)))-AP25-AQ25-AR25-AS25-AT25-AU25-AV25-AW25-(TP*Co_1*uVE)-(TP*Co_2*uVE)-(TP*Co_3*uVE)-(TP*Co_4*uVE)-(TP*Co_5*uVE)-(TP*Co_6*uVE)-(TP*Co_7*uVE)-(TP*Co_8*uVE)-(TP*Co_9*uVE)-(TP*Co_10*uVE))*(H_11*hnh/(TP-H_1-H_2-H_3-H_4-H_5-H_6-H_7-H_8-H_9-H_10-(hnh*(H_1+H_2+H_3+H_4+H_5+H_6+H_7+H_8+H_9+H_10))))</f>
        <v>#DIV/0!</v>
      </c>
      <c r="AZ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H_5*hnh/(TP-H_1-H_2-H_3-H_4-(hnh*(H_1+H_2+H_3+H_4))-(TP*uVE*(Co_1+Co_2+Co_3+Co_4)))</f>
        <v>#DIV/0!</v>
      </c>
      <c r="BA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H_6*hnh/(TP-H_1-H_2-H_3-H_4-H_5-(hnh*(H_1+H_2+H_3+H_4+H_5))-(TP*uVE*(Co_1+Co_2+Co_3+Co_4+Co_5)))</f>
        <v>#DIV/0!</v>
      </c>
      <c r="BB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H_7*hnh/(TP-H_1-H_2-H_3-H_4-H_5-H_6-(hnh*(H_1+H_2+H_3+H_4+H_5+H_6))-(TP*uVE*(Co_1+Co_2+Co_3+Co_4+Co_5+Co_6)))</f>
        <v>#DIV/0!</v>
      </c>
      <c r="BC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H_8*hnh/(TP-H_1-H_2-H_3-H_4-H_5-H_6-H_7-(hnh*(H_1+H_2+H_3+H_4+H_5+H_6+H_7))-(TP*uVE*(Co_1+Co_2+Co_3+Co_4+Co_5+Co_6+Co_7)))</f>
        <v>#DIV/0!</v>
      </c>
      <c r="BD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H_9*hnh/(TP-H_1-H_2-H_3-H_4-H_5-H_6-H_7-H_8-(hnh*(H_1+H_2+H_3+H_4+H_5+H_6+H_7+H_8))-(TP*uVE*(Co_1+Co_2+Co_3+Co_4+Co_5+Co_6+Co_7+Co_8)))</f>
        <v>#DIV/0!</v>
      </c>
      <c r="BE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H_10*hnh/(TP-H_1-H_2-H_3-H_4-H_5-H_6-H_7-H_8-H_9-(hnh*(H_1+H_2+H_3+H_4+H_5+H_6+H_7+H_8+H_9))-(TP*uVE*(Co_1+Co_2+Co_3+Co_4+Co_5+Co_6+Co_7+Co_8+Co_9)))</f>
        <v>#DIV/0!</v>
      </c>
      <c r="BF25" s="103" t="e">
        <f>(TP-H_1-((TP-H_1-(H_1*hnh))*H_2/(TP-H_1-(H_1*hnh)-(TP*Co_1*uVE)))-((TP-H_1-((TP-H_1-(H_1*hnh))*H_2/(TP-H_1-(H_1*hnh)-(TP*Co_1*uVE)))-(H_1*hnh)-((TP-H_1-(H_1*hnh))*H_2*hnh/(TP-H_1-(H_1*hnh)-(TP*Co_1*uVE))))*H_3/(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TP-H_1-H_2-H_3-(hnh*(H_1+H_2+H_3))-(TP*uVE*(Co_1+Co_2+Co_3))))-AZ23-BA23-BB23-BC23-BD23-BE23-(H_1*hnh)-((TP-H_1-(H_1*hnh))*H_2*hnh/(TP-H_1-(H_1*hnh)-(TP*Co_1*uVE)))-((TP-H_1-((TP-H_1-(H_1*hnh))*H_2/(TP-H_1-(H_1*hnh)-(TP*Co_1*uVE)))-(H_1*hnh)-((TP-H_1-(H_1*hnh))*H_2*hnh/(TP-H_1-(H_1*hnh)-(TP*Co_1*uVE))))*H_3*hnh/(TP-H_1-H_2-(hnh*(H_1+H_2))-(TP*uVE*(Co_1+Co_2))))-((TP-H_1-((TP-H_1-(H_1*hnh))*H_2/(TP-H_1-(H_1*hnh)-(TP*Co_1*uVE)))-((TP-H_1-((TP-H_1-(H_1*hnh))*H_2/(TP-H_1-(H_1*hnh)-(TP*Co_1*uVE)))-(H_1*hnh)-((TP-H_1-(H_1*hnh))*H_2*hnh/(TP-H_1-(H_1*hnh)-(TP*Co_1*uVE))))*H_3/(TP-H_1-H_2-(hnh*(H_1+H_2))-(TP*uVE*(Co_1+Co_2))))-(H_1*hnh)-((TP-H_1-(H_1*hnh))*H_2*hnh/(TP-H_1-(H_1*hnh)-(TP*Co_1*uVE)))-((TP-H_1-((TP-H_1-(H_1*hnh))*H_2/(TP-H_1-(H_1*hnh)-(TP*Co_1*uVE)))-(H_1*hnh)-((TP-H_1-(H_1*hnh))*H_2*hnh/(TP-H_1-(H_1*hnh)-(TP*Co_1*uVE))))*H_3*hnh/(TP-H_1-H_2-(hnh*(H_1+H_2))-(TP*uVE*(Co_1+Co_2)))))*H_4*hnh/(TP-H_1-H_2-H_3-(hnh*(H_1+H_2+H_3))-(TP*uVE*(Co_1+Co_2+Co_3))))-AZ25-BA25-BB25-BC25-BD25-BE25)*H_11*hnh/(TP-H_1-H_2-H_3-H_4-H_5-H_6-H_7-H_8-H_9-H_10-(hnh*(H_1+H_2+H_3+H_4+H_5+H_6+H_7+H_8+H_9+H_10))-(TP*uVE*(Co_1+Co_2+Co_3+Co_4+Co_5+Co_6+Co_7+Co_8+Co_9+Co_10)))</f>
        <v>#DIV/0!</v>
      </c>
    </row>
    <row r="26" spans="1:58" hidden="1" outlineLevel="1" x14ac:dyDescent="0.25"/>
    <row r="27" spans="1:58" hidden="1" outlineLevel="1" x14ac:dyDescent="0.25">
      <c r="E27" s="89"/>
      <c r="F27" s="94"/>
      <c r="G27" s="95"/>
      <c r="H27" s="95"/>
      <c r="I27" s="95"/>
      <c r="J27" s="95"/>
      <c r="K27" s="95"/>
      <c r="L27" s="95"/>
      <c r="M27" s="95"/>
      <c r="N27" s="95"/>
      <c r="P27" s="89"/>
      <c r="Q27" s="89"/>
      <c r="R27" s="89"/>
      <c r="S27" s="89"/>
      <c r="T27" s="89"/>
      <c r="U27" s="89"/>
      <c r="V27" s="89"/>
      <c r="W27" s="89"/>
      <c r="X27" s="89"/>
      <c r="Y27" s="89"/>
      <c r="Z27" s="89"/>
      <c r="AA27" s="89"/>
      <c r="AB27" s="89"/>
      <c r="AC27" s="90"/>
      <c r="AD27" s="90"/>
      <c r="AE27" s="90"/>
      <c r="AF27" s="90"/>
      <c r="AG27" s="90"/>
      <c r="AH27" s="90"/>
      <c r="AI27" s="90"/>
      <c r="AJ27" s="90"/>
      <c r="AK27" s="90"/>
      <c r="AL27" s="90"/>
      <c r="AM27" s="90"/>
      <c r="AN27" s="90"/>
    </row>
    <row r="28" spans="1:58" hidden="1" outlineLevel="1" x14ac:dyDescent="0.25">
      <c r="AM28" t="s">
        <v>112</v>
      </c>
      <c r="BF28" t="s">
        <v>111</v>
      </c>
    </row>
    <row r="29" spans="1:58" collapsed="1" x14ac:dyDescent="0.25"/>
    <row r="30" spans="1:58" s="105" customFormat="1" x14ac:dyDescent="0.25">
      <c r="A30" s="104" t="s">
        <v>115</v>
      </c>
      <c r="B30" s="104"/>
    </row>
    <row r="31" spans="1:58" hidden="1" outlineLevel="1" x14ac:dyDescent="0.25">
      <c r="Q31" s="369" t="s">
        <v>72</v>
      </c>
      <c r="R31" s="369"/>
      <c r="S31" s="369"/>
      <c r="T31" s="369"/>
      <c r="U31" s="369"/>
      <c r="V31" s="369"/>
      <c r="W31" s="369"/>
      <c r="X31" s="369"/>
      <c r="Y31" s="369"/>
      <c r="Z31" s="369"/>
      <c r="AA31" s="369"/>
      <c r="AB31" s="369"/>
      <c r="AC31" s="370" t="s">
        <v>104</v>
      </c>
      <c r="AD31" s="370"/>
      <c r="AE31" s="370"/>
      <c r="AF31" s="370"/>
      <c r="AG31" s="370"/>
      <c r="AH31" s="370"/>
      <c r="AI31" s="370"/>
      <c r="AJ31" s="370"/>
      <c r="AK31" s="370"/>
      <c r="AL31" s="370"/>
      <c r="AM31" s="370"/>
      <c r="AN31" s="370"/>
      <c r="AP31" s="103">
        <v>3</v>
      </c>
      <c r="AQ31" s="103">
        <v>4</v>
      </c>
      <c r="AR31" s="103">
        <v>5</v>
      </c>
      <c r="AS31" s="103">
        <v>6</v>
      </c>
      <c r="AT31" s="103">
        <v>7</v>
      </c>
      <c r="AU31" s="103">
        <v>8</v>
      </c>
      <c r="AV31" s="103">
        <v>9</v>
      </c>
      <c r="AW31" s="103">
        <v>10</v>
      </c>
      <c r="AX31" s="103">
        <v>11</v>
      </c>
      <c r="AZ31" s="103">
        <v>5</v>
      </c>
      <c r="BA31" s="103">
        <v>6</v>
      </c>
      <c r="BB31" s="103">
        <v>7</v>
      </c>
      <c r="BC31" s="103">
        <v>8</v>
      </c>
      <c r="BD31" s="103">
        <v>9</v>
      </c>
      <c r="BE31" s="103">
        <v>10</v>
      </c>
      <c r="BF31" s="103">
        <v>11</v>
      </c>
    </row>
    <row r="32" spans="1:58" ht="45" hidden="1" outlineLevel="1" x14ac:dyDescent="0.25">
      <c r="A32" s="11" t="s">
        <v>47</v>
      </c>
      <c r="B32" s="11"/>
      <c r="C32" s="11"/>
      <c r="D32" s="11"/>
      <c r="E32" s="11"/>
      <c r="F32" s="11"/>
      <c r="G32" s="371" t="s">
        <v>50</v>
      </c>
      <c r="H32" s="371"/>
      <c r="I32" s="372" t="s">
        <v>44</v>
      </c>
      <c r="J32" s="372"/>
      <c r="K32" s="370" t="s">
        <v>58</v>
      </c>
      <c r="L32" s="370"/>
      <c r="M32" s="372" t="s">
        <v>45</v>
      </c>
      <c r="N32" s="372"/>
      <c r="Q32" s="369" t="s">
        <v>1</v>
      </c>
      <c r="R32" s="369"/>
      <c r="S32" s="369"/>
      <c r="T32" s="369"/>
      <c r="U32" s="369"/>
      <c r="V32" s="369"/>
      <c r="W32" s="369"/>
      <c r="X32" s="369"/>
      <c r="Y32" s="369"/>
      <c r="Z32" s="369"/>
      <c r="AA32" s="369"/>
      <c r="AB32" s="369"/>
      <c r="AC32" s="370" t="s">
        <v>71</v>
      </c>
      <c r="AD32" s="370"/>
      <c r="AE32" s="370"/>
      <c r="AF32" s="370"/>
      <c r="AG32" s="370"/>
      <c r="AH32" s="370"/>
      <c r="AI32" s="370"/>
      <c r="AJ32" s="370"/>
      <c r="AK32" s="370"/>
      <c r="AL32" s="370"/>
      <c r="AM32" s="370"/>
      <c r="AN32" s="370"/>
      <c r="AP32" s="103" t="s">
        <v>73</v>
      </c>
      <c r="AQ32" s="103" t="s">
        <v>74</v>
      </c>
      <c r="AR32" s="103" t="s">
        <v>75</v>
      </c>
      <c r="AS32" s="103" t="s">
        <v>76</v>
      </c>
      <c r="AT32" s="103" t="s">
        <v>77</v>
      </c>
      <c r="AU32" s="103" t="s">
        <v>78</v>
      </c>
      <c r="AV32" s="103" t="s">
        <v>79</v>
      </c>
      <c r="AW32" s="103" t="s">
        <v>80</v>
      </c>
      <c r="AX32" s="103" t="s">
        <v>81</v>
      </c>
      <c r="AZ32" s="103" t="s">
        <v>105</v>
      </c>
      <c r="BA32" s="103" t="s">
        <v>91</v>
      </c>
      <c r="BB32" s="103" t="s">
        <v>93</v>
      </c>
      <c r="BC32" s="103" t="s">
        <v>94</v>
      </c>
      <c r="BD32" s="103" t="s">
        <v>95</v>
      </c>
      <c r="BE32" s="103" t="s">
        <v>96</v>
      </c>
      <c r="BF32" s="103" t="s">
        <v>97</v>
      </c>
    </row>
    <row r="33" spans="1:58" ht="45" hidden="1" outlineLevel="1" x14ac:dyDescent="0.25">
      <c r="A33" s="70" t="s">
        <v>40</v>
      </c>
      <c r="B33" s="70" t="s">
        <v>41</v>
      </c>
      <c r="C33" s="70" t="s">
        <v>53</v>
      </c>
      <c r="D33" s="70" t="s">
        <v>48</v>
      </c>
      <c r="E33" s="70" t="s">
        <v>42</v>
      </c>
      <c r="F33" s="76" t="s">
        <v>49</v>
      </c>
      <c r="G33" s="71" t="s">
        <v>51</v>
      </c>
      <c r="H33" s="71" t="s">
        <v>52</v>
      </c>
      <c r="I33" s="72" t="s">
        <v>51</v>
      </c>
      <c r="J33" s="72" t="s">
        <v>52</v>
      </c>
      <c r="K33" s="77" t="s">
        <v>51</v>
      </c>
      <c r="L33" s="77" t="s">
        <v>52</v>
      </c>
      <c r="M33" s="72" t="s">
        <v>51</v>
      </c>
      <c r="N33" s="72" t="s">
        <v>52</v>
      </c>
      <c r="Q33" s="102">
        <v>1</v>
      </c>
      <c r="R33" s="102">
        <v>2</v>
      </c>
      <c r="S33" s="102">
        <v>3</v>
      </c>
      <c r="T33" s="102">
        <v>4</v>
      </c>
      <c r="U33" s="102">
        <v>5</v>
      </c>
      <c r="V33" s="102">
        <v>6</v>
      </c>
      <c r="W33" s="102">
        <v>7</v>
      </c>
      <c r="X33" s="102">
        <v>8</v>
      </c>
      <c r="Y33" s="102">
        <v>9</v>
      </c>
      <c r="Z33" s="102">
        <v>10</v>
      </c>
      <c r="AA33" s="102">
        <v>11</v>
      </c>
      <c r="AB33" s="102">
        <v>12</v>
      </c>
      <c r="AC33" s="101">
        <v>1</v>
      </c>
      <c r="AD33" s="101">
        <v>2</v>
      </c>
      <c r="AE33" s="101">
        <v>3</v>
      </c>
      <c r="AF33" s="101">
        <v>4</v>
      </c>
      <c r="AG33" s="101">
        <v>5</v>
      </c>
      <c r="AH33" s="101">
        <v>6</v>
      </c>
      <c r="AI33" s="101">
        <v>7</v>
      </c>
      <c r="AJ33" s="101">
        <v>8</v>
      </c>
      <c r="AK33" s="101">
        <v>9</v>
      </c>
      <c r="AL33" s="101">
        <v>10</v>
      </c>
      <c r="AM33" s="101">
        <v>11</v>
      </c>
      <c r="AN33" s="101">
        <v>12</v>
      </c>
      <c r="AP33" s="103" t="e">
        <f>((TP-H_1-((TP-H_1-(H_1*lhnh)-(TP*Co_1*VE))*H_2/(TP-H_1-(H_1*lhnh)))-(H_1*lhnh)-((TP-H_1-(H_1*lhnh)-(TP*Co_1*VE))*H_2*lhnh/(TP-H_1-(H_1*lhnh)))-(TP*Co_1*VE)-(TP*Co_2*VE))*(H_3/(TP-H_1-H_2-(lhnh*(H_1+H_2)))))</f>
        <v>#DIV/0!</v>
      </c>
      <c r="AQ33" s="103" t="e">
        <f>(TP-H_1-((TP-H_1-(H_1*lhnh)-(TP*Co_1*VE))*H_2/(TP-H_1-(H_1*lhnh)))-AP33-(H_1*lhnh)-((TP-H_1-(H_1*lhnh)-(TP*Co_1*VE))*H_2*lhnh/(TP-H_1-(H_1*lhnh)))-AP35-(TP*Co_1*VE)-(TP*Co_2*VE)-(TP*Co_3*VE))*(H_4/(TP-H_1-H_2-H_3-(lhnh*(H_1+H_2+H_3))))</f>
        <v>#DIV/0!</v>
      </c>
      <c r="AR33" s="103" t="e">
        <f>(TP-H_1-((TP-H_1-(H_1*lhnh)-(TP*Co_1*VE))*H_2/(TP-H_1-(H_1*lhnh)))-AP33-AQ33-(H_1*lhnh)-((TP-H_1-(H_1*lhnh)-(TP*Co_1*VE))*H_2*lhnh/(TP-H_1-(H_1*lhnh)))-AP35-AQ35-(TP*Co_1*VE)-(TP*Co_2*VE)-(TP*Co_3*VE)-(TP*Co_4*VE))*(H_5/(TP-H_1-H_2-H_3-H_4-(lhnh*(H_1+H_2+H_3+H_4))))</f>
        <v>#DIV/0!</v>
      </c>
      <c r="AS33" s="103" t="e">
        <f>(TP-H_1-((TP-H_1-(H_1*lhnh)-(TP*Co_1*VE))*H_2/(TP-H_1-(H_1*lhnh)))-AP33-AQ33-AR33-(H_1*lhnh)-((TP-H_1-(H_1*lhnh)-(TP*Co_1*VE))*H_2*lhnh/(TP-H_1-(H_1*lhnh)))-AP35-AQ35-AR35-(TP*Co_1*VE)-(TP*Co_2*VE)-(TP*Co_3*VE)-(TP*Co_4*VE)-(TP*Co_5*VE))*(H_6/(TP-H_1-H_2-H_3-H_4-H_5-(lhnh*(H_1+H_2+H_3+H_4+H_5))))</f>
        <v>#DIV/0!</v>
      </c>
      <c r="AT33" s="103" t="e">
        <f>(TP-H_1-((TP-H_1-(H_1*lhnh)-(TP*Co_1*VE))*H_2/(TP-H_1-(H_1*lhnh)))-AP33-AQ33-AR33-AS33-(H_1*lhnh)-((TP-H_1-(H_1*lhnh)-(TP*Co_1*VE))*H_2*lhnh/(TP-H_1-(H_1*lhnh)))-AP35-AQ35-AR35-AS35-(TP*Co_1*VE)-(TP*Co_2*VE)-(TP*Co_3*VE)-(TP*Co_4*VE)-(TP*Co_5*VE)-(TP*Co_6*VE))*(H_7/(TP-H_1-H_2-H_3-H_4-H_5-H_6-(lhnh*(H_1+H_2+H_3+H_4+H_5+H_6))))</f>
        <v>#DIV/0!</v>
      </c>
      <c r="AU33" s="103" t="e">
        <f>(TP-H_1-((TP-H_1-(H_1*lhnh)-(TP*Co_1*VE))*H_2/(TP-H_1-(H_1*lhnh)))-AP33-AQ33-AR33-AS33-AT33-(H_1*lhnh)-((TP-H_1-(H_1*lhnh)-(TP*Co_1*VE))*H_2*lhnh/(TP-H_1-(H_1*lhnh)))-AP35-AQ35-AR35-AS35-AT35-(TP*Co_1*VE)-(TP*Co_2*VE)-(TP*Co_3*VE)-(TP*Co_4*VE)-(TP*Co_5*VE)-(TP*Co_6*VE)-(TP*Co_7*VE))*(H_8/(TP-H_1-H_2-H_3-H_4-H_5-H_6-H_7-(lhnh*(H_1+H_2+H_3+H_4+H_5+H_6+H_7))))</f>
        <v>#DIV/0!</v>
      </c>
      <c r="AV33" s="103" t="e">
        <f>(TP-H_1-((TP-H_1-(H_1*lhnh)-(TP*Co_1*VE))*H_2/(TP-H_1-(H_1*lhnh)))-AP33-AQ33-AR33-AS33-AT33-AU33-(H_1*lhnh)-((TP-H_1-(H_1*lhnh)-(TP*Co_1*VE))*H_2*lhnh/(TP-H_1-(H_1*lhnh)))-AP35-AQ35-AR35-AS35-AT35-AU35-(TP*Co_1*VE)-(TP*Co_2*VE)-(TP*Co_3*VE)-(TP*Co_4*VE)-(TP*Co_5*VE)-(TP*Co_6*VE)-(TP*Co_7*VE)-(TP*Co_8*VE))*(H_9/(TP-H_1-H_2-H_3-H_4-H_5-H_6-H_7-H_8-(lhnh*(H_1+H_2+H_3+H_4+H_5+H_6+H_7+H_8))))</f>
        <v>#DIV/0!</v>
      </c>
      <c r="AW33" s="103" t="e">
        <f>(TP-H_1-((TP-H_1-(H_1*lhnh)-(TP*Co_1*VE))*H_2/(TP-H_1-(H_1*lhnh)))-AP33-AQ33-AR33-AS33-AT33-AU33-AV33-(H_1*lhnh)-((TP-H_1-(H_1*lhnh)-(TP*Co_1*VE))*H_2*lhnh/(TP-H_1-(H_1*lhnh)))-AP35-AQ35-AR35-AS35-AT35-AU35-AV35-(TP*Co_1*VE)-(TP*Co_2*VE)-(TP*Co_3*VE)-(TP*Co_4*VE)-(TP*Co_5*VE)-(TP*Co_6*VE)-(TP*Co_7*VE)-(TP*Co_8*VE)-(TP*Co_9*VE))*(H_10/(TP-H_1-H_2-H_3-H_4-H_5-H_6-H_7-H_8-H_9-(lhnh*(H_1+H_2+H_3+H_4+H_5+H_6+H_7+H_8+H_9))))</f>
        <v>#DIV/0!</v>
      </c>
      <c r="AX33" s="103" t="e">
        <f>(TP-H_1-((TP-H_1-(H_1*lhnh)-(TP*Co_1*VE))*H_2/(TP-H_1-(H_1*lhnh)))-AP33-AQ33-AR33-AS33-AT33-AU33-AV33-AW33-(H_1*lhnh)-((TP-H_1-(H_1*lhnh)-(TP*Co_1*VE))*H_2*lhnh/(TP-H_1-(H_1*lhnh)))-AP35-AQ35-AR35-AS35-AT35-AU35-AV35-AW35-(TP*Co_1*VE)-(TP*Co_2*VE)-(TP*Co_3*VE)-(TP*Co_4*VE)-(TP*Co_5*VE)-(TP*Co_6*VE)-(TP*Co_7*VE)-(TP*Co_8*VE)-(TP*Co_9*VE)-(TP*Co_10*VE))*(H_11/(TP-H_1-H_2-H_3-H_4-H_5-H_6-H_7-H_8-H_9-H_10-(lhnh*(H_1+H_2+H_3+H_4+H_5+H_6+H_7+H_8+H_9+H_10))))</f>
        <v>#DIV/0!</v>
      </c>
      <c r="AZ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TP-H_1-H_2-H_3-H_4-(lhnh*(H_1+H_2+H_3+H_4))-(TP*VE*(Co_1+Co_2+Co_3+Co_4)))</f>
        <v>#DIV/0!</v>
      </c>
      <c r="BA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H_6/(TP-H_1-H_2-H_3-H_4-H_5-(lhnh*(H_1+H_2+H_3+H_4+H_5))-(TP*VE*(Co_1+Co_2+Co_3+Co_4+Co_5)))</f>
        <v>#DIV/0!</v>
      </c>
      <c r="BB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H_7/(TP-H_1-H_2-H_3-H_4-H_5-H_6-(lhnh*(H_1+H_2+H_3+H_4+H_5+H_6))-(TP*VE*(Co_1+Co_2+Co_3+Co_4+Co_5+Co_6)))</f>
        <v>#DIV/0!</v>
      </c>
      <c r="BC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H_8/(TP-H_1-H_2-H_3-H_4-H_5-H_6-H_7-(lhnh*(H_1+H_2+H_3+H_4+H_5+H_6+H_7))-(TP*VE*(Co_1+Co_2+Co_3+Co_4+Co_5+Co_6+Co_7)))</f>
        <v>#DIV/0!</v>
      </c>
      <c r="BD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H_9/(TP-H_1-H_2-H_3-H_4-H_5-H_6-H_7-H_8-(lhnh*(H_1+H_2+H_3+H_4+H_5+H_6+H_7+H_8))-(TP*VE*(Co_1+Co_2+Co_3+Co_4+Co_5+Co_6+Co_7+Co_8)))</f>
        <v>#DIV/0!</v>
      </c>
      <c r="BE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H_10/(TP-H_1-H_2-H_3-H_4-H_5-H_6-H_7-H_8-H_9-(lhnh*(H_1+H_2+H_3+H_4+H_5+H_6+H_7+H_8+H_9))-(TP*VE*(Co_1+Co_2+Co_3+Co_4+Co_5+Co_6+Co_7+Co_8+Co_9)))</f>
        <v>#DIV/0!</v>
      </c>
      <c r="BF33"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H_11/(TP-H_1-H_2-H_3-H_4-H_5-H_6-H_7-H_8-H_9-H_10-(lhnh*(H_1+H_2+H_3+H_4+H_5+H_6+H_7+H_8+H_9+H_10))-(TP*VE*(Co_1+Co_2+Co_3+Co_4+Co_5+Co_6+Co_7+Co_8+Co_9+Co_10)))</f>
        <v>#DIV/0!</v>
      </c>
    </row>
    <row r="34" spans="1:58" hidden="1" outlineLevel="1" x14ac:dyDescent="0.25">
      <c r="A34" s="73">
        <f>season</f>
        <v>0</v>
      </c>
      <c r="B34" s="73">
        <f>TG</f>
        <v>0</v>
      </c>
      <c r="C34" s="73">
        <f>TP</f>
        <v>0</v>
      </c>
      <c r="D34" s="74">
        <f>TCv</f>
        <v>0</v>
      </c>
      <c r="E34" s="75">
        <f>VE</f>
        <v>0</v>
      </c>
      <c r="F34" s="78" t="e">
        <f>G34/IF(mb=1,SUM(AC34:AN34),IF(mb=2,SUM(AD34:AN34),IF(mb=3,SUM(AE34:AN34),IF(mb=4,SUM(AF34:AN34),IF(mb=5,SUM(AG34:AN34),IF(mb=6,SUM(AH34:AN34),IF(mb=7,SUM(AI34:AN34),IF(mb=8,SUM(AJ34:AN34),0))))))))</f>
        <v>#DIV/0!</v>
      </c>
      <c r="G34" s="42">
        <f>IF(mb=1,SUM(AC34:AN34)-SUM(Q34:AB34),IF(mb=2,SUM(AD34:AN34)-SUM(R34:AB34),IF(mb=3,SUM(AE34:AN34)-SUM(S34:AB34),IF(mb=4,SUM(AF34:AN34)-SUM(T34:AB34),IF(mb=5,SUM(AG34:AN34)-SUM(U34:AB34),IF(mb=6,SUM(AH34:AN34)-SUM(V34:AB34),IF(mb=7,SUM(AI34:AN34)-SUM(W34:AB34),IF(mb=8,SUM(AJ34:AN34)-SUM(X34:AB34),0))))))))</f>
        <v>0</v>
      </c>
      <c r="H34" s="96" t="e">
        <f>1/(VE*IF(mb=1,SUM(AC34:AN34),IF(mb=2,SUM(AD34:AN34),IF(mb=3,SUM(AE34:AN34),IF(mb=4,SUM(AF34:AN34),IF(mb=5,SUM(AG34:AN34),IF(mb=6,SUM(AH34:AN34),IF(mb=7,SUM(AI34:AN34),IF(mb=8,SUM(AJ34:AN34),0))))))))/TP)</f>
        <v>#DIV/0!</v>
      </c>
      <c r="I34" s="93" t="e">
        <f>G34/lhnh</f>
        <v>#DIV/0!</v>
      </c>
      <c r="J34" s="42" t="e">
        <f>1/(VE*IF(mb=1,SUM(AC34:AN34),IF(mb=2,SUM(AD34:AN34),IF(mb=3,SUM(AE34:AN34),IF(mb=4,SUM(AF34:AN34),IF(mb=5,SUM(AG34:AN34),IF(mb=6,SUM(AH34:AN34),IF(mb=7,SUM(AI34:AN34),IF(mb=8,SUM(AJ34:AN34),0))))))))/(TP*lhnh))</f>
        <v>#DIV/0!</v>
      </c>
      <c r="K34" s="42" t="e">
        <f>M34*mai</f>
        <v>#DIV/0!</v>
      </c>
      <c r="L34" s="42" t="e">
        <f>1/(VE*((IF(mb=1,SUM(AC34:AN34),IF(mb=2,SUM(AD34:AN34),IF(mb=3,SUM(AE34:AN34),IF(mb=4,SUM(AF34:AN34),IF(mb=5,SUM(AG34:AN34),IF(mb=6,SUM(AH34:AN34),IF(mb=7,SUM(AI34:AN34),IF(mb=8,SUM(AJ34:AN34),0))))))))+(IF(mb=1,SUM(AC34:AN34),IF(mb=2,SUM(AD34:AN34),IF(mb=3,SUM(AE34:AN34),IF(mb=4,SUM(AF34:AN34),IF(mb=5,SUM(AG34:AN34),IF(mb=6,SUM(AH34:AN34),IF(mb=7,SUM(AI34:AN34),IF(mb=8,SUM(AJ34:AN34),0)))))))))/lhnh)*mai)/TP)</f>
        <v>#DIV/0!</v>
      </c>
      <c r="M34" s="42" t="e">
        <f>G34+I34</f>
        <v>#DIV/0!</v>
      </c>
      <c r="N34" s="42" t="e">
        <f>1/(VE*(IF(mb=1,SUM(AC34:AN34),IF(mb=2,SUM(AD34:AN34),IF(mb=3,SUM(AE34:AN34),IF(mb=4,SUM(AF34:AN34),IF(mb=5,SUM(AG34:AN34),IF(mb=6,SUM(AH34:AN34),IF(mb=7,SUM(AI34:AN34),IF(mb=8,SUM(AJ34:AN34),0))))))))+(IF(mb=1,SUM(AC34:AN34),IF(mb=2,SUM(AD34:AN34),IF(mb=3,SUM(AE34:AN34),IF(mb=4,SUM(AF34:AN34),IF(mb=5,SUM(AG34:AN34),IF(mb=6,SUM(AH34:AN34),IF(mb=7,SUM(AI34:AN34),IF(mb=8,SUM(AJ34:AN34),0)))))))))/lhnh)/TP)</f>
        <v>#DIV/0!</v>
      </c>
      <c r="Q34" s="86">
        <f>IF(ISc=1,H_1*lhnh,IF(ISc=2,H_1*lhnh,0))</f>
        <v>0</v>
      </c>
      <c r="R34" s="86">
        <f>IF(ScI=1,H_2*lhnh,IF(ScI=2,(TP-H_1-(H_1*lhnh)-(TP*Co_1*VE))*(H_2*lhnh/(TP-H_1-(H_1*lhnh))),0))</f>
        <v>0</v>
      </c>
      <c r="S34" s="86">
        <f>IF(ScI=1,H_3*lhnh,IF(ScI=2,(TP-H_1-((TP-H_1-(H_1*lhnh)-(TP*Co_1*VE))*H_2/(TP-H_1-(H_1*lhnh)))-(H_1*lhnh)-((TP-H_1-(H_1*lhnh)-(TP*Co_1*VE))*H_2*lhnh/(TP-H_1-(H_1*lhnh)))-(TP*Co_1*VE)-(TP*Co_2*VE))*(H_3*lhnh/(TP-H_1-H_2-(lhnh*(H_1+H_2)))),0))</f>
        <v>0</v>
      </c>
      <c r="T34" s="86">
        <f>IF(ScI=1,H_4*lhnh,IF(ScI=2,(TP-H_1-((TP-H_1-(H_1*lhnh)-(TP*Co_1*VE))*H_2/(TP-H_1-(H_1*lhnh)))-((TP-H_1-(((TP-H_1-(H_1*lhnh)-(TP*Co_1*VE))*H_2/(TP-H_1-(H_1*lhnh))))-(H_1*lhnh)-((TP-H_1-(H_1*lhnh)-(TP*Co_1*VE))*H_2*lhnh/(TP-H_1-(H_1*lhnh)))-(TP*Co_1*VE)-(TP*Co_2*VE))*(H_3/(TP-H_1-H_2-(lhnh*(H_1+H_2)))))-(H_1*lhnh)-((TP-H_1-(H_1*lhnh)-(TP*Co_1*VE))*H_2*lhnh/(TP-H_1-(H_1*lhnh)))-((TP-H_1-(((TP-H_1-(H_1*lhnh)-(TP*Co_1*VE))*H_2/(TP-H_1-(H_1*lhnh))))-(H_1*lhnh)-(((TP-H_1-(H_1*lhnh)-(TP*Co_1*VE))*H_2*lhnh/(TP-H_1-(H_1*lhnh))))-(TP*Co_1*VE)-(TP*Co_2*VE))*(H_3*lhnh/(TP-H_1-H_2-(lhnh*(H_1+H_2)))))-(TP*Co_1*VE)-(TP*Co_2*VE)-(TP*Co_3*VE))*(H_4*lhnh/(TP-H_1-H_2-H_3-(lhnh*(H_1+H_2+H_3)))),0))</f>
        <v>0</v>
      </c>
      <c r="U34" s="86">
        <f>IF(ScI=1,H_5*lhnh,IF(ScI=2,(TP-H_1-(((TP-H_1-(H_1*lhnh)-(TP*Co_1*VE))*H_2/(TP-H_1-(H_1*lhnh))))-AP33-AQ33-(H_1*lhnh)-((TP-H_1-(H_1*lhnh)-(TP*Co_1*VE))*H_2*lhnh/(TP-H_1-(H_1*lhnh)))-AP35-AQ35-(TP*Co_1*VE)-(TP*Co_2*VE)-(TP*Co_3*VE)-(TP*Co_4*VE))*(H_5*lhnh/(TP-H_1-H_2-H_3-H_4-(lhnh*(H_1+H_2+H_3+H_4)))),0))</f>
        <v>0</v>
      </c>
      <c r="V34" s="86">
        <f>IF(ScI=1,H_6*lhnh,IF(ScI=2,(TP-H_1-((TP-H_1-(H_1*lhnh)-(TP*Co_1*VE))*H_2/(TP-H_1-(H_1*lhnh)))-AP33-AQ33-AR33-(H_1*lhnh)-((TP-H_1-(H_1*lhnh)-(TP*Co_1*VE))*H_2*lhnh/(TP-H_1-(H_1*lhnh)))-AP35-AQ35-AR35-(TP*Co_1*VE)-(TP*Co_2*VE)-(TP*Co_3*VE)-(TP*Co_4*VE)-(TP*Co_5*VE))*(H_6*lhnh/(TP-H_1-H_2-H_3-H_4-H_5-(lhnh*(H_1+H_2+H_3+H_4+H_5)))),0))</f>
        <v>0</v>
      </c>
      <c r="W34" s="86">
        <f>IF(ScI=1,H_7*lhnh,IF(ScI=2,(TP-H_1-((TP-H_1-(H_1*lhnh)-(TP*Co_1*VE))*H_2/(TP-H_1-(H_1*lhnh)))-AP33-AQ33-AR33-AS33-(H_1*lhnh)-((TP-H_1-(H_1*lhnh)-(TP*Co_1*VE))*H_2*lhnh/(TP-H_1-(H_1*lhnh)))-AP35-AQ35-AR35-AS35-(TP*Co_1*VE)-(TP*Co_2*VE)-(TP*Co_3*VE)-(TP*Co_4*VE)-(TP*Co_5*VE)-(TP*Co_6*VE))*(H_7*lhnh/(TP-H_1-H_2-H_3-H_4-H_5-H_6-(lhnh*(H_1+H_2+H_3+H_4+H_5+H_6)))),0))</f>
        <v>0</v>
      </c>
      <c r="X34" s="86">
        <f>IF(ScI=1,H_8*lhnh,IF(ScI=2,(TP-H_1-((TP-H_1-(H_1*lhnh)-(TP*Co_1*VE))*H_2/(TP-H_1-(H_1*lhnh)))-AP33-AQ33-AR33-AS33-AT33-(H_1*lhnh)-((TP-H_1-(H_1*lhnh)-(TP*Co_1*VE))*H_2*lhnh/(TP-H_1-(H_1*lhnh)))-AP35-AQ35-AR35-AS35-AT35-(TP*Co_1*VE)-(TP*Co_2*VE)-(TP*Co_3*VE)-(TP*Co_4*VE)-(TP*Co_5*VE)-(TP*Co_6*VE)-(TP*Co_7*VE))*(H_8*lhnh/(TP-H_1-H_2-H_3-H_4-H_5-H_6-H_7-(lhnh*(H_1+H_2+H_3+H_4+H_5+H_6+H_7)))),0))</f>
        <v>0</v>
      </c>
      <c r="Y34" s="86">
        <f>IF(ScI=1,H_9*lhnh,IF(ScI=2,(TP-H_1-((TP-H_1-(H_1*lhnh)-(TP*Co_1*VE))*H_2/(TP-H_1-(H_1*lhnh)))-AP33-AQ33-AR33-AS33-AT33-AU33-(H_1*lhnh)-((TP-H_1-(H_1*lhnh)-(TP*Co_1*VE))*H_2*lhnh/(TP-H_1-(H_1*lhnh)))-AP35-AQ35-AR35-AS35-AT35-AU35-(TP*Co_1*VE)-(TP*Co_2*VE)-(TP*Co_3*VE)-(TP*Co_4*VE)-(TP*Co_5*VE)-(TP*Co_6*VE)-(TP*Co_7*VE)-(TP*Co_8*VE))*(H_9*lhnh/(TP-H_1-H_2-H_3-H_4-H_5-H_6-H_7-H_8-(lhnh*(H_1+H_2+H_3+H_4+H_5+H_6+H_7+H_8)))),0))</f>
        <v>0</v>
      </c>
      <c r="Z34" s="86">
        <f>IF(ScI=1,H_10*lhnh,IF(ScI=2,(TP-H_1-((TP-H_1-(H_1*lhnh)-(TP*Co_1*VE))*H_2/(TP-H_1-(H_1*lhnh)))-AP33-AQ33-AR33-AS33-AT33-AU33-AV33-(H_1*lhnh)-((TP-H_1-(H_1*lhnh)-(TP*Co_1*VE))*H_2*lhnh/(TP-H_1-(H_1*lhnh)))-AP35-AQ35-AR35-AS35-AT35-AU35-AV35-(TP*Co_1*VE)-(TP*Co_2*VE)-(TP*Co_3*VE)-(TP*Co_4*VE)-(TP*Co_5*VE)-(TP*Co_6*VE)-(TP*Co_7*VE)-(TP*Co_8*VE)-(TP*Co_9*VE))*(H_10*lhnh/(TP-H_1-H_2-H_3-H_4-H_5-H_6-H_7-H_8-H_9-(lhnh*(H_1+H_2+H_3+H_4+H_5+H_6+H_7+H_8+H_9)))),0))</f>
        <v>0</v>
      </c>
      <c r="AA34" s="86">
        <f>IF(ScI=1,H_11*lhnh,IF(ScI=2,(TP-H_1-((TP-H_1-(H_1*lhnh)-(TP*Co_1*VE))*H_2/(TP-H_1-(H_1*lhnh)))-AP33-AQ33-AR33-AS33-AT33-AU33-AV33-AW33-(H_1*lhnh)-((TP-H_1-(H_1*lhnh)-(TP*Co_1*VE))*H_2*lhnh/(TP-H_1-(H_1*lhnh)))-AP35-AQ35-AR35-AS35-AT35-AU35-AV35-AW35-(TP*Co_1*VE)-(TP*Co_2*VE)-(TP*Co_3*VE)-(TP*Co_4*VE)-(TP*Co_5*VE)-(TP*Co_6*VE)-(TP*Co_7*VE)-(TP*Co_8*VE)-(TP*Co_9*VE)-(TP*Co_10*VE))*(H_11*lhnh/(TP-H_1-H_2-H_3-H_4-H_5-H_6-H_7-H_8-H_9-H_10-(lhnh*(H_1+H_2+H_3+H_4+H_5+H_6+H_7+H_8+H_9+H_10)))),0))</f>
        <v>0</v>
      </c>
      <c r="AB34" s="86">
        <f>IF(ScI=1,H_12*lhnh,IF(ScI=2,(TP-H_1-((TP-H_1-(H_1*lhnh)-(TP*Co_1*VE))*H_2/(TP-H_1-(H_1*lhnh)))-AP33-AQ33-AR33-AS33-AT33-AU33-AV33-AW33-AX33-(H_1*lhnh)-((TP-H_1-(H_1*lhnh)-(TP*Co_1*VE))*H_2*lhnh/(TP-H_1-(H_1*lhnh)))-AP35-AQ35-AR35-AS35-AT35-AU35-AV35-AW35-AX35-(TP*Co_1*VE)-(TP*Co_2*VE)-(TP*Co_3*VE)-(TP*Co_4*VE)-(TP*Co_5*VE)-(TP*Co_6*VE)-(TP*Co_7*VE)-(TP*Co_8*VE)-(TP*Co_9*VE)-(TP*Co_10*VE)-(TP*Co_11*VE))*(H_12*lhnh/(TP-H_1-H_2-H_3-H_4-H_5-H_6-H_7-H_8-H_9-H_10-H_11-(lhnh*(H_1+H_2+H_3+H_4+H_5+H_6+H_7+H_8+H_9+H_10+H_11)))),0))</f>
        <v>0</v>
      </c>
      <c r="AC34" s="88">
        <f>IF(ScI=1,H_1*lhnh,IF(ScI=2,H_1*lhnh,0))</f>
        <v>0</v>
      </c>
      <c r="AD34" s="88" t="e">
        <f>IF(ScI=1,(TP-H_1-(H_1*lhnh))*H_2*lhnh/(TP-H_1-(H_1*lhnh)-(TP*Co_1*VE)),IF(ScI=2,H_2*lhnh,0))</f>
        <v>#DIV/0!</v>
      </c>
      <c r="AE34" s="88" t="e">
        <f>IF(ScI=1,(TP-H_1-((TP-H_1-(H_1*lhnh))*H_2/(TP-H_1-(H_1*lhnh)-(TP*Co_1*VE)))-(H_1*lhnh)-((TP-H_1-(H_1*lhnh))*H_2*lhnh/(TP-H_1-(H_1*lhnh)-(TP*Co_1*VE))))*H_3*lhnh/(TP-H_1-H_2-(lhnh*(H_1+H_2))-(TP*VE*(Co_1+Co_2))),IF(ScI=2,H_3*lhnh,0))</f>
        <v>#DIV/0!</v>
      </c>
      <c r="AF34" s="88" t="e">
        <f>IF(ScI=1,(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IF(ScI=2,H_4*lhnh,0))</f>
        <v>#DIV/0!</v>
      </c>
      <c r="AG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lhnh/(TP-H_1-H_2-H_3-H_4-(lhnh*(H_1+H_2+H_3+H_4))-(TP*VE*(Co_1+Co_2+Co_3+Co_4))),IF(ScI=2,H_5*lhnh,0))</f>
        <v>#DIV/0!</v>
      </c>
      <c r="AH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H_6*lhnh/(TP-H_1-H_2-H_3-H_4-H_5-(lhnh*(H_1+H_2+H_3+H_4+H_5))-(TP*VE*(Co_1+Co_2+Co_3+Co_4+Co_5))),IF(ScI=2,H_6*lhnh,0))</f>
        <v>#DIV/0!</v>
      </c>
      <c r="AI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H_7*lhnh/(TP-H_1-H_2-H_3-H_4-H_5-H_6-(lhnh*(H_1+H_2+H_3+H_4+H_5+H_6))-(TP*VE*(Co_1+Co_2+Co_3+Co_4+Co_5+Co_6))),IF(ScI=2,H_7*lhnh,0))</f>
        <v>#DIV/0!</v>
      </c>
      <c r="AJ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H_8*lhnh/(TP-H_1-H_2-H_3-H_4-H_5-H_6-H_7-(lhnh*(H_1+H_2+H_3+H_4+H_5+H_6+H_7))-(TP*VE*(Co_1+Co_2+Co_3+Co_4+Co_5+Co_6+Co_7))),IF(ScI=2,H_8*lhnh,0))</f>
        <v>#DIV/0!</v>
      </c>
      <c r="AK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H_9*lhnh/(TP-H_1-H_2-H_3-H_4-H_5-H_6-H_7-H_8-(lhnh*(H_1+H_2+H_3+H_4+H_5+H_6+H_7+H_8))-(TP*VE*(Co_1+Co_2+Co_3+Co_4+Co_5+Co_6+Co_7+Co_8))),IF(ScI=2,H_9*lhnh,0))</f>
        <v>#DIV/0!</v>
      </c>
      <c r="AL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H_10*lhnh/(TP-H_1-H_2-H_3-H_4-H_5-H_6-H_7-H_8-H_9-(lhnh*(H_1+H_2+H_3+H_4+H_5+H_6+H_7+H_8+H_9))-(TP*VE*(Co_1+Co_2+Co_3+Co_4+Co_5+Co_6+Co_7+Co_8+Co_9))),IF(ScI=2,H_10*lhnh,0))</f>
        <v>#DIV/0!</v>
      </c>
      <c r="AM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H_11*lhnh/(TP-H_1-H_2-H_3-H_4-H_5-H_6-H_7-H_8-H_9-H_10-(lhnh*(H_1+H_2+H_3+H_4+H_5+H_6+H_7+H_8+H_9+H_10))-(TP*VE*(Co_1+Co_2+Co_3+Co_4+Co_5+Co_6+Co_7+Co_8+Co_9+Co_10))),IF(ScI=2,H_11*lhnh,0))</f>
        <v>#DIV/0!</v>
      </c>
      <c r="AN34" s="88" t="e">
        <f>IF(ScI=1,(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BF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BF35)*H_12*lhnh/(TP-H_1-H_2-H_3-H_4-H_5-H_6-H_7-H_8-H_9-H_10-H_11-(lhnh*(H_1+H_2+H_3+H_4+H_5+H_6+H_7+H_8+H_9+H_10+H_11))-(TP*VE*(Co_1+Co_2+Co_3+Co_4+Co_5+Co_6+Co_7+Co_8+Co_9+Co_10+Co_11))),IF(ScI=2,H_12*lhnh,0))</f>
        <v>#DIV/0!</v>
      </c>
      <c r="AP34" s="103" t="s">
        <v>82</v>
      </c>
      <c r="AQ34" s="103" t="s">
        <v>83</v>
      </c>
      <c r="AR34" s="103" t="s">
        <v>84</v>
      </c>
      <c r="AS34" s="103" t="s">
        <v>85</v>
      </c>
      <c r="AT34" s="103" t="s">
        <v>86</v>
      </c>
      <c r="AU34" s="103" t="s">
        <v>87</v>
      </c>
      <c r="AV34" s="103" t="s">
        <v>88</v>
      </c>
      <c r="AW34" s="103" t="s">
        <v>89</v>
      </c>
      <c r="AX34" s="103" t="s">
        <v>90</v>
      </c>
      <c r="AZ34" s="103" t="s">
        <v>106</v>
      </c>
      <c r="BA34" s="103" t="s">
        <v>92</v>
      </c>
      <c r="BB34" s="103" t="s">
        <v>98</v>
      </c>
      <c r="BC34" s="103" t="s">
        <v>99</v>
      </c>
      <c r="BD34" s="103" t="s">
        <v>100</v>
      </c>
      <c r="BE34" s="103" t="s">
        <v>101</v>
      </c>
      <c r="BF34" s="103" t="s">
        <v>102</v>
      </c>
    </row>
    <row r="35" spans="1:58" hidden="1" outlineLevel="1" x14ac:dyDescent="0.25">
      <c r="G35" s="31"/>
      <c r="H35" s="31"/>
      <c r="I35" s="31"/>
      <c r="J35" s="31"/>
      <c r="K35" s="31"/>
      <c r="L35" s="31"/>
      <c r="M35" s="31"/>
      <c r="N35" s="31"/>
      <c r="P35" t="s">
        <v>107</v>
      </c>
      <c r="Q35" s="31" t="e">
        <f>'3. Model'!D38</f>
        <v>#DIV/0!</v>
      </c>
      <c r="R35" s="97" t="e">
        <f>'3. Model'!D39</f>
        <v>#DIV/0!</v>
      </c>
      <c r="S35" s="97">
        <f>'3. Model'!D40</f>
        <v>0</v>
      </c>
      <c r="T35" s="97" t="e">
        <f>'3. Model'!D41</f>
        <v>#VALUE!</v>
      </c>
      <c r="U35" s="97" t="e">
        <f>'3. Model'!D42</f>
        <v>#VALUE!</v>
      </c>
      <c r="V35" s="97">
        <f>'3. Model'!D43</f>
        <v>0</v>
      </c>
      <c r="W35" s="97">
        <f>'3. Model'!D44</f>
        <v>0</v>
      </c>
      <c r="X35" s="97">
        <f>'3. Model'!D45</f>
        <v>0</v>
      </c>
      <c r="Y35" s="97">
        <f>'3. Model'!D46</f>
        <v>0</v>
      </c>
      <c r="Z35" s="97">
        <f>'3. Model'!D47</f>
        <v>0</v>
      </c>
      <c r="AA35" s="97">
        <f>'3. Model'!D48</f>
        <v>0</v>
      </c>
      <c r="AB35" s="97">
        <f>'3. Model'!D49</f>
        <v>0</v>
      </c>
      <c r="AC35" s="98">
        <f>'3. Model'!S38</f>
        <v>0</v>
      </c>
      <c r="AD35" s="98">
        <f>'3. Model'!S39</f>
        <v>0</v>
      </c>
      <c r="AE35" s="98">
        <f>'3. Model'!S40</f>
        <v>0</v>
      </c>
      <c r="AF35" s="98">
        <f>'3. Model'!S41</f>
        <v>0</v>
      </c>
      <c r="AG35" s="98">
        <f>'3. Model'!S42</f>
        <v>0</v>
      </c>
      <c r="AH35" s="98">
        <f>'3. Model'!S43</f>
        <v>0</v>
      </c>
      <c r="AI35" s="98">
        <f>'3. Model'!S44</f>
        <v>0</v>
      </c>
      <c r="AJ35" s="98">
        <f>'3. Model'!S45</f>
        <v>0</v>
      </c>
      <c r="AK35" s="98">
        <f>'3. Model'!S46</f>
        <v>0</v>
      </c>
      <c r="AL35" s="98">
        <f>'3. Model'!S47</f>
        <v>0</v>
      </c>
      <c r="AM35" s="98">
        <f>'3. Model'!S48</f>
        <v>0</v>
      </c>
      <c r="AN35" s="98">
        <f>'3. Model'!S49</f>
        <v>0</v>
      </c>
      <c r="AP35" s="103" t="e">
        <f>((TP-H_1-((TP-H_1-(H_1*lhnh)-(TP*Co_1*VE))*H_2/(TP-H_1-(H_1*lhnh)))-(H_1*lhnh)-((TP-H_1-(H_1*lhnh)-(TP*Co_1*VE))*H_2*lhnh/(TP-H_1-(H_1*lhnh)))-(TP*Co_1*VE)-(TP*Co_2*VE))*(H_3*lhnh/(TP-H_1-H_2-(lhnh*(H_1+H_2)))))</f>
        <v>#DIV/0!</v>
      </c>
      <c r="AQ35" s="103" t="e">
        <f>(TP-H_1-((TP-H_1-(H_1*lhnh)-(TP*Co_1*VE))*H_2/(TP-H_1-(H_1*lhnh)))-AP33-(H_1*lhnh)-((TP-H_1-(H_1*lhnh)-(TP*Co_1*VE))*H_2*lhnh/(TP-H_1-(H_1*lhnh)))-AP35-(TP*Co_1*VE)-(TP*Co_2*VE)-(TP*Co_3*VE))*(H_4*lhnh/(TP-H_1-H_2-H_3-(lhnh*(H_1+H_2+H_3))))</f>
        <v>#DIV/0!</v>
      </c>
      <c r="AR35" s="103" t="e">
        <f>(TP-H_1-((TP-H_1-(H_1*lhnh)-(TP*Co_1*VE))*H_2/(TP-H_1-(H_1*lhnh)))-AP33-AQ33-(H_1*lhnh)-((TP-H_1-(H_1*lhnh)-(TP*Co_1*VE))*H_2*lhnh/(TP-H_1-(H_1*lhnh)))-AP35-AQ35-(TP*Co_1*VE)-(TP*Co_2*VE)-(TP*Co_3*VE)-(TP*Co_4*VE))*(H_5*lhnh/(TP-H_1-H_2-H_3-H_4-(lhnh*(H_1+H_2+H_3+H_4))))</f>
        <v>#DIV/0!</v>
      </c>
      <c r="AS35" s="103" t="e">
        <f>(TP-H_1-((TP-H_1-(H_1*lhnh)-(TP*Co_1*VE))*H_2/(TP-H_1-(H_1*lhnh)))-AP33-AQ33-AR33-(H_1*lhnh)-((TP-H_1-(H_1*lhnh)-(TP*Co_1*VE))*H_2*lhnh/(TP-H_1-(H_1*lhnh)))-AP35-AQ35-AR35-(TP*Co_1*VE)-(TP*Co_2*VE)-(TP*Co_3*VE)-(TP*Co_4*VE)-(TP*Co_5*VE))*(H_6*lhnh/(TP-H_1-H_2-H_3-H_4-H_5-(lhnh*(H_1+H_2+H_3+H_4+H_5))))</f>
        <v>#DIV/0!</v>
      </c>
      <c r="AT35" s="103" t="e">
        <f>(TP-H_1-((TP-H_1-(H_1*lhnh)-(TP*Co_1*VE))*H_2/(TP-H_1-(H_1*lhnh)))-AP33-AQ33-AR33-AS33-(H_1*lhnh)-((TP-H_1-(H_1*lhnh)-(TP*Co_1*VE))*H_2*lhnh/(TP-H_1-(H_1*lhnh)))-AP35-AQ35-AR35-AS35-(TP*Co_1*VE)-(TP*Co_2*VE)-(TP*Co_3*VE)-(TP*Co_4*VE)-(TP*Co_5*VE)-(TP*Co_6*VE))*(H_7*lhnh/(TP-H_1-H_2-H_3-H_4-H_5-H_6-(lhnh*(H_1+H_2+H_3+H_4+H_5+H_6))))</f>
        <v>#DIV/0!</v>
      </c>
      <c r="AU35" s="103" t="e">
        <f>(TP-H_1-((TP-H_1-(H_1*lhnh)-(TP*Co_1*VE))*H_2/(TP-H_1-(H_1*lhnh)))-AP33-AQ33-AR33-AS33-AT33-(H_1*lhnh)-((TP-H_1-(H_1*lhnh)-(TP*Co_1*VE))*H_2*lhnh/(TP-H_1-(H_1*lhnh)))-AP35-AQ35-AR35-AS35-AT35-(TP*Co_1*VE)-(TP*Co_2*VE)-(TP*Co_3*VE)-(TP*Co_4*VE)-(TP*Co_5*VE)-(TP*Co_6*VE)-(TP*Co_7*VE))*(H_8*lhnh/(TP-H_1-H_2-H_3-H_4-H_5-H_6-H_7-(lhnh*(H_1+H_2+H_3+H_4+H_5+H_6+H_7))))</f>
        <v>#DIV/0!</v>
      </c>
      <c r="AV35" s="103" t="e">
        <f>(TP-H_1-((TP-H_1-(H_1*lhnh)-(TP*Co_1*VE))*H_2/(TP-H_1-(H_1*lhnh)))-AP33-AQ33-AR33-AS33-AT33-AU33-(H_1*lhnh)-((TP-H_1-(H_1*lhnh)-(TP*Co_1*VE))*H_2*lhnh/(TP-H_1-(H_1*lhnh)))-AP35-AQ35-AR35-AS35-AT35-AU35-(TP*Co_1*VE)-(TP*Co_2*VE)-(TP*Co_3*VE)-(TP*Co_4*VE)-(TP*Co_5*VE)-(TP*Co_6*VE)-(TP*Co_7*VE)-(TP*Co_8*VE))*(H_9*lhnh/(TP-H_1-H_2-H_3-H_4-H_5-H_6-H_7-H_8-(lhnh*(H_1+H_2+H_3+H_4+H_5+H_6+H_7+H_8))))</f>
        <v>#DIV/0!</v>
      </c>
      <c r="AW35" s="103" t="e">
        <f>(TP-H_1-((TP-H_1-(H_1*lhnh)-(TP*Co_1*VE))*H_2/(TP-H_1-(H_1*lhnh)))-AP33-AQ33-AR33-AS33-AT33-AU33-AV33-(H_1*lhnh)-((TP-H_1-(H_1*lhnh)-(TP*Co_1*VE))*H_2*lhnh/(TP-H_1-(H_1*lhnh)))-AP35-AQ35-AR35-AS35-AT35-AU35-AV35-(TP*Co_1*VE)-(TP*Co_2*VE)-(TP*Co_3*VE)-(TP*Co_4*VE)-(TP*Co_5*VE)-(TP*Co_6*VE)-(TP*Co_7*VE)-(TP*Co_8*VE)-(TP*Co_9*VE))*(H_10*lhnh/(TP-H_1-H_2-H_3-H_4-H_5-H_6-H_7-H_8-H_9-(lhnh*(H_1+H_2+H_3+H_4+H_5+H_6+H_7+H_8+H_9))))</f>
        <v>#DIV/0!</v>
      </c>
      <c r="AX35" s="103" t="e">
        <f>(TP-H_1-((TP-H_1-(H_1*lhnh)-(TP*Co_1*VE))*H_2/(TP-H_1-(H_1*lhnh)))-AP33-AQ33-AR33-AS33-AT33-AU33-AV33-AW33-(H_1*lhnh)-((TP-H_1-(H_1*lhnh)-(TP*Co_1*VE))*H_2*lhnh/(TP-H_1-(H_1*lhnh)))-AP35-AQ35-AR35-AS35-AT35-AU35-AV35-AW35-(TP*Co_1*VE)-(TP*Co_2*VE)-(TP*Co_3*VE)-(TP*Co_4*VE)-(TP*Co_5*VE)-(TP*Co_6*VE)-(TP*Co_7*VE)-(TP*Co_8*VE)-(TP*Co_9*VE)-(TP*Co_10*VE))*(H_11*lhnh/(TP-H_1-H_2-H_3-H_4-H_5-H_6-H_7-H_8-H_9-H_10-(lhnh*(H_1+H_2+H_3+H_4+H_5+H_6+H_7+H_8+H_9+H_10))))</f>
        <v>#DIV/0!</v>
      </c>
      <c r="AZ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H_5*lhnh/(TP-H_1-H_2-H_3-H_4-(lhnh*(H_1+H_2+H_3+H_4))-(TP*VE*(Co_1+Co_2+Co_3+Co_4)))</f>
        <v>#DIV/0!</v>
      </c>
      <c r="BA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H_6*lhnh/(TP-H_1-H_2-H_3-H_4-H_5-(lhnh*(H_1+H_2+H_3+H_4+H_5))-(TP*VE*(Co_1+Co_2+Co_3+Co_4+Co_5)))</f>
        <v>#DIV/0!</v>
      </c>
      <c r="BB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H_7*lhnh/(TP-H_1-H_2-H_3-H_4-H_5-H_6-(lhnh*(H_1+H_2+H_3+H_4+H_5+H_6))-(TP*VE*(Co_1+Co_2+Co_3+Co_4+Co_5+Co_6)))</f>
        <v>#DIV/0!</v>
      </c>
      <c r="BC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H_8*lhnh/(TP-H_1-H_2-H_3-H_4-H_5-H_6-H_7-(lhnh*(H_1+H_2+H_3+H_4+H_5+H_6+H_7))-(TP*VE*(Co_1+Co_2+Co_3+Co_4+Co_5+Co_6+Co_7)))</f>
        <v>#DIV/0!</v>
      </c>
      <c r="BD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H_9*lhnh/(TP-H_1-H_2-H_3-H_4-H_5-H_6-H_7-H_8-(lhnh*(H_1+H_2+H_3+H_4+H_5+H_6+H_7+H_8))-(TP*VE*(Co_1+Co_2+Co_3+Co_4+Co_5+Co_6+Co_7+Co_8)))</f>
        <v>#DIV/0!</v>
      </c>
      <c r="BE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H_10*lhnh/(TP-H_1-H_2-H_3-H_4-H_5-H_6-H_7-H_8-H_9-(lhnh*(H_1+H_2+H_3+H_4+H_5+H_6+H_7+H_8+H_9))-(TP*VE*(Co_1+Co_2+Co_3+Co_4+Co_5+Co_6+Co_7+Co_8+Co_9)))</f>
        <v>#DIV/0!</v>
      </c>
      <c r="BF35" s="103" t="e">
        <f>(TP-H_1-((TP-H_1-(H_1*lhnh))*H_2/(TP-H_1-(H_1*lhnh)-(TP*Co_1*VE)))-((TP-H_1-((TP-H_1-(H_1*lhnh))*H_2/(TP-H_1-(H_1*lhnh)-(TP*Co_1*VE)))-(H_1*lhnh)-((TP-H_1-(H_1*lhnh))*H_2*lhnh/(TP-H_1-(H_1*lhnh)-(TP*Co_1*VE))))*H_3/(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TP-H_1-H_2-H_3-(lhnh*(H_1+H_2+H_3))-(TP*VE*(Co_1+Co_2+Co_3))))-AZ33-BA33-BB33-BC33-BD33-BE33-(H_1*lhnh)-((TP-H_1-(H_1*lhnh))*H_2*lhnh/(TP-H_1-(H_1*lhnh)-(TP*Co_1*VE)))-((TP-H_1-((TP-H_1-(H_1*lhnh))*H_2/(TP-H_1-(H_1*lhnh)-(TP*Co_1*VE)))-(H_1*lhnh)-((TP-H_1-(H_1*lhnh))*H_2*lhnh/(TP-H_1-(H_1*lhnh)-(TP*Co_1*VE))))*H_3*lhnh/(TP-H_1-H_2-(lhnh*(H_1+H_2))-(TP*VE*(Co_1+Co_2))))-((TP-H_1-((TP-H_1-(H_1*lhnh))*H_2/(TP-H_1-(H_1*lhnh)-(TP*Co_1*VE)))-((TP-H_1-((TP-H_1-(H_1*lhnh))*H_2/(TP-H_1-(H_1*lhnh)-(TP*Co_1*VE)))-(H_1*lhnh)-((TP-H_1-(H_1*lhnh))*H_2*lhnh/(TP-H_1-(H_1*lhnh)-(TP*Co_1*VE))))*H_3/(TP-H_1-H_2-(lhnh*(H_1+H_2))-(TP*VE*(Co_1+Co_2))))-(H_1*lhnh)-((TP-H_1-(H_1*lhnh))*H_2*lhnh/(TP-H_1-(H_1*lhnh)-(TP*Co_1*VE)))-((TP-H_1-((TP-H_1-(H_1*lhnh))*H_2/(TP-H_1-(H_1*lhnh)-(TP*Co_1*VE)))-(H_1*lhnh)-((TP-H_1-(H_1*lhnh))*H_2*lhnh/(TP-H_1-(H_1*lhnh)-(TP*Co_1*VE))))*H_3*lhnh/(TP-H_1-H_2-(lhnh*(H_1+H_2))-(TP*VE*(Co_1+Co_2)))))*H_4*lhnh/(TP-H_1-H_2-H_3-(lhnh*(H_1+H_2+H_3))-(TP*VE*(Co_1+Co_2+Co_3))))-AZ35-BA35-BB35-BC35-BD35-BE35)*H_11*lhnh/(TP-H_1-H_2-H_3-H_4-H_5-H_6-H_7-H_8-H_9-H_10-(lhnh*(H_1+H_2+H_3+H_4+H_5+H_6+H_7+H_8+H_9+H_10))-(TP*VE*(Co_1+Co_2+Co_3+Co_4+Co_5+Co_6+Co_7+Co_8+Co_9+Co_10)))</f>
        <v>#DIV/0!</v>
      </c>
    </row>
    <row r="36" spans="1:58" hidden="1" outlineLevel="1" x14ac:dyDescent="0.25">
      <c r="F36" s="32" t="e">
        <f>(F5-F34)*SUM(AE34:AN34)</f>
        <v>#DIV/0!</v>
      </c>
    </row>
    <row r="37" spans="1:58" hidden="1" outlineLevel="1" x14ac:dyDescent="0.25">
      <c r="BC37" t="s">
        <v>117</v>
      </c>
    </row>
    <row r="38" spans="1:58" collapsed="1" x14ac:dyDescent="0.25"/>
    <row r="39" spans="1:58" s="105" customFormat="1" x14ac:dyDescent="0.25">
      <c r="A39" s="104" t="s">
        <v>116</v>
      </c>
      <c r="B39" s="104"/>
    </row>
    <row r="40" spans="1:58" hidden="1" outlineLevel="1" x14ac:dyDescent="0.25">
      <c r="Q40" s="369" t="s">
        <v>72</v>
      </c>
      <c r="R40" s="369"/>
      <c r="S40" s="369"/>
      <c r="T40" s="369"/>
      <c r="U40" s="369"/>
      <c r="V40" s="369"/>
      <c r="W40" s="369"/>
      <c r="X40" s="369"/>
      <c r="Y40" s="369"/>
      <c r="Z40" s="369"/>
      <c r="AA40" s="369"/>
      <c r="AB40" s="369"/>
      <c r="AC40" s="370" t="s">
        <v>104</v>
      </c>
      <c r="AD40" s="370"/>
      <c r="AE40" s="370"/>
      <c r="AF40" s="370"/>
      <c r="AG40" s="370"/>
      <c r="AH40" s="370"/>
      <c r="AI40" s="370"/>
      <c r="AJ40" s="370"/>
      <c r="AK40" s="370"/>
      <c r="AL40" s="370"/>
      <c r="AM40" s="370"/>
      <c r="AN40" s="370"/>
      <c r="AP40" s="103">
        <v>3</v>
      </c>
      <c r="AQ40" s="103">
        <v>4</v>
      </c>
      <c r="AR40" s="103">
        <v>5</v>
      </c>
      <c r="AS40" s="103">
        <v>6</v>
      </c>
      <c r="AT40" s="103">
        <v>7</v>
      </c>
      <c r="AU40" s="103">
        <v>8</v>
      </c>
      <c r="AV40" s="103">
        <v>9</v>
      </c>
      <c r="AW40" s="103">
        <v>10</v>
      </c>
      <c r="AX40" s="103">
        <v>11</v>
      </c>
      <c r="AZ40" s="103">
        <v>5</v>
      </c>
      <c r="BA40" s="103">
        <v>6</v>
      </c>
      <c r="BB40" s="103">
        <v>7</v>
      </c>
      <c r="BC40" s="103">
        <v>8</v>
      </c>
      <c r="BD40" s="103">
        <v>9</v>
      </c>
      <c r="BE40" s="103">
        <v>10</v>
      </c>
      <c r="BF40" s="103">
        <v>11</v>
      </c>
    </row>
    <row r="41" spans="1:58" ht="45" hidden="1" outlineLevel="1" x14ac:dyDescent="0.25">
      <c r="A41" s="11" t="s">
        <v>47</v>
      </c>
      <c r="B41" s="11"/>
      <c r="C41" s="11"/>
      <c r="D41" s="11"/>
      <c r="E41" s="11"/>
      <c r="F41" s="11"/>
      <c r="G41" s="371" t="s">
        <v>50</v>
      </c>
      <c r="H41" s="371"/>
      <c r="I41" s="372" t="s">
        <v>44</v>
      </c>
      <c r="J41" s="372"/>
      <c r="K41" s="370" t="s">
        <v>58</v>
      </c>
      <c r="L41" s="370"/>
      <c r="M41" s="372" t="s">
        <v>45</v>
      </c>
      <c r="N41" s="372"/>
      <c r="Q41" s="369" t="s">
        <v>1</v>
      </c>
      <c r="R41" s="369"/>
      <c r="S41" s="369"/>
      <c r="T41" s="369"/>
      <c r="U41" s="369"/>
      <c r="V41" s="369"/>
      <c r="W41" s="369"/>
      <c r="X41" s="369"/>
      <c r="Y41" s="369"/>
      <c r="Z41" s="369"/>
      <c r="AA41" s="369"/>
      <c r="AB41" s="369"/>
      <c r="AC41" s="370" t="s">
        <v>71</v>
      </c>
      <c r="AD41" s="370"/>
      <c r="AE41" s="370"/>
      <c r="AF41" s="370"/>
      <c r="AG41" s="370"/>
      <c r="AH41" s="370"/>
      <c r="AI41" s="370"/>
      <c r="AJ41" s="370"/>
      <c r="AK41" s="370"/>
      <c r="AL41" s="370"/>
      <c r="AM41" s="370"/>
      <c r="AN41" s="370"/>
      <c r="AP41" s="103" t="s">
        <v>73</v>
      </c>
      <c r="AQ41" s="103" t="s">
        <v>74</v>
      </c>
      <c r="AR41" s="103" t="s">
        <v>75</v>
      </c>
      <c r="AS41" s="103" t="s">
        <v>76</v>
      </c>
      <c r="AT41" s="103" t="s">
        <v>77</v>
      </c>
      <c r="AU41" s="103" t="s">
        <v>78</v>
      </c>
      <c r="AV41" s="103" t="s">
        <v>79</v>
      </c>
      <c r="AW41" s="103" t="s">
        <v>80</v>
      </c>
      <c r="AX41" s="103" t="s">
        <v>81</v>
      </c>
      <c r="AZ41" s="103" t="s">
        <v>105</v>
      </c>
      <c r="BA41" s="103" t="s">
        <v>91</v>
      </c>
      <c r="BB41" s="103" t="s">
        <v>93</v>
      </c>
      <c r="BC41" s="103" t="s">
        <v>94</v>
      </c>
      <c r="BD41" s="103" t="s">
        <v>95</v>
      </c>
      <c r="BE41" s="103" t="s">
        <v>96</v>
      </c>
      <c r="BF41" s="103" t="s">
        <v>97</v>
      </c>
    </row>
    <row r="42" spans="1:58" ht="45" hidden="1" outlineLevel="1" x14ac:dyDescent="0.25">
      <c r="A42" s="70" t="s">
        <v>40</v>
      </c>
      <c r="B42" s="70" t="s">
        <v>41</v>
      </c>
      <c r="C42" s="70" t="s">
        <v>53</v>
      </c>
      <c r="D42" s="70" t="s">
        <v>48</v>
      </c>
      <c r="E42" s="70" t="s">
        <v>42</v>
      </c>
      <c r="F42" s="76" t="s">
        <v>49</v>
      </c>
      <c r="G42" s="71" t="s">
        <v>51</v>
      </c>
      <c r="H42" s="71" t="s">
        <v>52</v>
      </c>
      <c r="I42" s="72" t="s">
        <v>51</v>
      </c>
      <c r="J42" s="72" t="s">
        <v>52</v>
      </c>
      <c r="K42" s="77" t="s">
        <v>51</v>
      </c>
      <c r="L42" s="77" t="s">
        <v>52</v>
      </c>
      <c r="M42" s="72" t="s">
        <v>51</v>
      </c>
      <c r="N42" s="72" t="s">
        <v>52</v>
      </c>
      <c r="Q42" s="102">
        <v>1</v>
      </c>
      <c r="R42" s="102">
        <v>2</v>
      </c>
      <c r="S42" s="102">
        <v>3</v>
      </c>
      <c r="T42" s="102">
        <v>4</v>
      </c>
      <c r="U42" s="102">
        <v>5</v>
      </c>
      <c r="V42" s="102">
        <v>6</v>
      </c>
      <c r="W42" s="102">
        <v>7</v>
      </c>
      <c r="X42" s="102">
        <v>8</v>
      </c>
      <c r="Y42" s="102">
        <v>9</v>
      </c>
      <c r="Z42" s="102">
        <v>10</v>
      </c>
      <c r="AA42" s="102">
        <v>11</v>
      </c>
      <c r="AB42" s="102">
        <v>12</v>
      </c>
      <c r="AC42" s="101">
        <v>1</v>
      </c>
      <c r="AD42" s="101">
        <v>2</v>
      </c>
      <c r="AE42" s="101">
        <v>3</v>
      </c>
      <c r="AF42" s="101">
        <v>4</v>
      </c>
      <c r="AG42" s="101">
        <v>5</v>
      </c>
      <c r="AH42" s="101">
        <v>6</v>
      </c>
      <c r="AI42" s="101">
        <v>7</v>
      </c>
      <c r="AJ42" s="101">
        <v>8</v>
      </c>
      <c r="AK42" s="101">
        <v>9</v>
      </c>
      <c r="AL42" s="101">
        <v>10</v>
      </c>
      <c r="AM42" s="101">
        <v>11</v>
      </c>
      <c r="AN42" s="101">
        <v>12</v>
      </c>
      <c r="AP42" s="103" t="e">
        <f>((TP-H_1-((TP-H_1-(H_1*uhnh)-(TP*Co_1*VE))*H_2/(TP-H_1-(H_1*uhnh)))-(H_1*uhnh)-((TP-H_1-(H_1*uhnh)-(TP*Co_1*VE))*H_2*uhnh/(TP-H_1-(H_1*uhnh)))-(TP*Co_1*VE)-(TP*Co_2*VE))*(H_3/(TP-H_1-H_2-(uhnh*(H_1+H_2)))))</f>
        <v>#DIV/0!</v>
      </c>
      <c r="AQ42" s="103" t="e">
        <f>(TP-H_1-((TP-H_1-(H_1*uhnh)-(TP*Co_1*VE))*H_2/(TP-H_1-(H_1*uhnh)))-AP42-(H_1*uhnh)-((TP-H_1-(H_1*uhnh)-(TP*Co_1*VE))*H_2*uhnh/(TP-H_1-(H_1*uhnh)))-AP44-(TP*Co_1*VE)-(TP*Co_2*VE)-(TP*Co_3*VE))*(H_4/(TP-H_1-H_2-H_3-(uhnh*(H_1+H_2+H_3))))</f>
        <v>#DIV/0!</v>
      </c>
      <c r="AR42" s="103" t="e">
        <f>(TP-H_1-((TP-H_1-(H_1*uhnh)-(TP*Co_1*VE))*H_2/(TP-H_1-(H_1*uhnh)))-AP42-AQ42-(H_1*uhnh)-((TP-H_1-(H_1*uhnh)-(TP*Co_1*VE))*H_2*uhnh/(TP-H_1-(H_1*uhnh)))-AP44-AQ44-(TP*Co_1*VE)-(TP*Co_2*VE)-(TP*Co_3*VE)-(TP*Co_4*VE))*(H_5/(TP-H_1-H_2-H_3-H_4-(uhnh*(H_1+H_2+H_3+H_4))))</f>
        <v>#DIV/0!</v>
      </c>
      <c r="AS42" s="103" t="e">
        <f>(TP-H_1-((TP-H_1-(H_1*uhnh)-(TP*Co_1*VE))*H_2/(TP-H_1-(H_1*uhnh)))-AP42-AQ42-AR42-(H_1*uhnh)-((TP-H_1-(H_1*uhnh)-(TP*Co_1*VE))*H_2*uhnh/(TP-H_1-(H_1*uhnh)))-AP44-AQ44-AR44-(TP*Co_1*VE)-(TP*Co_2*VE)-(TP*Co_3*VE)-(TP*Co_4*VE)-(TP*Co_5*VE))*(H_6/(TP-H_1-H_2-H_3-H_4-H_5-(uhnh*(H_1+H_2+H_3+H_4+H_5))))</f>
        <v>#DIV/0!</v>
      </c>
      <c r="AT42" s="103" t="e">
        <f>(TP-H_1-((TP-H_1-(H_1*uhnh)-(TP*Co_1*VE))*H_2/(TP-H_1-(H_1*uhnh)))-AP42-AQ42-AR42-AS42-(H_1*uhnh)-((TP-H_1-(H_1*uhnh)-(TP*Co_1*VE))*H_2*uhnh/(TP-H_1-(H_1*uhnh)))-AP44-AQ44-AR44-AS44-(TP*Co_1*VE)-(TP*Co_2*VE)-(TP*Co_3*VE)-(TP*Co_4*VE)-(TP*Co_5*VE)-(TP*Co_6*VE))*(H_7/(TP-H_1-H_2-H_3-H_4-H_5-H_6-(uhnh*(H_1+H_2+H_3+H_4+H_5+H_6))))</f>
        <v>#DIV/0!</v>
      </c>
      <c r="AU42" s="103" t="e">
        <f>(TP-H_1-((TP-H_1-(H_1*uhnh)-(TP*Co_1*VE))*H_2/(TP-H_1-(H_1*uhnh)))-AP42-AQ42-AR42-AS42-AT42-(H_1*uhnh)-((TP-H_1-(H_1*uhnh)-(TP*Co_1*VE))*H_2*uhnh/(TP-H_1-(H_1*uhnh)))-AP44-AQ44-AR44-AS44-AT44-(TP*Co_1*VE)-(TP*Co_2*VE)-(TP*Co_3*VE)-(TP*Co_4*VE)-(TP*Co_5*VE)-(TP*Co_6*VE)-(TP*Co_7*VE))*(H_8/(TP-H_1-H_2-H_3-H_4-H_5-H_6-H_7-(uhnh*(H_1+H_2+H_3+H_4+H_5+H_6+H_7))))</f>
        <v>#DIV/0!</v>
      </c>
      <c r="AV42" s="103" t="e">
        <f>(TP-H_1-((TP-H_1-(H_1*uhnh)-(TP*Co_1*VE))*H_2/(TP-H_1-(H_1*uhnh)))-AP42-AQ42-AR42-AS42-AT42-AU42-(H_1*uhnh)-((TP-H_1-(H_1*uhnh)-(TP*Co_1*VE))*H_2*uhnh/(TP-H_1-(H_1*uhnh)))-AP44-AQ44-AR44-AS44-AT44-AU44-(TP*Co_1*VE)-(TP*Co_2*VE)-(TP*Co_3*VE)-(TP*Co_4*VE)-(TP*Co_5*VE)-(TP*Co_6*VE)-(TP*Co_7*VE)-(TP*Co_8*VE))*(H_9/(TP-H_1-H_2-H_3-H_4-H_5-H_6-H_7-H_8-(uhnh*(H_1+H_2+H_3+H_4+H_5+H_6+H_7+H_8))))</f>
        <v>#DIV/0!</v>
      </c>
      <c r="AW42" s="103" t="e">
        <f>(TP-H_1-((TP-H_1-(H_1*uhnh)-(TP*Co_1*VE))*H_2/(TP-H_1-(H_1*uhnh)))-AP42-AQ42-AR42-AS42-AT42-AU42-AV42-(H_1*uhnh)-((TP-H_1-(H_1*uhnh)-(TP*Co_1*VE))*H_2*uhnh/(TP-H_1-(H_1*uhnh)))-AP44-AQ44-AR44-AS44-AT44-AU44-AV44-(TP*Co_1*VE)-(TP*Co_2*VE)-(TP*Co_3*VE)-(TP*Co_4*VE)-(TP*Co_5*VE)-(TP*Co_6*VE)-(TP*Co_7*VE)-(TP*Co_8*VE)-(TP*Co_9*VE))*(H_10/(TP-H_1-H_2-H_3-H_4-H_5-H_6-H_7-H_8-H_9-(uhnh*(H_1+H_2+H_3+H_4+H_5+H_6+H_7+H_8+H_9))))</f>
        <v>#DIV/0!</v>
      </c>
      <c r="AX42" s="103" t="e">
        <f>(TP-H_1-((TP-H_1-(H_1*uhnh)-(TP*Co_1*VE))*H_2/(TP-H_1-(H_1*uhnh)))-AP42-AQ42-AR42-AS42-AT42-AU42-AV42-AW42-(H_1*uhnh)-((TP-H_1-(H_1*uhnh)-(TP*Co_1*VE))*H_2*uhnh/(TP-H_1-(H_1*uhnh)))-AP44-AQ44-AR44-AS44-AT44-AU44-AV44-AW44-(TP*Co_1*VE)-(TP*Co_2*VE)-(TP*Co_3*VE)-(TP*Co_4*VE)-(TP*Co_5*VE)-(TP*Co_6*VE)-(TP*Co_7*VE)-(TP*Co_8*VE)-(TP*Co_9*VE)-(TP*Co_10*VE))*(H_11/(TP-H_1-H_2-H_3-H_4-H_5-H_6-H_7-H_8-H_9-H_10-(uhnh*(H_1+H_2+H_3+H_4+H_5+H_6+H_7+H_8+H_9+H_10))))</f>
        <v>#DIV/0!</v>
      </c>
      <c r="AZ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H_5/(TP-H_1-H_2-H_3-H_4-(uhnh*(H_1+H_2+H_3+H_4))-(TP*VE*(Co_1+Co_2+Co_3+Co_4)))</f>
        <v>#DIV/0!</v>
      </c>
      <c r="BA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H_6/(TP-H_1-H_2-H_3-H_4-H_5-(uhnh*(H_1+H_2+H_3+H_4+H_5))-(TP*VE*(Co_1+Co_2+Co_3+Co_4+Co_5)))</f>
        <v>#DIV/0!</v>
      </c>
      <c r="BB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H_7/(TP-H_1-H_2-H_3-H_4-H_5-H_6-(uhnh*(H_1+H_2+H_3+H_4+H_5+H_6))-(TP*VE*(Co_1+Co_2+Co_3+Co_4+Co_5+Co_6)))</f>
        <v>#DIV/0!</v>
      </c>
      <c r="BC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H_8/(TP-H_1-H_2-H_3-H_4-H_5-H_6-H_7-(uhnh*(H_1+H_2+H_3+H_4+H_5+H_6+H_7))-(TP*VE*(Co_1+Co_2+Co_3+Co_4+Co_5+Co_6+Co_7)))</f>
        <v>#DIV/0!</v>
      </c>
      <c r="BD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H_9/(TP-H_1-H_2-H_3-H_4-H_5-H_6-H_7-H_8-(uhnh*(H_1+H_2+H_3+H_4+H_5+H_6+H_7+H_8))-(TP*VE*(Co_1+Co_2+Co_3+Co_4+Co_5+Co_6+Co_7+Co_8)))</f>
        <v>#DIV/0!</v>
      </c>
      <c r="BE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H_10/(TP-H_1-H_2-H_3-H_4-H_5-H_6-H_7-H_8-H_9-(uhnh*(H_1+H_2+H_3+H_4+H_5+H_6+H_7+H_8+H_9))-(TP*VE*(Co_1+Co_2+Co_3+Co_4+Co_5+Co_6+Co_7+Co_8+Co_9)))</f>
        <v>#DIV/0!</v>
      </c>
      <c r="BF42"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H_11/(TP-H_1-H_2-H_3-H_4-H_5-H_6-H_7-H_8-H_9-H_10-(uhnh*(H_1+H_2+H_3+H_4+H_5+H_6+H_7+H_8+H_9+H_10))-(TP*VE*(Co_1+Co_2+Co_3+Co_4+Co_5+Co_6+Co_7+Co_8+Co_9+Co_10)))</f>
        <v>#DIV/0!</v>
      </c>
    </row>
    <row r="43" spans="1:58" hidden="1" outlineLevel="1" x14ac:dyDescent="0.25">
      <c r="A43" s="73">
        <f>season</f>
        <v>0</v>
      </c>
      <c r="B43" s="73">
        <f>TG</f>
        <v>0</v>
      </c>
      <c r="C43" s="73">
        <f>TP</f>
        <v>0</v>
      </c>
      <c r="D43" s="74">
        <f>TCv</f>
        <v>0</v>
      </c>
      <c r="E43" s="75">
        <f>VE</f>
        <v>0</v>
      </c>
      <c r="F43" s="78" t="e">
        <f>G43/IF(mb=1,SUM(AC43:AN43),IF(mb=2,SUM(AD43:AN43),IF(mb=3,SUM(AE43:AN43),IF(mb=4,SUM(AF43:AN43),IF(mb=5,SUM(AG43:AN43),IF(mb=6,SUM(AH43:AN43),IF(mb=7,SUM(AI43:AN43),IF(mb=8,SUM(AJ43:AN43),0))))))))</f>
        <v>#DIV/0!</v>
      </c>
      <c r="G43" s="42">
        <f>IF(mb=1,SUM(AC43:AN43)-SUM(Q43:AB43),IF(mb=2,SUM(AD43:AN43)-SUM(R43:AB43),IF(mb=3,SUM(AE43:AN43)-SUM(S43:AB43),IF(mb=4,SUM(AF43:AN43)-SUM(T43:AB43),IF(mb=5,SUM(AG43:AN43)-SUM(U43:AB43),IF(mb=6,SUM(AH43:AN43)-SUM(V43:AB43),IF(mb=7,SUM(AI43:AN43)-SUM(W43:AB43),IF(mb=8,SUM(AJ43:AN43)-SUM(X43:AB43),0))))))))</f>
        <v>0</v>
      </c>
      <c r="H43" s="96" t="e">
        <f>1/(VE*IF(mb=1,SUM(AC43:AN43),IF(mb=2,SUM(AD43:AN43),IF(mb=3,SUM(AE43:AN43),IF(mb=4,SUM(AF43:AN43),IF(mb=5,SUM(AG43:AN43),IF(mb=6,SUM(AH43:AN43),IF(mb=7,SUM(AI43:AN43),IF(mb=8,SUM(AJ43:AN43),0))))))))/TP)</f>
        <v>#DIV/0!</v>
      </c>
      <c r="I43" s="93" t="e">
        <f>G43/uhnh</f>
        <v>#DIV/0!</v>
      </c>
      <c r="J43" s="42" t="e">
        <f>1/(VE*IF(mb=1,SUM(AC43:AN43),IF(mb=2,SUM(AD43:AN43),IF(mb=3,SUM(AE43:AN43),IF(mb=4,SUM(AF43:AN43),IF(mb=5,SUM(AG43:AN43),IF(mb=6,SUM(AH43:AN43),IF(mb=7,SUM(AI43:AN43),IF(mb=8,SUM(AJ43:AN43),0))))))))/(TP*uhnh))</f>
        <v>#DIV/0!</v>
      </c>
      <c r="K43" s="42" t="e">
        <f>M43*mai</f>
        <v>#DIV/0!</v>
      </c>
      <c r="L43" s="42" t="e">
        <f>1/(VE*((IF(mb=1,SUM(AC43:AN43),IF(mb=2,SUM(AD43:AN43),IF(mb=3,SUM(AE43:AN43),IF(mb=4,SUM(AF43:AN43),IF(mb=5,SUM(AG43:AN43),IF(mb=6,SUM(AH43:AN43),IF(mb=7,SUM(AI43:AN43),IF(mb=8,SUM(AJ43:AN43),0))))))))+(IF(mb=1,SUM(AC43:AN43),IF(mb=2,SUM(AD43:AN43),IF(mb=3,SUM(AE43:AN43),IF(mb=4,SUM(AF43:AN43),IF(mb=5,SUM(AG43:AN43),IF(mb=6,SUM(AH43:AN43),IF(mb=7,SUM(AI43:AN43),IF(mb=8,SUM(AJ43:AN43),0)))))))))/uhnh)*mai)/TP)</f>
        <v>#DIV/0!</v>
      </c>
      <c r="M43" s="42" t="e">
        <f>G43+I43</f>
        <v>#DIV/0!</v>
      </c>
      <c r="N43" s="42" t="e">
        <f>1/(VE*(IF(mb=1,SUM(AC43:AN43),IF(mb=2,SUM(AD43:AN43),IF(mb=3,SUM(AE43:AN43),IF(mb=4,SUM(AF43:AN43),IF(mb=5,SUM(AG43:AN43),IF(mb=6,SUM(AH43:AN43),IF(mb=7,SUM(AI43:AN43),IF(mb=8,SUM(AJ43:AN43),0))))))))+(IF(mb=1,SUM(AC43:AN43),IF(mb=2,SUM(AD43:AN43),IF(mb=3,SUM(AE43:AN43),IF(mb=4,SUM(AF43:AN43),IF(mb=5,SUM(AG43:AN43),IF(mb=6,SUM(AH43:AN43),IF(mb=7,SUM(AI43:AN43),IF(mb=8,SUM(AJ43:AN43),0)))))))))/uhnh)/TP)</f>
        <v>#DIV/0!</v>
      </c>
      <c r="Q43" s="86">
        <f>IF(ISc=1,H_1*uhnh,IF(ISc=2,H_1*uhnh,0))</f>
        <v>0</v>
      </c>
      <c r="R43" s="86">
        <f>IF(ScI=1,H_2*uhnh,IF(ScI=2,(TP-H_1-(H_1*uhnh)-(TP*Co_1*VE))*(H_2*uhnh/(TP-H_1-(H_1*uhnh))),0))</f>
        <v>0</v>
      </c>
      <c r="S43" s="86">
        <f>IF(ScI=1,H_3*uhnh,IF(ScI=2,(TP-H_1-((TP-H_1-(H_1*uhnh)-(TP*Co_1*VE))*H_2/(TP-H_1-(H_1*uhnh)))-(H_1*uhnh)-((TP-H_1-(H_1*uhnh)-(TP*Co_1*VE))*H_2*uhnh/(TP-H_1-(H_1*uhnh)))-(TP*Co_1*VE)-(TP*Co_2*VE))*(H_3*uhnh/(TP-H_1-H_2-(uhnh*(H_1+H_2)))),0))</f>
        <v>0</v>
      </c>
      <c r="T43" s="86">
        <f>IF(ScI=1,H_4*uhnh,IF(ScI=2,(TP-H_1-((TP-H_1-(H_1*uhnh)-(TP*Co_1*VE))*H_2/(TP-H_1-(H_1*uhnh)))-((TP-H_1-(((TP-H_1-(H_1*uhnh)-(TP*Co_1*VE))*H_2/(TP-H_1-(H_1*uhnh))))-(H_1*uhnh)-((TP-H_1-(H_1*uhnh)-(TP*Co_1*VE))*H_2*uhnh/(TP-H_1-(H_1*uhnh)))-(TP*Co_1*VE)-(TP*Co_2*VE))*(H_3/(TP-H_1-H_2-(uhnh*(H_1+H_2)))))-(H_1*uhnh)-((TP-H_1-(H_1*uhnh)-(TP*Co_1*VE))*H_2*uhnh/(TP-H_1-(H_1*uhnh)))-((TP-H_1-(((TP-H_1-(H_1*uhnh)-(TP*Co_1*VE))*H_2/(TP-H_1-(H_1*uhnh))))-(H_1*uhnh)-(((TP-H_1-(H_1*uhnh)-(TP*Co_1*VE))*H_2*uhnh/(TP-H_1-(H_1*uhnh))))-(TP*Co_1*VE)-(TP*Co_2*VE))*(H_3*uhnh/(TP-H_1-H_2-(uhnh*(H_1+H_2)))))-(TP*Co_1*VE)-(TP*Co_2*VE)-(TP*Co_3*VE))*(H_4*uhnh/(TP-H_1-H_2-H_3-(uhnh*(H_1+H_2+H_3)))),0))</f>
        <v>0</v>
      </c>
      <c r="U43" s="86">
        <f>IF(ScI=1,H_5*uhnh,IF(ScI=2,(TP-H_1-(((TP-H_1-(H_1*uhnh)-(TP*Co_1*VE))*H_2/(TP-H_1-(H_1*uhnh))))-AP42-AQ42-(H_1*uhnh)-((TP-H_1-(H_1*uhnh)-(TP*Co_1*VE))*H_2*uhnh/(TP-H_1-(H_1*uhnh)))-AP44-AQ44-(TP*Co_1*VE)-(TP*Co_2*VE)-(TP*Co_3*VE)-(TP*Co_4*VE))*(H_5*uhnh/(TP-H_1-H_2-H_3-H_4-(uhnh*(H_1+H_2+H_3+H_4)))),0))</f>
        <v>0</v>
      </c>
      <c r="V43" s="86">
        <f>IF(ScI=1,H_6*uhnh,IF(ScI=2,(TP-H_1-((TP-H_1-(H_1*uhnh)-(TP*Co_1*VE))*H_2/(TP-H_1-(H_1*uhnh)))-AP42-AQ42-AR42-(H_1*uhnh)-((TP-H_1-(H_1*uhnh)-(TP*Co_1*VE))*H_2*uhnh/(TP-H_1-(H_1*uhnh)))-AP44-AQ44-AR44-(TP*Co_1*VE)-(TP*Co_2*VE)-(TP*Co_3*VE)-(TP*Co_4*VE)-(TP*Co_5*VE))*(H_6*uhnh/(TP-H_1-H_2-H_3-H_4-H_5-(uhnh*(H_1+H_2+H_3+H_4+H_5)))),0))</f>
        <v>0</v>
      </c>
      <c r="W43" s="86">
        <f>IF(ScI=1,H_7*uhnh,IF(ScI=2,(TP-H_1-((TP-H_1-(H_1*uhnh)-(TP*Co_1*VE))*H_2/(TP-H_1-(H_1*uhnh)))-AP42-AQ42-AR42-AS42-(H_1*uhnh)-((TP-H_1-(H_1*uhnh)-(TP*Co_1*VE))*H_2*uhnh/(TP-H_1-(H_1*uhnh)))-AP44-AQ44-AR44-AS44-(TP*Co_1*VE)-(TP*Co_2*VE)-(TP*Co_3*VE)-(TP*Co_4*VE)-(TP*Co_5*VE)-(TP*Co_6*VE))*(H_7*uhnh/(TP-H_1-H_2-H_3-H_4-H_5-H_6-(uhnh*(H_1+H_2+H_3+H_4+H_5+H_6)))),0))</f>
        <v>0</v>
      </c>
      <c r="X43" s="86">
        <f>IF(ScI=1,H_8*uhnh,IF(ScI=2,(TP-H_1-((TP-H_1-(H_1*uhnh)-(TP*Co_1*VE))*H_2/(TP-H_1-(H_1*uhnh)))-AP42-AQ42-AR42-AS42-AT42-(H_1*uhnh)-((TP-H_1-(H_1*uhnh)-(TP*Co_1*VE))*H_2*uhnh/(TP-H_1-(H_1*uhnh)))-AP44-AQ44-AR44-AS44-AT44-(TP*Co_1*VE)-(TP*Co_2*VE)-(TP*Co_3*VE)-(TP*Co_4*VE)-(TP*Co_5*VE)-(TP*Co_6*VE)-(TP*Co_7*VE))*(H_8*uhnh/(TP-H_1-H_2-H_3-H_4-H_5-H_6-H_7-(uhnh*(H_1+H_2+H_3+H_4+H_5+H_6+H_7)))),0))</f>
        <v>0</v>
      </c>
      <c r="Y43" s="86">
        <f>IF(ScI=1,H_9*uhnh,IF(ScI=2,(TP-H_1-((TP-H_1-(H_1*uhnh)-(TP*Co_1*VE))*H_2/(TP-H_1-(H_1*uhnh)))-AP42-AQ42-AR42-AS42-AT42-AU42-(H_1*uhnh)-((TP-H_1-(H_1*uhnh)-(TP*Co_1*VE))*H_2*uhnh/(TP-H_1-(H_1*uhnh)))-AP44-AQ44-AR44-AS44-AT44-AU44-(TP*Co_1*VE)-(TP*Co_2*VE)-(TP*Co_3*VE)-(TP*Co_4*VE)-(TP*Co_5*VE)-(TP*Co_6*VE)-(TP*Co_7*VE)-(TP*Co_8*VE))*(H_9*uhnh/(TP-H_1-H_2-H_3-H_4-H_5-H_6-H_7-H_8-(uhnh*(H_1+H_2+H_3+H_4+H_5+H_6+H_7+H_8)))),0))</f>
        <v>0</v>
      </c>
      <c r="Z43" s="86">
        <f>IF(ScI=1,H_10*uhnh,IF(ScI=2,(TP-H_1-((TP-H_1-(H_1*uhnh)-(TP*Co_1*VE))*H_2/(TP-H_1-(H_1*uhnh)))-AP42-AQ42-AR42-AS42-AT42-AU42-AV42-(H_1*uhnh)-((TP-H_1-(H_1*uhnh)-(TP*Co_1*VE))*H_2*uhnh/(TP-H_1-(H_1*uhnh)))-AP44-AQ44-AR44-AS44-AT44-AU44-AV44-(TP*Co_1*VE)-(TP*Co_2*VE)-(TP*Co_3*VE)-(TP*Co_4*VE)-(TP*Co_5*VE)-(TP*Co_6*VE)-(TP*Co_7*VE)-(TP*Co_8*VE)-(TP*Co_9*VE))*(H_10*uhnh/(TP-H_1-H_2-H_3-H_4-H_5-H_6-H_7-H_8-H_9-(uhnh*(H_1+H_2+H_3+H_4+H_5+H_6+H_7+H_8+H_9)))),0))</f>
        <v>0</v>
      </c>
      <c r="AA43" s="86">
        <f>IF(ScI=1,H_11*uhnh,IF(ScI=2,(TP-H_1-((TP-H_1-(H_1*uhnh)-(TP*Co_1*VE))*H_2/(TP-H_1-(H_1*uhnh)))-AP42-AQ42-AR42-AS42-AT42-AU42-AV42-AW42-(H_1*uhnh)-((TP-H_1-(H_1*uhnh)-(TP*Co_1*VE))*H_2*uhnh/(TP-H_1-(H_1*uhnh)))-AP44-AQ44-AR44-AS44-AT44-AU44-AV44-AW44-(TP*Co_1*VE)-(TP*Co_2*VE)-(TP*Co_3*VE)-(TP*Co_4*VE)-(TP*Co_5*VE)-(TP*Co_6*VE)-(TP*Co_7*VE)-(TP*Co_8*VE)-(TP*Co_9*VE)-(TP*Co_10*VE))*(H_11*uhnh/(TP-H_1-H_2-H_3-H_4-H_5-H_6-H_7-H_8-H_9-H_10-(uhnh*(H_1+H_2+H_3+H_4+H_5+H_6+H_7+H_8+H_9+H_10)))),0))</f>
        <v>0</v>
      </c>
      <c r="AB43" s="86">
        <f>IF(ScI=1,H_12*uhnh,IF(ScI=2,(TP-H_1-((TP-H_1-(H_1*uhnh)-(TP*Co_1*VE))*H_2/(TP-H_1-(H_1*uhnh)))-AP42-AQ42-AR42-AS42-AT42-AU42-AV42-AW42-AX42-(H_1*uhnh)-((TP-H_1-(H_1*uhnh)-(TP*Co_1*VE))*H_2*uhnh/(TP-H_1-(H_1*uhnh)))-AP44-AQ44-AR44-AS44-AT44-AU44-AV44-AW44-AX44-(TP*Co_1*VE)-(TP*Co_2*VE)-(TP*Co_3*VE)-(TP*Co_4*VE)-(TP*Co_5*VE)-(TP*Co_6*VE)-(TP*Co_7*VE)-(TP*Co_8*VE)-(TP*Co_9*VE)-(TP*Co_10*VE)-(TP*Co_11*VE))*(H_12*uhnh/(TP-H_1-H_2-H_3-H_4-H_5-H_6-H_7-H_8-H_9-H_10-H_11-(uhnh*(H_1+H_2+H_3+H_4+H_5+H_6+H_7+H_8+H_9+H_10+H_11)))),0))</f>
        <v>0</v>
      </c>
      <c r="AC43" s="88">
        <f>IF(ScI=1,H_1*uhnh,IF(ScI=2,H_1*uhnh,0))</f>
        <v>0</v>
      </c>
      <c r="AD43" s="88" t="e">
        <f>IF(ScI=1,(TP-H_1-(H_1*uhnh))*H_2*uhnh/(TP-H_1-(H_1*uhnh)-(TP*Co_1*VE)),IF(ScI=2,H_2*uhnh,0))</f>
        <v>#DIV/0!</v>
      </c>
      <c r="AE43" s="88" t="e">
        <f>IF(ScI=1,(TP-H_1-((TP-H_1-(H_1*uhnh))*H_2/(TP-H_1-(H_1*uhnh)-(TP*Co_1*VE)))-(H_1*uhnh)-((TP-H_1-(H_1*uhnh))*H_2*uhnh/(TP-H_1-(H_1*uhnh)-(TP*Co_1*VE))))*H_3*uhnh/(TP-H_1-H_2-(uhnh*(H_1+H_2))-(TP*VE*(Co_1+Co_2))),IF(ScI=2,H_3*uhnh,0))</f>
        <v>#DIV/0!</v>
      </c>
      <c r="AF43" s="88" t="e">
        <f>IF(ScI=1,(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IF(ScI=2,H_4*uhnh,0))</f>
        <v>#DIV/0!</v>
      </c>
      <c r="AG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H_5*uhnh/(TP-H_1-H_2-H_3-H_4-(uhnh*(H_1+H_2+H_3+H_4))-(TP*VE*(Co_1+Co_2+Co_3+Co_4))),IF(ScI=2,H_5*uhnh,0))</f>
        <v>#DIV/0!</v>
      </c>
      <c r="AH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H_6*uhnh/(TP-H_1-H_2-H_3-H_4-H_5-(uhnh*(H_1+H_2+H_3+H_4+H_5))-(TP*VE*(Co_1+Co_2+Co_3+Co_4+Co_5))),IF(ScI=2,H_6*uhnh,0))</f>
        <v>#DIV/0!</v>
      </c>
      <c r="AI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H_7*uhnh/(TP-H_1-H_2-H_3-H_4-H_5-H_6-(uhnh*(H_1+H_2+H_3+H_4+H_5+H_6))-(TP*VE*(Co_1+Co_2+Co_3+Co_4+Co_5+Co_6))),IF(ScI=2,H_7*uhnh,0))</f>
        <v>#DIV/0!</v>
      </c>
      <c r="AJ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H_8*uhnh/(TP-H_1-H_2-H_3-H_4-H_5-H_6-H_7-(uhnh*(H_1+H_2+H_3+H_4+H_5+H_6+H_7))-(TP*VE*(Co_1+Co_2+Co_3+Co_4+Co_5+Co_6+Co_7))),IF(ScI=2,H_8*uhnh,0))</f>
        <v>#DIV/0!</v>
      </c>
      <c r="AK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H_9*uhnh/(TP-H_1-H_2-H_3-H_4-H_5-H_6-H_7-H_8-(uhnh*(H_1+H_2+H_3+H_4+H_5+H_6+H_7+H_8))-(TP*VE*(Co_1+Co_2+Co_3+Co_4+Co_5+Co_6+Co_7+Co_8))),IF(ScI=2,H_9*uhnh,0))</f>
        <v>#DIV/0!</v>
      </c>
      <c r="AL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H_10*uhnh/(TP-H_1-H_2-H_3-H_4-H_5-H_6-H_7-H_8-H_9-(uhnh*(H_1+H_2+H_3+H_4+H_5+H_6+H_7+H_8+H_9))-(TP*VE*(Co_1+Co_2+Co_3+Co_4+Co_5+Co_6+Co_7+Co_8+Co_9))),IF(ScI=2,H_10*uhnh,0))</f>
        <v>#DIV/0!</v>
      </c>
      <c r="AM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H_11*uhnh/(TP-H_1-H_2-H_3-H_4-H_5-H_6-H_7-H_8-H_9-H_10-(uhnh*(H_1+H_2+H_3+H_4+H_5+H_6+H_7+H_8+H_9+H_10))-(TP*VE*(Co_1+Co_2+Co_3+Co_4+Co_5+Co_6+Co_7+Co_8+Co_9+Co_10))),IF(ScI=2,H_11*uhnh,0))</f>
        <v>#DIV/0!</v>
      </c>
      <c r="AN43" s="88" t="e">
        <f>IF(ScI=1,(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BF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BF44)*H_12*uhnh/(TP-H_1-H_2-H_3-H_4-H_5-H_6-H_7-H_8-H_9-H_10-H_11-(uhnh*(H_1+H_2+H_3+H_4+H_5+H_6+H_7+H_8+H_9+H_10+H_11))-(TP*VE*(Co_1+Co_2+Co_3+Co_4+Co_5+Co_6+Co_7+Co_8+Co_9+Co_10+Co_11))),IF(ScI=2,H_12*uhnh,0))</f>
        <v>#DIV/0!</v>
      </c>
      <c r="AP43" s="103" t="s">
        <v>82</v>
      </c>
      <c r="AQ43" s="103" t="s">
        <v>83</v>
      </c>
      <c r="AR43" s="103" t="s">
        <v>84</v>
      </c>
      <c r="AS43" s="103" t="s">
        <v>85</v>
      </c>
      <c r="AT43" s="103" t="s">
        <v>86</v>
      </c>
      <c r="AU43" s="103" t="s">
        <v>87</v>
      </c>
      <c r="AV43" s="103" t="s">
        <v>88</v>
      </c>
      <c r="AW43" s="103" t="s">
        <v>89</v>
      </c>
      <c r="AX43" s="103" t="s">
        <v>90</v>
      </c>
      <c r="AZ43" s="103" t="s">
        <v>106</v>
      </c>
      <c r="BA43" s="103" t="s">
        <v>92</v>
      </c>
      <c r="BB43" s="103" t="s">
        <v>98</v>
      </c>
      <c r="BC43" s="103" t="s">
        <v>99</v>
      </c>
      <c r="BD43" s="103" t="s">
        <v>100</v>
      </c>
      <c r="BE43" s="103" t="s">
        <v>101</v>
      </c>
      <c r="BF43" s="103" t="s">
        <v>102</v>
      </c>
    </row>
    <row r="44" spans="1:58" hidden="1" outlineLevel="1" x14ac:dyDescent="0.25">
      <c r="G44" s="31"/>
      <c r="H44" s="31"/>
      <c r="I44" s="31"/>
      <c r="J44" s="31"/>
      <c r="K44" s="31"/>
      <c r="L44" s="31"/>
      <c r="M44" s="31"/>
      <c r="N44" s="31"/>
      <c r="Q44" s="31"/>
      <c r="R44" s="97"/>
      <c r="S44" s="97"/>
      <c r="T44" s="97"/>
      <c r="U44" s="97"/>
      <c r="V44" s="97"/>
      <c r="W44" s="97"/>
      <c r="X44" s="97"/>
      <c r="Y44" s="97"/>
      <c r="Z44" s="97"/>
      <c r="AA44" s="97"/>
      <c r="AB44" s="97"/>
      <c r="AC44" s="98"/>
      <c r="AD44" s="98"/>
      <c r="AE44" s="98"/>
      <c r="AF44" s="98"/>
      <c r="AG44" s="98"/>
      <c r="AH44" s="98"/>
      <c r="AI44" s="98"/>
      <c r="AJ44" s="98"/>
      <c r="AK44" s="98"/>
      <c r="AL44" s="98"/>
      <c r="AM44" s="98"/>
      <c r="AN44" s="98"/>
      <c r="AP44" s="103" t="e">
        <f>((TP-H_1-((TP-H_1-(H_1*uhnh)-(TP*Co_1*VE))*H_2/(TP-H_1-(H_1*uhnh)))-(H_1*uhnh)-((TP-H_1-(H_1*uhnh)-(TP*Co_1*VE))*H_2*uhnh/(TP-H_1-(H_1*uhnh)))-(TP*Co_1*VE)-(TP*Co_2*VE))*(H_3*uhnh/(TP-H_1-H_2-(uhnh*(H_1+H_2)))))</f>
        <v>#DIV/0!</v>
      </c>
      <c r="AQ44" s="103" t="e">
        <f>(TP-H_1-((TP-H_1-(H_1*uhnh)-(TP*Co_1*VE))*H_2/(TP-H_1-(H_1*uhnh)))-AP42-(H_1*uhnh)-((TP-H_1-(H_1*uhnh)-(TP*Co_1*VE))*H_2*uhnh/(TP-H_1-(H_1*uhnh)))-AP44-(TP*Co_1*VE)-(TP*Co_2*VE)-(TP*Co_3*VE))*(H_4*uhnh/(TP-H_1-H_2-H_3-(uhnh*(H_1+H_2+H_3))))</f>
        <v>#DIV/0!</v>
      </c>
      <c r="AR44" s="103" t="e">
        <f>(TP-H_1-((TP-H_1-(H_1*uhnh)-(TP*Co_1*VE))*H_2/(TP-H_1-(H_1*uhnh)))-AP42-AQ42-(H_1*uhnh)-((TP-H_1-(H_1*uhnh)-(TP*Co_1*VE))*H_2*uhnh/(TP-H_1-(H_1*uhnh)))-AP44-AQ44-(TP*Co_1*VE)-(TP*Co_2*VE)-(TP*Co_3*VE)-(TP*Co_4*VE))*(H_5*uhnh/(TP-H_1-H_2-H_3-H_4-(uhnh*(H_1+H_2+H_3+H_4))))</f>
        <v>#DIV/0!</v>
      </c>
      <c r="AS44" s="103" t="e">
        <f>(TP-H_1-((TP-H_1-(H_1*uhnh)-(TP*Co_1*VE))*H_2/(TP-H_1-(H_1*uhnh)))-AP42-AQ42-AR42-(H_1*uhnh)-((TP-H_1-(H_1*uhnh)-(TP*Co_1*VE))*H_2*uhnh/(TP-H_1-(H_1*uhnh)))-AP44-AQ44-AR44-(TP*Co_1*VE)-(TP*Co_2*VE)-(TP*Co_3*VE)-(TP*Co_4*VE)-(TP*Co_5*VE))*(H_6*uhnh/(TP-H_1-H_2-H_3-H_4-H_5-(uhnh*(H_1+H_2+H_3+H_4+H_5))))</f>
        <v>#DIV/0!</v>
      </c>
      <c r="AT44" s="103" t="e">
        <f>(TP-H_1-((TP-H_1-(H_1*uhnh)-(TP*Co_1*VE))*H_2/(TP-H_1-(H_1*uhnh)))-AP42-AQ42-AR42-AS42-(H_1*uhnh)-((TP-H_1-(H_1*uhnh)-(TP*Co_1*VE))*H_2*uhnh/(TP-H_1-(H_1*uhnh)))-AP44-AQ44-AR44-AS44-(TP*Co_1*VE)-(TP*Co_2*VE)-(TP*Co_3*VE)-(TP*Co_4*VE)-(TP*Co_5*VE)-(TP*Co_6*VE))*(H_7*uhnh/(TP-H_1-H_2-H_3-H_4-H_5-H_6-(uhnh*(H_1+H_2+H_3+H_4+H_5+H_6))))</f>
        <v>#DIV/0!</v>
      </c>
      <c r="AU44" s="103" t="e">
        <f>(TP-H_1-((TP-H_1-(H_1*uhnh)-(TP*Co_1*VE))*H_2/(TP-H_1-(H_1*uhnh)))-AP42-AQ42-AR42-AS42-AT42-(H_1*uhnh)-((TP-H_1-(H_1*uhnh)-(TP*Co_1*VE))*H_2*uhnh/(TP-H_1-(H_1*uhnh)))-AP44-AQ44-AR44-AS44-AT44-(TP*Co_1*VE)-(TP*Co_2*VE)-(TP*Co_3*VE)-(TP*Co_4*VE)-(TP*Co_5*VE)-(TP*Co_6*VE)-(TP*Co_7*VE))*(H_8*uhnh/(TP-H_1-H_2-H_3-H_4-H_5-H_6-H_7-(uhnh*(H_1+H_2+H_3+H_4+H_5+H_6+H_7))))</f>
        <v>#DIV/0!</v>
      </c>
      <c r="AV44" s="103" t="e">
        <f>(TP-H_1-((TP-H_1-(H_1*uhnh)-(TP*Co_1*VE))*H_2/(TP-H_1-(H_1*uhnh)))-AP42-AQ42-AR42-AS42-AT42-AU42-(H_1*uhnh)-((TP-H_1-(H_1*uhnh)-(TP*Co_1*VE))*H_2*uhnh/(TP-H_1-(H_1*uhnh)))-AP44-AQ44-AR44-AS44-AT44-AU44-(TP*Co_1*VE)-(TP*Co_2*VE)-(TP*Co_3*VE)-(TP*Co_4*VE)-(TP*Co_5*VE)-(TP*Co_6*VE)-(TP*Co_7*VE)-(TP*Co_8*VE))*(H_9*uhnh/(TP-H_1-H_2-H_3-H_4-H_5-H_6-H_7-H_8-(uhnh*(H_1+H_2+H_3+H_4+H_5+H_6+H_7+H_8))))</f>
        <v>#DIV/0!</v>
      </c>
      <c r="AW44" s="103" t="e">
        <f>(TP-H_1-((TP-H_1-(H_1*uhnh)-(TP*Co_1*VE))*H_2/(TP-H_1-(H_1*uhnh)))-AP42-AQ42-AR42-AS42-AT42-AU42-AV42-(H_1*uhnh)-((TP-H_1-(H_1*uhnh)-(TP*Co_1*VE))*H_2*uhnh/(TP-H_1-(H_1*uhnh)))-AP44-AQ44-AR44-AS44-AT44-AU44-AV44-(TP*Co_1*VE)-(TP*Co_2*VE)-(TP*Co_3*VE)-(TP*Co_4*VE)-(TP*Co_5*VE)-(TP*Co_6*VE)-(TP*Co_7*VE)-(TP*Co_8*VE)-(TP*Co_9*VE))*(H_10*uhnh/(TP-H_1-H_2-H_3-H_4-H_5-H_6-H_7-H_8-H_9-(uhnh*(H_1+H_2+H_3+H_4+H_5+H_6+H_7+H_8+H_9))))</f>
        <v>#DIV/0!</v>
      </c>
      <c r="AX44" s="103" t="e">
        <f>(TP-H_1-((TP-H_1-(H_1*uhnh)-(TP*Co_1*VE))*H_2/(TP-H_1-(H_1*uhnh)))-AP42-AQ42-AR42-AS42-AT42-AU42-AV42-AW42-(H_1*uhnh)-((TP-H_1-(H_1*uhnh)-(TP*Co_1*VE))*H_2*uhnh/(TP-H_1-(H_1*uhnh)))-AP44-AQ44-AR44-AS44-AT44-AU44-AV44-AW44-(TP*Co_1*VE)-(TP*Co_2*VE)-(TP*Co_3*VE)-(TP*Co_4*VE)-(TP*Co_5*VE)-(TP*Co_6*VE)-(TP*Co_7*VE)-(TP*Co_8*VE)-(TP*Co_9*VE)-(TP*Co_10*VE))*(H_11*uhnh/(TP-H_1-H_2-H_3-H_4-H_5-H_6-H_7-H_8-H_9-H_10-(uhnh*(H_1+H_2+H_3+H_4+H_5+H_6+H_7+H_8+H_9+H_10))))</f>
        <v>#DIV/0!</v>
      </c>
      <c r="AZ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H_5*uhnh/(TP-H_1-H_2-H_3-H_4-(uhnh*(H_1+H_2+H_3+H_4))-(TP*VE*(Co_1+Co_2+Co_3+Co_4)))</f>
        <v>#DIV/0!</v>
      </c>
      <c r="BA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H_6*uhnh/(TP-H_1-H_2-H_3-H_4-H_5-(uhnh*(H_1+H_2+H_3+H_4+H_5))-(TP*VE*(Co_1+Co_2+Co_3+Co_4+Co_5)))</f>
        <v>#DIV/0!</v>
      </c>
      <c r="BB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H_7*uhnh/(TP-H_1-H_2-H_3-H_4-H_5-H_6-(uhnh*(H_1+H_2+H_3+H_4+H_5+H_6))-(TP*VE*(Co_1+Co_2+Co_3+Co_4+Co_5+Co_6)))</f>
        <v>#DIV/0!</v>
      </c>
      <c r="BC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H_8*uhnh/(TP-H_1-H_2-H_3-H_4-H_5-H_6-H_7-(uhnh*(H_1+H_2+H_3+H_4+H_5+H_6+H_7))-(TP*VE*(Co_1+Co_2+Co_3+Co_4+Co_5+Co_6+Co_7)))</f>
        <v>#DIV/0!</v>
      </c>
      <c r="BD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H_9*uhnh/(TP-H_1-H_2-H_3-H_4-H_5-H_6-H_7-H_8-(uhnh*(H_1+H_2+H_3+H_4+H_5+H_6+H_7+H_8))-(TP*VE*(Co_1+Co_2+Co_3+Co_4+Co_5+Co_6+Co_7+Co_8)))</f>
        <v>#DIV/0!</v>
      </c>
      <c r="BE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H_10*uhnh/(TP-H_1-H_2-H_3-H_4-H_5-H_6-H_7-H_8-H_9-(uhnh*(H_1+H_2+H_3+H_4+H_5+H_6+H_7+H_8+H_9))-(TP*VE*(Co_1+Co_2+Co_3+Co_4+Co_5+Co_6+Co_7+Co_8+Co_9)))</f>
        <v>#DIV/0!</v>
      </c>
      <c r="BF44" s="103" t="e">
        <f>(TP-H_1-((TP-H_1-(H_1*uhnh))*H_2/(TP-H_1-(H_1*uhnh)-(TP*Co_1*VE)))-((TP-H_1-((TP-H_1-(H_1*uhnh))*H_2/(TP-H_1-(H_1*uhnh)-(TP*Co_1*VE)))-(H_1*uhnh)-((TP-H_1-(H_1*uhnh))*H_2*uhnh/(TP-H_1-(H_1*uhnh)-(TP*Co_1*VE))))*H_3/(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TP-H_1-H_2-H_3-(uhnh*(H_1+H_2+H_3))-(TP*VE*(Co_1+Co_2+Co_3))))-AZ42-BA42-BB42-BC42-BD42-BE42-(H_1*uhnh)-((TP-H_1-(H_1*uhnh))*H_2*uhnh/(TP-H_1-(H_1*uhnh)-(TP*Co_1*VE)))-((TP-H_1-((TP-H_1-(H_1*uhnh))*H_2/(TP-H_1-(H_1*uhnh)-(TP*Co_1*VE)))-(H_1*uhnh)-((TP-H_1-(H_1*uhnh))*H_2*uhnh/(TP-H_1-(H_1*uhnh)-(TP*Co_1*VE))))*H_3*uhnh/(TP-H_1-H_2-(uhnh*(H_1+H_2))-(TP*VE*(Co_1+Co_2))))-((TP-H_1-((TP-H_1-(H_1*uhnh))*H_2/(TP-H_1-(H_1*uhnh)-(TP*Co_1*VE)))-((TP-H_1-((TP-H_1-(H_1*uhnh))*H_2/(TP-H_1-(H_1*uhnh)-(TP*Co_1*VE)))-(H_1*uhnh)-((TP-H_1-(H_1*uhnh))*H_2*uhnh/(TP-H_1-(H_1*uhnh)-(TP*Co_1*VE))))*H_3/(TP-H_1-H_2-(uhnh*(H_1+H_2))-(TP*VE*(Co_1+Co_2))))-(H_1*uhnh)-((TP-H_1-(H_1*uhnh))*H_2*uhnh/(TP-H_1-(H_1*uhnh)-(TP*Co_1*VE)))-((TP-H_1-((TP-H_1-(H_1*uhnh))*H_2/(TP-H_1-(H_1*uhnh)-(TP*Co_1*VE)))-(H_1*uhnh)-((TP-H_1-(H_1*uhnh))*H_2*uhnh/(TP-H_1-(H_1*uhnh)-(TP*Co_1*VE))))*H_3*uhnh/(TP-H_1-H_2-(uhnh*(H_1+H_2))-(TP*VE*(Co_1+Co_2)))))*H_4*uhnh/(TP-H_1-H_2-H_3-(uhnh*(H_1+H_2+H_3))-(TP*VE*(Co_1+Co_2+Co_3))))-AZ44-BA44-BB44-BC44-BD44-BE44)*H_11*uhnh/(TP-H_1-H_2-H_3-H_4-H_5-H_6-H_7-H_8-H_9-H_10-(uhnh*(H_1+H_2+H_3+H_4+H_5+H_6+H_7+H_8+H_9+H_10))-(TP*VE*(Co_1+Co_2+Co_3+Co_4+Co_5+Co_6+Co_7+Co_8+Co_9+Co_10)))</f>
        <v>#DIV/0!</v>
      </c>
    </row>
    <row r="45" spans="1:58" hidden="1" outlineLevel="1" x14ac:dyDescent="0.25">
      <c r="F45" s="114" t="e">
        <f>(F43-F5)*SUM(AE43:AN43)</f>
        <v>#DIV/0!</v>
      </c>
    </row>
    <row r="46" spans="1:58" hidden="1" outlineLevel="1" x14ac:dyDescent="0.25"/>
    <row r="47" spans="1:58" collapsed="1" x14ac:dyDescent="0.25"/>
    <row r="48" spans="1:58" s="105" customFormat="1" x14ac:dyDescent="0.25">
      <c r="A48" s="104" t="s">
        <v>128</v>
      </c>
      <c r="B48" s="104"/>
    </row>
    <row r="49" spans="1:58" outlineLevel="1" x14ac:dyDescent="0.25">
      <c r="Q49" s="369" t="s">
        <v>72</v>
      </c>
      <c r="R49" s="369"/>
      <c r="S49" s="369"/>
      <c r="T49" s="369"/>
      <c r="U49" s="369"/>
      <c r="V49" s="369"/>
      <c r="W49" s="369"/>
      <c r="X49" s="369"/>
      <c r="Y49" s="369"/>
      <c r="Z49" s="369"/>
      <c r="AA49" s="369"/>
      <c r="AB49" s="369"/>
      <c r="AC49" s="370" t="s">
        <v>104</v>
      </c>
      <c r="AD49" s="370"/>
      <c r="AE49" s="370"/>
      <c r="AF49" s="370"/>
      <c r="AG49" s="370"/>
      <c r="AH49" s="370"/>
      <c r="AI49" s="370"/>
      <c r="AJ49" s="370"/>
      <c r="AK49" s="370"/>
      <c r="AL49" s="370"/>
      <c r="AM49" s="370"/>
      <c r="AN49" s="370"/>
      <c r="AP49" s="103">
        <v>3</v>
      </c>
      <c r="AQ49" s="103">
        <v>4</v>
      </c>
      <c r="AR49" s="103">
        <v>5</v>
      </c>
      <c r="AS49" s="103">
        <v>6</v>
      </c>
      <c r="AT49" s="103">
        <v>7</v>
      </c>
      <c r="AU49" s="103">
        <v>8</v>
      </c>
      <c r="AV49" s="103">
        <v>9</v>
      </c>
      <c r="AW49" s="103">
        <v>10</v>
      </c>
      <c r="AX49" s="103">
        <v>11</v>
      </c>
      <c r="AZ49" s="103">
        <v>5</v>
      </c>
      <c r="BA49" s="103">
        <v>6</v>
      </c>
      <c r="BB49" s="103">
        <v>7</v>
      </c>
      <c r="BC49" s="103">
        <v>8</v>
      </c>
      <c r="BD49" s="103">
        <v>9</v>
      </c>
      <c r="BE49" s="103">
        <v>10</v>
      </c>
      <c r="BF49" s="103">
        <v>11</v>
      </c>
    </row>
    <row r="50" spans="1:58" ht="45" outlineLevel="1" x14ac:dyDescent="0.25">
      <c r="A50" s="11" t="s">
        <v>47</v>
      </c>
      <c r="B50" s="11"/>
      <c r="C50" s="11"/>
      <c r="D50" s="11"/>
      <c r="E50" s="11"/>
      <c r="F50" s="11"/>
      <c r="G50" s="371" t="s">
        <v>50</v>
      </c>
      <c r="H50" s="371"/>
      <c r="I50" s="372" t="s">
        <v>44</v>
      </c>
      <c r="J50" s="372"/>
      <c r="K50" s="370" t="s">
        <v>58</v>
      </c>
      <c r="L50" s="370"/>
      <c r="M50" s="372" t="s">
        <v>45</v>
      </c>
      <c r="N50" s="372"/>
      <c r="Q50" s="369" t="s">
        <v>1</v>
      </c>
      <c r="R50" s="369"/>
      <c r="S50" s="369"/>
      <c r="T50" s="369"/>
      <c r="U50" s="369"/>
      <c r="V50" s="369"/>
      <c r="W50" s="369"/>
      <c r="X50" s="369"/>
      <c r="Y50" s="369"/>
      <c r="Z50" s="369"/>
      <c r="AA50" s="369"/>
      <c r="AB50" s="369"/>
      <c r="AC50" s="370" t="s">
        <v>71</v>
      </c>
      <c r="AD50" s="370"/>
      <c r="AE50" s="370"/>
      <c r="AF50" s="370"/>
      <c r="AG50" s="370"/>
      <c r="AH50" s="370"/>
      <c r="AI50" s="370"/>
      <c r="AJ50" s="370"/>
      <c r="AK50" s="370"/>
      <c r="AL50" s="370"/>
      <c r="AM50" s="370"/>
      <c r="AN50" s="370"/>
      <c r="AP50" s="103" t="s">
        <v>73</v>
      </c>
      <c r="AQ50" s="103" t="s">
        <v>74</v>
      </c>
      <c r="AR50" s="103" t="s">
        <v>75</v>
      </c>
      <c r="AS50" s="103" t="s">
        <v>76</v>
      </c>
      <c r="AT50" s="103" t="s">
        <v>77</v>
      </c>
      <c r="AU50" s="103" t="s">
        <v>78</v>
      </c>
      <c r="AV50" s="103" t="s">
        <v>79</v>
      </c>
      <c r="AW50" s="103" t="s">
        <v>80</v>
      </c>
      <c r="AX50" s="103" t="s">
        <v>81</v>
      </c>
      <c r="AZ50" s="103" t="s">
        <v>105</v>
      </c>
      <c r="BA50" s="103" t="s">
        <v>91</v>
      </c>
      <c r="BB50" s="103" t="s">
        <v>93</v>
      </c>
      <c r="BC50" s="103" t="s">
        <v>94</v>
      </c>
      <c r="BD50" s="103" t="s">
        <v>95</v>
      </c>
      <c r="BE50" s="103" t="s">
        <v>96</v>
      </c>
      <c r="BF50" s="103" t="s">
        <v>97</v>
      </c>
    </row>
    <row r="51" spans="1:58" ht="45" outlineLevel="1" x14ac:dyDescent="0.25">
      <c r="A51" s="70" t="s">
        <v>40</v>
      </c>
      <c r="B51" s="70" t="s">
        <v>41</v>
      </c>
      <c r="C51" s="70" t="s">
        <v>53</v>
      </c>
      <c r="D51" s="70" t="s">
        <v>48</v>
      </c>
      <c r="E51" s="70" t="s">
        <v>42</v>
      </c>
      <c r="F51" s="76" t="s">
        <v>49</v>
      </c>
      <c r="G51" s="71" t="s">
        <v>51</v>
      </c>
      <c r="H51" s="71" t="s">
        <v>52</v>
      </c>
      <c r="I51" s="72" t="s">
        <v>51</v>
      </c>
      <c r="J51" s="72" t="s">
        <v>52</v>
      </c>
      <c r="K51" s="77" t="s">
        <v>51</v>
      </c>
      <c r="L51" s="77" t="s">
        <v>52</v>
      </c>
      <c r="M51" s="72" t="s">
        <v>51</v>
      </c>
      <c r="N51" s="72" t="s">
        <v>52</v>
      </c>
      <c r="Q51" s="102">
        <v>1</v>
      </c>
      <c r="R51" s="102">
        <v>2</v>
      </c>
      <c r="S51" s="102">
        <v>3</v>
      </c>
      <c r="T51" s="102">
        <v>4</v>
      </c>
      <c r="U51" s="102">
        <v>5</v>
      </c>
      <c r="V51" s="102">
        <v>6</v>
      </c>
      <c r="W51" s="102">
        <v>7</v>
      </c>
      <c r="X51" s="102">
        <v>8</v>
      </c>
      <c r="Y51" s="102">
        <v>9</v>
      </c>
      <c r="Z51" s="102">
        <v>10</v>
      </c>
      <c r="AA51" s="102">
        <v>11</v>
      </c>
      <c r="AB51" s="102">
        <v>12</v>
      </c>
      <c r="AC51" s="101">
        <v>1</v>
      </c>
      <c r="AD51" s="101">
        <v>2</v>
      </c>
      <c r="AE51" s="101">
        <v>3</v>
      </c>
      <c r="AF51" s="101">
        <v>4</v>
      </c>
      <c r="AG51" s="101">
        <v>5</v>
      </c>
      <c r="AH51" s="101">
        <v>6</v>
      </c>
      <c r="AI51" s="101">
        <v>7</v>
      </c>
      <c r="AJ51" s="101">
        <v>8</v>
      </c>
      <c r="AK51" s="101">
        <v>9</v>
      </c>
      <c r="AL51" s="101">
        <v>10</v>
      </c>
      <c r="AM51" s="101">
        <v>11</v>
      </c>
      <c r="AN51" s="101">
        <v>12</v>
      </c>
      <c r="AP51" s="103" t="e">
        <f>((TP-H_1-((TP-H_1-(H_1*hnh)-(TP*lCo_1*VE))*H_2/(TP-H_1-(H_1*hnh)))-(H_1*hnh)-((TP-H_1-(H_1*hnh)-(TP*lCo_1*VE))*H_2*hnh/(TP-H_1-(H_1*hnh)))-(TP*lCo_1*VE)-(TP*lCo_2*VE))*(H_3/(TP-H_1-H_2-(hnh*(H_1+H_2)))))</f>
        <v>#DIV/0!</v>
      </c>
      <c r="AQ51" s="103" t="e">
        <f>(TP-H_1-((TP-H_1-(H_1*hnh)-(TP*lCo_1*VE))*H_2/(TP-H_1-(H_1*hnh)))-AP51-(H_1*hnh)-((TP-H_1-(H_1*hnh)-(TP*lCo_1*VE))*H_2*hnh/(TP-H_1-(H_1*hnh)))-AP53-(TP*lCo_1*VE)-(TP*lCo_2*VE)-(TP*lCo_3*VE))*(H_4/(TP-H_1-H_2-H_3-(hnh*(H_1+H_2+H_3))))</f>
        <v>#DIV/0!</v>
      </c>
      <c r="AR51" s="103" t="e">
        <f>(TP-H_1-((TP-H_1-(H_1*hnh)-(TP*lCo_1*VE))*H_2/(TP-H_1-(H_1*hnh)))-AP51-AQ51-(H_1*hnh)-((TP-H_1-(H_1*hnh)-(TP*lCo_1*VE))*H_2*hnh/(TP-H_1-(H_1*hnh)))-AP53-AQ53-(TP*lCo_1*VE)-(TP*lCo_2*VE)-(TP*lCo_3*VE)-(TP*lCo_4*VE))*(H_5/(TP-H_1-H_2-H_3-H_4-(hnh*(H_1+H_2+H_3+H_4))))</f>
        <v>#DIV/0!</v>
      </c>
      <c r="AS51" s="103" t="e">
        <f>(TP-H_1-((TP-H_1-(H_1*hnh)-(TP*lCo_1*VE))*H_2/(TP-H_1-(H_1*hnh)))-AP51-AQ51-AR51-(H_1*hnh)-((TP-H_1-(H_1*hnh)-(TP*lCo_1*VE))*H_2*hnh/(TP-H_1-(H_1*hnh)))-AP53-AQ53-AR53-(TP*lCo_1*VE)-(TP*lCo_2*VE)-(TP*lCo_3*VE)-(TP*lCo_4*VE)-(TP*lCo_5*VE))*(H_6/(TP-H_1-H_2-H_3-H_4-H_5-(hnh*(H_1+H_2+H_3+H_4+H_5))))</f>
        <v>#DIV/0!</v>
      </c>
      <c r="AT51" s="103" t="e">
        <f>(TP-H_1-((TP-H_1-(H_1*hnh)-(TP*lCo_1*VE))*H_2/(TP-H_1-(H_1*hnh)))-AP51-AQ51-AR51-AS51-(H_1*hnh)-((TP-H_1-(H_1*hnh)-(TP*lCo_1*VE))*H_2*hnh/(TP-H_1-(H_1*hnh)))-AP53-AQ53-AR53-AS53-(TP*lCo_1*VE)-(TP*lCo_2*VE)-(TP*lCo_3*VE)-(TP*lCo_4*VE)-(TP*lCo_5*VE)-(TP*lCo_6*VE))*(H_7/(TP-H_1-H_2-H_3-H_4-H_5-H_6-(hnh*(H_1+H_2+H_3+H_4+H_5+H_6))))</f>
        <v>#DIV/0!</v>
      </c>
      <c r="AU51" s="103" t="e">
        <f>(TP-H_1-((TP-H_1-(H_1*hnh)-(TP*lCo_1*VE))*H_2/(TP-H_1-(H_1*hnh)))-AP51-AQ51-AR51-AS51-AT51-(H_1*hnh)-((TP-H_1-(H_1*hnh)-(TP*lCo_1*VE))*H_2*hnh/(TP-H_1-(H_1*hnh)))-AP53-AQ53-AR53-AS53-AT53-(TP*lCo_1*VE)-(TP*lCo_2*VE)-(TP*lCo_3*VE)-(TP*lCo_4*VE)-(TP*lCo_5*VE)-(TP*lCo_6*VE)-(TP*lCo_7*VE))*(H_8/(TP-H_1-H_2-H_3-H_4-H_5-H_6-H_7-(hnh*(H_1+H_2+H_3+H_4+H_5+H_6+H_7))))</f>
        <v>#DIV/0!</v>
      </c>
      <c r="AV51" s="103" t="e">
        <f>(TP-H_1-((TP-H_1-(H_1*hnh)-(TP*lCo_1*VE))*H_2/(TP-H_1-(H_1*hnh)))-AP51-AQ51-AR51-AS51-AT51-AU51-(H_1*hnh)-((TP-H_1-(H_1*hnh)-(TP*lCo_1*VE))*H_2*hnh/(TP-H_1-(H_1*hnh)))-AP53-AQ53-AR53-AS53-AT53-AU53-(TP*lCo_1*VE)-(TP*lCo_2*VE)-(TP*lCo_3*VE)-(TP*lCo_4*VE)-(TP*lCo_5*VE)-(TP*lCo_6*VE)-(TP*lCo_7*VE)-(TP*lCo_8*VE))*(H_9/(TP-H_1-H_2-H_3-H_4-H_5-H_6-H_7-H_8-(hnh*(H_1+H_2+H_3+H_4+H_5+H_6+H_7+H_8))))</f>
        <v>#DIV/0!</v>
      </c>
      <c r="AW51" s="103" t="e">
        <f>(TP-H_1-((TP-H_1-(H_1*hnh)-(TP*lCo_1*VE))*H_2/(TP-H_1-(H_1*hnh)))-AP51-AQ51-AR51-AS51-AT51-AU51-AV51-(H_1*hnh)-((TP-H_1-(H_1*hnh)-(TP*lCo_1*VE))*H_2*hnh/(TP-H_1-(H_1*hnh)))-AP53-AQ53-AR53-AS53-AT53-AU53-AV53-(TP*lCo_1*VE)-(TP*lCo_2*VE)-(TP*lCo_3*VE)-(TP*lCo_4*VE)-(TP*lCo_5*VE)-(TP*lCo_6*VE)-(TP*lCo_7*VE)-(TP*lCo_8*VE)-(TP*lCo_9*VE))*(H_10/(TP-H_1-H_2-H_3-H_4-H_5-H_6-H_7-H_8-H_9-(hnh*(H_1+H_2+H_3+H_4+H_5+H_6+H_7+H_8+H_9))))</f>
        <v>#DIV/0!</v>
      </c>
      <c r="AX51" s="103" t="e">
        <f>(TP-H_1-((TP-H_1-(H_1*hnh)-(TP*lCo_1*VE))*H_2/(TP-H_1-(H_1*hnh)))-AP51-AQ51-AR51-AS51-AT51-AU51-AV51-AW51-(H_1*hnh)-((TP-H_1-(H_1*hnh)-(TP*lCo_1*VE))*H_2*hnh/(TP-H_1-(H_1*hnh)))-AP53-AQ53-AR53-AS53-AT53-AU53-AV53-AW53-(TP*lCo_1*VE)-(TP*lCo_2*VE)-(TP*lCo_3*VE)-(TP*lCo_4*VE)-(TP*lCo_5*VE)-(TP*lCo_6*VE)-(TP*lCo_7*VE)-(TP*lCo_8*VE)-(TP*lCo_9*VE)-(TP*lCo_10*VE))*(H_11/(TP-H_1-H_2-H_3-H_4-H_5-H_6-H_7-H_8-H_9-H_10-(hnh*(H_1+H_2+H_3+H_4+H_5+H_6+H_7+H_8+H_9+H_10))))</f>
        <v>#DIV/0!</v>
      </c>
      <c r="AZ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H_5/(TP-H_1-H_2-H_3-H_4-(hnh*(H_1+H_2+H_3+H_4))-(TP*VE*(lCo_1+lCo_2+lCo_3+lCo_4)))</f>
        <v>#DIV/0!</v>
      </c>
      <c r="BA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H_6/(TP-H_1-H_2-H_3-H_4-H_5-(hnh*(H_1+H_2+H_3+H_4+H_5))-(TP*VE*(lCo_1+lCo_2+lCo_3+lCo_4+lCo_5)))</f>
        <v>#DIV/0!</v>
      </c>
      <c r="BB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H_7/(TP-H_1-H_2-H_3-H_4-H_5-H_6-(hnh*(H_1+H_2+H_3+H_4+H_5+H_6))-(TP*VE*(lCo_1+lCo_2+lCo_3+lCo_4+lCo_5+lCo_6)))</f>
        <v>#DIV/0!</v>
      </c>
      <c r="BC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H_8/(TP-H_1-H_2-H_3-H_4-H_5-H_6-H_7-(hnh*(H_1+H_2+H_3+H_4+H_5+H_6+H_7))-(TP*VE*(lCo_1+lCo_2+lCo_3+lCo_4+lCo_5+lCo_6+lCo_7)))</f>
        <v>#DIV/0!</v>
      </c>
      <c r="BD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H_9/(TP-H_1-H_2-H_3-H_4-H_5-H_6-H_7-H_8-(hnh*(H_1+H_2+H_3+H_4+H_5+H_6+H_7+H_8))-(TP*VE*(lCo_1+lCo_2+lCo_3+lCo_4+lCo_5+lCo_6+lCo_7+lCo_8)))</f>
        <v>#DIV/0!</v>
      </c>
      <c r="BE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H_10/(TP-H_1-H_2-H_3-H_4-H_5-H_6-H_7-H_8-H_9-(hnh*(H_1+H_2+H_3+H_4+H_5+H_6+H_7+H_8+H_9))-(TP*VE*(lCo_1+lCo_2+lCo_3+lCo_4+lCo_5+lCo_6+lCo_7+lCo_8+lCo_9)))</f>
        <v>#DIV/0!</v>
      </c>
      <c r="BF51"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H_11/(TP-H_1-H_2-H_3-H_4-H_5-H_6-H_7-H_8-H_9-H_10-(hnh*(H_1+H_2+H_3+H_4+H_5+H_6+H_7+H_8+H_9+H_10))-(TP*VE*(lCo_1+lCo_2+lCo_3+lCo_4+lCo_5+lCo_6+lCo_7+lCo_8+lCo_9+lCo_10)))</f>
        <v>#DIV/0!</v>
      </c>
    </row>
    <row r="52" spans="1:58" outlineLevel="1" x14ac:dyDescent="0.25">
      <c r="A52" s="73">
        <f>season</f>
        <v>0</v>
      </c>
      <c r="B52" s="73">
        <f>TG</f>
        <v>0</v>
      </c>
      <c r="C52" s="73">
        <f>TP</f>
        <v>0</v>
      </c>
      <c r="D52" s="74">
        <f>Input!E25</f>
        <v>0</v>
      </c>
      <c r="E52" s="75">
        <f>VE</f>
        <v>0</v>
      </c>
      <c r="F52" s="78" t="e">
        <f>G52/IF(mb=1,SUM(AC52:AN52),IF(mb=2,SUM(AD52:AN52),IF(mb=3,SUM(AE52:AN52),IF(mb=4,SUM(AF52:AN52),IF(mb=5,SUM(AG52:AN52),IF(mb=6,SUM(AH52:AN52),IF(mb=7,SUM(AI52:AN52),IF(mb=8,SUM(AJ52:AN52),0))))))))</f>
        <v>#DIV/0!</v>
      </c>
      <c r="G52" s="42">
        <f>IF(mb=1,SUM(AC52:AN52)-SUM(Q52:AB52),IF(mb=2,SUM(AD52:AN52)-SUM(R52:AB52),IF(mb=3,SUM(AE52:AN52)-SUM(S52:AB52),IF(mb=4,SUM(AF52:AN52)-SUM(T52:AB52),IF(mb=5,SUM(AG52:AN52)-SUM(U52:AB52),IF(mb=6,SUM(AH52:AN52)-SUM(V52:AB52),IF(mb=7,SUM(AI52:AN52)-SUM(W52:AB52),IF(mb=8,SUM(AJ52:AN52)-SUM(X52:AB52),0))))))))</f>
        <v>0</v>
      </c>
      <c r="H52" s="96" t="e">
        <f>1/(VE*IF(mb=1,SUM(AC52:AN52),IF(mb=2,SUM(AD52:AN52),IF(mb=3,SUM(AE52:AN52),IF(mb=4,SUM(AF52:AN52),IF(mb=5,SUM(AG52:AN52),IF(mb=6,SUM(AH52:AN52),IF(mb=7,SUM(AI52:AN52),IF(mb=8,SUM(AJ52:AN52),0))))))))/TP)</f>
        <v>#DIV/0!</v>
      </c>
      <c r="I52" s="93" t="e">
        <f>G52/hnh</f>
        <v>#DIV/0!</v>
      </c>
      <c r="J52" s="42" t="e">
        <f>1/(VE*IF(mb=1,SUM(AC52:AN52),IF(mb=2,SUM(AD52:AN52),IF(mb=3,SUM(AE52:AN52),IF(mb=4,SUM(AF52:AN52),IF(mb=5,SUM(AG52:AN52),IF(mb=6,SUM(AH52:AN52),IF(mb=7,SUM(AI52:AN52),IF(mb=8,SUM(AJ52:AN52),0))))))))/(TP*hnh))</f>
        <v>#DIV/0!</v>
      </c>
      <c r="K52" s="42" t="e">
        <f>M52*mai</f>
        <v>#DIV/0!</v>
      </c>
      <c r="L52" s="42" t="e">
        <f>1/(VE*((IF(mb=1,SUM(AC52:AN52),IF(mb=2,SUM(AD52:AN52),IF(mb=3,SUM(AE52:AN52),IF(mb=4,SUM(AF52:AN52),IF(mb=5,SUM(AG52:AN52),IF(mb=6,SUM(AH52:AN52),IF(mb=7,SUM(AI52:AN52),IF(mb=8,SUM(AJ52:AN52),0))))))))+(IF(mb=1,SUM(AC52:AN52),IF(mb=2,SUM(AD52:AN52),IF(mb=3,SUM(AE52:AN52),IF(mb=4,SUM(AF52:AN52),IF(mb=5,SUM(AG52:AN52),IF(mb=6,SUM(AH52:AN52),IF(mb=7,SUM(AI52:AN52),IF(mb=8,SUM(AJ52:AN52),0)))))))))/hnh)*mai)/TP)</f>
        <v>#DIV/0!</v>
      </c>
      <c r="M52" s="42" t="e">
        <f>G52+I52</f>
        <v>#DIV/0!</v>
      </c>
      <c r="N52" s="42" t="e">
        <f>1/(VE*(IF(mb=1,SUM(AC52:AN52),IF(mb=2,SUM(AD52:AN52),IF(mb=3,SUM(AE52:AN52),IF(mb=4,SUM(AF52:AN52),IF(mb=5,SUM(AG52:AN52),IF(mb=6,SUM(AH52:AN52),IF(mb=7,SUM(AI52:AN52),IF(mb=8,SUM(AJ52:AN52),0))))))))+(IF(mb=1,SUM(AC52:AN52),IF(mb=2,SUM(AD52:AN52),IF(mb=3,SUM(AE52:AN52),IF(mb=4,SUM(AF52:AN52),IF(mb=5,SUM(AG52:AN52),IF(mb=6,SUM(AH52:AN52),IF(mb=7,SUM(AI52:AN52),IF(mb=8,SUM(AJ52:AN52),0)))))))))/hnh)/TP)</f>
        <v>#DIV/0!</v>
      </c>
      <c r="Q52" s="86">
        <f>IF(ISc=1,H_1*hnh,IF(ISc=2,H_1*hnh,0))</f>
        <v>0</v>
      </c>
      <c r="R52" s="111">
        <f>IF(ScI=1,H_2*hnh,IF(ScI=2,(TP-H_1-(H_1*hnh)-(TP*lCo_1*VE))*(H_2*hnh/(TP-H_1-(H_1*hnh))),0))</f>
        <v>0</v>
      </c>
      <c r="S52" s="86">
        <f>IF(ScI=1,H_3*hnh,IF(ScI=2,(TP-H_1-((TP-H_1-(H_1*hnh)-(TP*lCo_1*VE))*H_2/(TP-H_1-(H_1*hnh)))-(H_1*hnh)-((TP-H_1-(H_1*hnh)-(TP*lCo_1*VE))*H_2*hnh/(TP-H_1-(H_1*hnh)))-(TP*lCo_1*VE)-(TP*lCo_2*VE))*(H_3*hnh/(TP-H_1-H_2-(hnh*(H_1+H_2)))),0))</f>
        <v>0</v>
      </c>
      <c r="T52" s="86">
        <f>IF(ScI=1,H_4*hnh,IF(ScI=2,(TP-H_1-((TP-H_1-(H_1*hnh)-(TP*lCo_1*VE))*H_2/(TP-H_1-(H_1*hnh)))-((TP-H_1-(((TP-H_1-(H_1*hnh)-(TP*lCo_1*VE))*H_2/(TP-H_1-(H_1*hnh))))-(H_1*hnh)-((TP-H_1-(H_1*hnh)-(TP*lCo_1*VE))*H_2*hnh/(TP-H_1-(H_1*hnh)))-(TP*lCo_1*VE)-(TP*lCo_2*VE))*(H_3/(TP-H_1-H_2-(hnh*(H_1+H_2)))))-(H_1*hnh)-((TP-H_1-(H_1*hnh)-(TP*lCo_1*VE))*H_2*hnh/(TP-H_1-(H_1*hnh)))-((TP-H_1-(((TP-H_1-(H_1*hnh)-(TP*lCo_1*VE))*H_2/(TP-H_1-(H_1*hnh))))-(H_1*hnh)-(((TP-H_1-(H_1*hnh)-(TP*lCo_1*VE))*H_2*hnh/(TP-H_1-(H_1*hnh))))-(TP*lCo_1*VE)-(TP*lCo_2*VE))*(H_3*hnh/(TP-H_1-H_2-(hnh*(H_1+H_2)))))-(TP*lCo_1*VE)-(TP*lCo_2*VE)-(TP*lCo_3*VE))*(H_4*hnh/(TP-H_1-H_2-H_3-(hnh*(H_1+H_2+H_3)))),0))</f>
        <v>0</v>
      </c>
      <c r="U52" s="86">
        <f>IF(ScI=1,H_5*hnh,IF(ScI=2,(TP-H_1-(((TP-H_1-(H_1*hnh)-(TP*lCo_1*VE))*H_2/(TP-H_1-(H_1*hnh))))-AP51-AQ51-(H_1*hnh)-((TP-H_1-(H_1*hnh)-(TP*lCo_1*VE))*H_2*hnh/(TP-H_1-(H_1*hnh)))-AP53-AQ53-(TP*lCo_1*VE)-(TP*lCo_2*VE)-(TP*lCo_3*VE)-(TP*lCo_4*VE))*(H_5*hnh/(TP-H_1-H_2-H_3-H_4-(hnh*(H_1+H_2+H_3+H_4)))),0))</f>
        <v>0</v>
      </c>
      <c r="V52" s="86">
        <f>IF(ScI=1,H_6*hnh,IF(ScI=2,(TP-H_1-((TP-H_1-(H_1*hnh)-(TP*lCo_1*VE))*H_2/(TP-H_1-(H_1*hnh)))-AP51-AQ51-AR51-(H_1*hnh)-((TP-H_1-(H_1*hnh)-(TP*lCo_1*VE))*H_2*hnh/(TP-H_1-(H_1*hnh)))-AP53-AQ53-AR53-(TP*lCo_1*VE)-(TP*lCo_2*VE)-(TP*lCo_3*VE)-(TP*lCo_4*VE)-(TP*lCo_5*VE))*(H_6*hnh/(TP-H_1-H_2-H_3-H_4-H_5-(hnh*(H_1+H_2+H_3+H_4+H_5)))),0))</f>
        <v>0</v>
      </c>
      <c r="W52" s="86">
        <f>IF(ScI=1,H_7*hnh,IF(ScI=2,(TP-H_1-((TP-H_1-(H_1*hnh)-(TP*lCo_1*VE))*H_2/(TP-H_1-(H_1*hnh)))-AP51-AQ51-AR51-AS51-(H_1*hnh)-((TP-H_1-(H_1*hnh)-(TP*lCo_1*VE))*H_2*hnh/(TP-H_1-(H_1*hnh)))-AP53-AQ53-AR53-AS53-(TP*lCo_1*VE)-(TP*lCo_2*VE)-(TP*lCo_3*VE)-(TP*lCo_4*VE)-(TP*lCo_5*VE)-(TP*lCo_6*VE))*(H_7*hnh/(TP-H_1-H_2-H_3-H_4-H_5-H_6-(hnh*(H_1+H_2+H_3+H_4+H_5+H_6)))),0))</f>
        <v>0</v>
      </c>
      <c r="X52" s="86">
        <f>IF(ScI=1,H_8*hnh,IF(ScI=2,(TP-H_1-((TP-H_1-(H_1*hnh)-(TP*lCo_1*VE))*H_2/(TP-H_1-(H_1*hnh)))-AP51-AQ51-AR51-AS51-AT51-(H_1*hnh)-((TP-H_1-(H_1*hnh)-(TP*lCo_1*VE))*H_2*hnh/(TP-H_1-(H_1*hnh)))-AP53-AQ53-AR53-AS53-AT53-(TP*lCo_1*VE)-(TP*lCo_2*VE)-(TP*lCo_3*VE)-(TP*lCo_4*VE)-(TP*lCo_5*VE)-(TP*lCo_6*VE)-(TP*lCo_7*VE))*(H_8*hnh/(TP-H_1-H_2-H_3-H_4-H_5-H_6-H_7-(hnh*(H_1+H_2+H_3+H_4+H_5+H_6+H_7)))),0))</f>
        <v>0</v>
      </c>
      <c r="Y52" s="86">
        <f>IF(ScI=1,H_9*hnh,IF(ScI=2,(TP-H_1-((TP-H_1-(H_1*hnh)-(TP*lCo_1*VE))*H_2/(TP-H_1-(H_1*hnh)))-AP51-AQ51-AR51-AS51-AT51-AU51-(H_1*hnh)-((TP-H_1-(H_1*hnh)-(TP*lCo_1*VE))*H_2*hnh/(TP-H_1-(H_1*hnh)))-AP53-AQ53-AR53-AS53-AT53-AU53-(TP*lCo_1*VE)-(TP*lCo_2*VE)-(TP*lCo_3*VE)-(TP*lCo_4*VE)-(TP*lCo_5*VE)-(TP*lCo_6*VE)-(TP*lCo_7*VE)-(TP*lCo_8*VE))*(H_9*hnh/(TP-H_1-H_2-H_3-H_4-H_5-H_6-H_7-H_8-(hnh*(H_1+H_2+H_3+H_4+H_5+H_6+H_7+H_8)))),0))</f>
        <v>0</v>
      </c>
      <c r="Z52" s="86">
        <f>IF(ScI=1,H_10*hnh,IF(ScI=2,(TP-H_1-((TP-H_1-(H_1*hnh)-(TP*lCo_1*VE))*H_2/(TP-H_1-(H_1*hnh)))-AP51-AQ51-AR51-AS51-AT51-AU51-AV51-(H_1*hnh)-((TP-H_1-(H_1*hnh)-(TP*lCo_1*VE))*H_2*hnh/(TP-H_1-(H_1*hnh)))-AP53-AQ53-AR53-AS53-AT53-AU53-AV53-(TP*lCo_1*VE)-(TP*lCo_2*VE)-(TP*lCo_3*VE)-(TP*lCo_4*VE)-(TP*lCo_5*VE)-(TP*lCo_6*VE)-(TP*lCo_7*VE)-(TP*lCo_8*VE)-(TP*lCo_9*VE))*(H_10*hnh/(TP-H_1-H_2-H_3-H_4-H_5-H_6-H_7-H_8-H_9-(hnh*(H_1+H_2+H_3+H_4+H_5+H_6+H_7+H_8+H_9)))),0))</f>
        <v>0</v>
      </c>
      <c r="AA52" s="86">
        <f>IF(ScI=1,H_11*hnh,IF(ScI=2,(TP-H_1-((TP-H_1-(H_1*hnh)-(TP*lCo_1*VE))*H_2/(TP-H_1-(H_1*hnh)))-AP51-AQ51-AR51-AS51-AT51-AU51-AV51-AW51-(H_1*hnh)-((TP-H_1-(H_1*hnh)-(TP*lCo_1*VE))*H_2*hnh/(TP-H_1-(H_1*hnh)))-AP53-AQ53-AR53-AS53-AT53-AU53-AV53-AW53-(TP*lCo_1*VE)-(TP*lCo_2*VE)-(TP*lCo_3*VE)-(TP*lCo_4*VE)-(TP*lCo_5*VE)-(TP*lCo_6*VE)-(TP*lCo_7*VE)-(TP*lCo_8*VE)-(TP*lCo_9*VE)-(TP*lCo_10*VE))*(H_11*hnh/(TP-H_1-H_2-H_3-H_4-H_5-H_6-H_7-H_8-H_9-H_10-(hnh*(H_1+H_2+H_3+H_4+H_5+H_6+H_7+H_8+H_9+H_10)))),0))</f>
        <v>0</v>
      </c>
      <c r="AB52" s="86">
        <f>IF(ScI=1,H_12*hnh,IF(ScI=2,(TP-H_1-((TP-H_1-(H_1*hnh)-(TP*lCo_1*VE))*H_2/(TP-H_1-(H_1*hnh)))-AP51-AQ51-AR51-AS51-AT51-AU51-AV51-AW51-AX51-(H_1*hnh)-((TP-H_1-(H_1*hnh)-(TP*lCo_1*VE))*H_2*hnh/(TP-H_1-(H_1*hnh)))-AP53-AQ53-AR53-AS53-AT53-AU53-AV53-AW53-AX53-(TP*lCo_1*VE)-(TP*lCo_2*VE)-(TP*lCo_3*VE)-(TP*lCo_4*VE)-(TP*lCo_5*VE)-(TP*lCo_6*VE)-(TP*lCo_7*VE)-(TP*lCo_8*VE)-(TP*lCo_9*VE)-(TP*lCo_10*VE)-(TP*lCo_11*VE))*(H_12*hnh/(TP-H_1-H_2-H_3-H_4-H_5-H_6-H_7-H_8-H_9-H_10-H_11-(hnh*(H_1+H_2+H_3+H_4+H_5+H_6+H_7+H_8+H_9+H_10+H_11)))),0))</f>
        <v>0</v>
      </c>
      <c r="AC52" s="88">
        <f>IF(ScI=1,H_1*hnh,IF(ScI=2,H_1*hnh,0))</f>
        <v>0</v>
      </c>
      <c r="AD52" s="88" t="e">
        <f>IF(ScI=1,(TP-H_1-(H_1*hnh))*H_2*hnh/(TP-H_1-(H_1*hnh)-(TP*lCo_1*VE)),IF(ScI=2,H_2*hnh,0))</f>
        <v>#DIV/0!</v>
      </c>
      <c r="AE52" s="88" t="e">
        <f>IF(ScI=1,(TP-H_1-((TP-H_1-(H_1*hnh))*H_2/(TP-H_1-(H_1*hnh)-(TP*lCo_1*VE)))-(H_1*hnh)-((TP-H_1-(H_1*hnh))*H_2*hnh/(TP-H_1-(H_1*hnh)-(TP*lCo_1*VE))))*H_3*hnh/(TP-H_1-H_2-(hnh*(H_1+H_2))-(TP*VE*(lCo_1+lCo_2))),IF(ScI=2,H_3*hnh,0))</f>
        <v>#DIV/0!</v>
      </c>
      <c r="AF52" s="88" t="e">
        <f>IF(ScI=1,(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IF(ScI=2,H_4*hnh,0))</f>
        <v>#DIV/0!</v>
      </c>
      <c r="AG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H_5*hnh/(TP-H_1-H_2-H_3-H_4-(hnh*(H_1+H_2+H_3+H_4))-(TP*VE*(lCo_1+lCo_2+lCo_3+lCo_4))),IF(ScI=2,H_5*hnh,0))</f>
        <v>#DIV/0!</v>
      </c>
      <c r="AH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H_6*hnh/(TP-H_1-H_2-H_3-H_4-H_5-(hnh*(H_1+H_2+H_3+H_4+H_5))-(TP*VE*(lCo_1+lCo_2+lCo_3+lCo_4+lCo_5))),IF(ScI=2,H_6*hnh,0))</f>
        <v>#DIV/0!</v>
      </c>
      <c r="AI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H_7*hnh/(TP-H_1-H_2-H_3-H_4-H_5-H_6-(hnh*(H_1+H_2+H_3+H_4+H_5+H_6))-(TP*VE*(lCo_1+lCo_2+lCo_3+lCo_4+lCo_5+lCo_6))),IF(ScI=2,H_7*hnh,0))</f>
        <v>#DIV/0!</v>
      </c>
      <c r="AJ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H_8*hnh/(TP-H_1-H_2-H_3-H_4-H_5-H_6-H_7-(hnh*(H_1+H_2+H_3+H_4+H_5+H_6+H_7))-(TP*VE*(lCo_1+lCo_2+lCo_3+lCo_4+lCo_5+lCo_6+lCo_7))),IF(ScI=2,H_8*hnh,0))</f>
        <v>#DIV/0!</v>
      </c>
      <c r="AK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H_9*hnh/(TP-H_1-H_2-H_3-H_4-H_5-H_6-H_7-H_8-(hnh*(H_1+H_2+H_3+H_4+H_5+H_6+H_7+H_8))-(TP*VE*(lCo_1+lCo_2+lCo_3+lCo_4+lCo_5+lCo_6+lCo_7+lCo_8))),IF(ScI=2,H_9*hnh,0))</f>
        <v>#DIV/0!</v>
      </c>
      <c r="AL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H_10*hnh/(TP-H_1-H_2-H_3-H_4-H_5-H_6-H_7-H_8-H_9-(hnh*(H_1+H_2+H_3+H_4+H_5+H_6+H_7+H_8+H_9))-(TP*VE*(lCo_1+lCo_2+lCo_3+lCo_4+lCo_5+lCo_6+lCo_7+lCo_8+lCo_9))),IF(ScI=2,H_10*hnh,0))</f>
        <v>#DIV/0!</v>
      </c>
      <c r="AM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H_11*hnh/(TP-H_1-H_2-H_3-H_4-H_5-H_6-H_7-H_8-H_9-H_10-(hnh*(H_1+H_2+H_3+H_4+H_5+H_6+H_7+H_8+H_9+H_10))-(TP*VE*(lCo_1+lCo_2+lCo_3+lCo_4+lCo_5+lCo_6+lCo_7+lCo_8+lCo_9+lCo_10))),IF(ScI=2,H_11*hnh,0))</f>
        <v>#DIV/0!</v>
      </c>
      <c r="AN52" s="88" t="e">
        <f>IF(ScI=1,(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BF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BF53)*H_12*hnh/(TP-H_1-H_2-H_3-H_4-H_5-H_6-H_7-H_8-H_9-H_10-H_11-(hnh*(H_1+H_2+H_3+H_4+H_5+H_6+H_7+H_8+H_9+H_10+H_11))-(TP*VE*(lCo_1+lCo_2+lCo_3+lCo_4+lCo_5+lCo_6+lCo_7+lCo_8+lCo_9+lCo_10+lCo_11))),IF(ScI=2,H_12*hnh,0))</f>
        <v>#DIV/0!</v>
      </c>
      <c r="AP52" s="103" t="s">
        <v>82</v>
      </c>
      <c r="AQ52" s="103" t="s">
        <v>83</v>
      </c>
      <c r="AR52" s="103" t="s">
        <v>84</v>
      </c>
      <c r="AS52" s="103" t="s">
        <v>85</v>
      </c>
      <c r="AT52" s="103" t="s">
        <v>86</v>
      </c>
      <c r="AU52" s="103" t="s">
        <v>87</v>
      </c>
      <c r="AV52" s="103" t="s">
        <v>88</v>
      </c>
      <c r="AW52" s="103" t="s">
        <v>89</v>
      </c>
      <c r="AX52" s="103" t="s">
        <v>90</v>
      </c>
      <c r="AZ52" s="103" t="s">
        <v>106</v>
      </c>
      <c r="BA52" s="103" t="s">
        <v>92</v>
      </c>
      <c r="BB52" s="103" t="s">
        <v>98</v>
      </c>
      <c r="BC52" s="103" t="s">
        <v>99</v>
      </c>
      <c r="BD52" s="103" t="s">
        <v>100</v>
      </c>
      <c r="BE52" s="103" t="s">
        <v>101</v>
      </c>
      <c r="BF52" s="103" t="s">
        <v>102</v>
      </c>
    </row>
    <row r="53" spans="1:58" outlineLevel="1" x14ac:dyDescent="0.25">
      <c r="F53" s="113"/>
      <c r="G53" s="31"/>
      <c r="H53" s="31"/>
      <c r="I53" s="31"/>
      <c r="J53" s="31"/>
      <c r="K53" s="31"/>
      <c r="L53" s="31"/>
      <c r="M53" s="31"/>
      <c r="N53" s="31"/>
      <c r="Q53" s="118">
        <f>Q5-Q52</f>
        <v>0</v>
      </c>
      <c r="R53" s="118">
        <f t="shared" ref="R53:AB53" si="2">R5-R52</f>
        <v>0</v>
      </c>
      <c r="S53" s="118">
        <f t="shared" si="2"/>
        <v>0</v>
      </c>
      <c r="T53" s="118">
        <f t="shared" si="2"/>
        <v>0</v>
      </c>
      <c r="U53" s="118">
        <f t="shared" si="2"/>
        <v>0</v>
      </c>
      <c r="V53" s="118">
        <f t="shared" si="2"/>
        <v>0</v>
      </c>
      <c r="W53" s="118">
        <f t="shared" si="2"/>
        <v>0</v>
      </c>
      <c r="X53" s="118">
        <f t="shared" si="2"/>
        <v>0</v>
      </c>
      <c r="Y53" s="118">
        <f t="shared" si="2"/>
        <v>0</v>
      </c>
      <c r="Z53" s="118">
        <f t="shared" si="2"/>
        <v>0</v>
      </c>
      <c r="AA53" s="118">
        <f t="shared" si="2"/>
        <v>0</v>
      </c>
      <c r="AB53" s="118">
        <f t="shared" si="2"/>
        <v>0</v>
      </c>
      <c r="AC53" s="118">
        <f t="shared" ref="AC53:AN53" si="3">AC5-AC52</f>
        <v>0</v>
      </c>
      <c r="AD53" s="118" t="e">
        <f t="shared" si="3"/>
        <v>#DIV/0!</v>
      </c>
      <c r="AE53" s="118" t="e">
        <f t="shared" si="3"/>
        <v>#DIV/0!</v>
      </c>
      <c r="AF53" s="118" t="e">
        <f t="shared" si="3"/>
        <v>#DIV/0!</v>
      </c>
      <c r="AG53" s="118" t="e">
        <f t="shared" si="3"/>
        <v>#DIV/0!</v>
      </c>
      <c r="AH53" s="118" t="e">
        <f t="shared" si="3"/>
        <v>#DIV/0!</v>
      </c>
      <c r="AI53" s="118" t="e">
        <f t="shared" si="3"/>
        <v>#DIV/0!</v>
      </c>
      <c r="AJ53" s="118" t="e">
        <f t="shared" si="3"/>
        <v>#DIV/0!</v>
      </c>
      <c r="AK53" s="118" t="e">
        <f t="shared" si="3"/>
        <v>#DIV/0!</v>
      </c>
      <c r="AL53" s="118" t="e">
        <f t="shared" si="3"/>
        <v>#DIV/0!</v>
      </c>
      <c r="AM53" s="118" t="e">
        <f t="shared" si="3"/>
        <v>#DIV/0!</v>
      </c>
      <c r="AN53" s="118" t="e">
        <f t="shared" si="3"/>
        <v>#DIV/0!</v>
      </c>
      <c r="AP53" s="103" t="e">
        <f>((TP-H_1-((TP-H_1-(H_1*hnh)-(TP*lCo_1*VE))*H_2/(TP-H_1-(H_1*hnh)))-(H_1*hnh)-((TP-H_1-(H_1*hnh)-(TP*lCo_1*VE))*H_2*hnh/(TP-H_1-(H_1*hnh)))-(TP*lCo_1*VE)-(TP*lCo_2*VE))*(H_3*hnh/(TP-H_1-H_2-(hnh*(H_1+H_2)))))</f>
        <v>#DIV/0!</v>
      </c>
      <c r="AQ53" s="103" t="e">
        <f>(TP-H_1-((TP-H_1-(H_1*hnh)-(TP*lCo_1*VE))*H_2/(TP-H_1-(H_1*hnh)))-AP51-(H_1*hnh)-((TP-H_1-(H_1*hnh)-(TP*lCo_1*VE))*H_2*hnh/(TP-H_1-(H_1*hnh)))-AP53-(TP*lCo_1*VE)-(TP*lCo_2*VE)-(TP*lCo_3*VE))*(H_4*hnh/(TP-H_1-H_2-H_3-(hnh*(H_1+H_2+H_3))))</f>
        <v>#DIV/0!</v>
      </c>
      <c r="AR53" s="103" t="e">
        <f>(TP-H_1-((TP-H_1-(H_1*hnh)-(TP*lCo_1*VE))*H_2/(TP-H_1-(H_1*hnh)))-AP51-AQ51-(H_1*hnh)-((TP-H_1-(H_1*hnh)-(TP*lCo_1*VE))*H_2*hnh/(TP-H_1-(H_1*hnh)))-AP53-AQ53-(TP*lCo_1*VE)-(TP*lCo_2*VE)-(TP*lCo_3*VE)-(TP*lCo_4*VE))*(H_5*hnh/(TP-H_1-H_2-H_3-H_4-(hnh*(H_1+H_2+H_3+H_4))))</f>
        <v>#DIV/0!</v>
      </c>
      <c r="AS53" s="103" t="e">
        <f>(TP-H_1-((TP-H_1-(H_1*hnh)-(TP*lCo_1*VE))*H_2/(TP-H_1-(H_1*hnh)))-AP51-AQ51-AR51-(H_1*hnh)-((TP-H_1-(H_1*hnh)-(TP*lCo_1*VE))*H_2*hnh/(TP-H_1-(H_1*hnh)))-AP53-AQ53-AR53-(TP*lCo_1*VE)-(TP*lCo_2*VE)-(TP*lCo_3*VE)-(TP*lCo_4*VE)-(TP*lCo_5*VE))*(H_6*hnh/(TP-H_1-H_2-H_3-H_4-H_5-(hnh*(H_1+H_2+H_3+H_4+H_5))))</f>
        <v>#DIV/0!</v>
      </c>
      <c r="AT53" s="103" t="e">
        <f>(TP-H_1-((TP-H_1-(H_1*hnh)-(TP*lCo_1*VE))*H_2/(TP-H_1-(H_1*hnh)))-AP51-AQ51-AR51-AS51-(H_1*hnh)-((TP-H_1-(H_1*hnh)-(TP*lCo_1*VE))*H_2*hnh/(TP-H_1-(H_1*hnh)))-AP53-AQ53-AR53-AS53-(TP*lCo_1*VE)-(TP*lCo_2*VE)-(TP*lCo_3*VE)-(TP*lCo_4*VE)-(TP*lCo_5*VE)-(TP*lCo_6*VE))*(H_7*hnh/(TP-H_1-H_2-H_3-H_4-H_5-H_6-(hnh*(H_1+H_2+H_3+H_4+H_5+H_6))))</f>
        <v>#DIV/0!</v>
      </c>
      <c r="AU53" s="103" t="e">
        <f>(TP-H_1-((TP-H_1-(H_1*hnh)-(TP*lCo_1*VE))*H_2/(TP-H_1-(H_1*hnh)))-AP51-AQ51-AR51-AS51-AT51-(H_1*hnh)-((TP-H_1-(H_1*hnh)-(TP*lCo_1*VE))*H_2*hnh/(TP-H_1-(H_1*hnh)))-AP53-AQ53-AR53-AS53-AT53-(TP*lCo_1*VE)-(TP*lCo_2*VE)-(TP*lCo_3*VE)-(TP*lCo_4*VE)-(TP*lCo_5*VE)-(TP*lCo_6*VE)-(TP*lCo_7*VE))*(H_8*hnh/(TP-H_1-H_2-H_3-H_4-H_5-H_6-H_7-(hnh*(H_1+H_2+H_3+H_4+H_5+H_6+H_7))))</f>
        <v>#DIV/0!</v>
      </c>
      <c r="AV53" s="103" t="e">
        <f>(TP-H_1-((TP-H_1-(H_1*hnh)-(TP*lCo_1*VE))*H_2/(TP-H_1-(H_1*hnh)))-AP51-AQ51-AR51-AS51-AT51-AU51-(H_1*hnh)-((TP-H_1-(H_1*hnh)-(TP*lCo_1*VE))*H_2*hnh/(TP-H_1-(H_1*hnh)))-AP53-AQ53-AR53-AS53-AT53-AU53-(TP*lCo_1*VE)-(TP*lCo_2*VE)-(TP*lCo_3*VE)-(TP*lCo_4*VE)-(TP*lCo_5*VE)-(TP*lCo_6*VE)-(TP*lCo_7*VE)-(TP*lCo_8*VE))*(H_9*hnh/(TP-H_1-H_2-H_3-H_4-H_5-H_6-H_7-H_8-(hnh*(H_1+H_2+H_3+H_4+H_5+H_6+H_7+H_8))))</f>
        <v>#DIV/0!</v>
      </c>
      <c r="AW53" s="103" t="e">
        <f>(TP-H_1-((TP-H_1-(H_1*hnh)-(TP*lCo_1*VE))*H_2/(TP-H_1-(H_1*hnh)))-AP51-AQ51-AR51-AS51-AT51-AU51-AV51-(H_1*hnh)-((TP-H_1-(H_1*hnh)-(TP*lCo_1*VE))*H_2*hnh/(TP-H_1-(H_1*hnh)))-AP53-AQ53-AR53-AS53-AT53-AU53-AV53-(TP*lCo_1*VE)-(TP*lCo_2*VE)-(TP*lCo_3*VE)-(TP*lCo_4*VE)-(TP*lCo_5*VE)-(TP*lCo_6*VE)-(TP*lCo_7*VE)-(TP*lCo_8*VE)-(TP*lCo_9*VE))*(H_10*hnh/(TP-H_1-H_2-H_3-H_4-H_5-H_6-H_7-H_8-H_9-(hnh*(H_1+H_2+H_3+H_4+H_5+H_6+H_7+H_8+H_9))))</f>
        <v>#DIV/0!</v>
      </c>
      <c r="AX53" s="103" t="e">
        <f>(TP-H_1-((TP-H_1-(H_1*hnh)-(TP*lCo_1*VE))*H_2/(TP-H_1-(H_1*hnh)))-AP51-AQ51-AR51-AS51-AT51-AU51-AV51-AW51-(H_1*hnh)-((TP-H_1-(H_1*hnh)-(TP*lCo_1*VE))*H_2*hnh/(TP-H_1-(H_1*hnh)))-AP53-AQ53-AR53-AS53-AT53-AU53-AV53-AW53-(TP*lCo_1*VE)-(TP*lCo_2*VE)-(TP*lCo_3*VE)-(TP*lCo_4*VE)-(TP*lCo_5*VE)-(TP*lCo_6*VE)-(TP*lCo_7*VE)-(TP*lCo_8*VE)-(TP*lCo_9*VE)-(TP*lCo_10*VE))*(H_11*hnh/(TP-H_1-H_2-H_3-H_4-H_5-H_6-H_7-H_8-H_9-H_10-(hnh*(H_1+H_2+H_3+H_4+H_5+H_6+H_7+H_8+H_9+H_10))))</f>
        <v>#DIV/0!</v>
      </c>
      <c r="AZ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H_5*hnh/(TP-H_1-H_2-H_3-H_4-(hnh*(H_1+H_2+H_3+H_4))-(TP*VE*(lCo_1+lCo_2+lCo_3+lCo_4)))</f>
        <v>#DIV/0!</v>
      </c>
      <c r="BA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H_6*hnh/(TP-H_1-H_2-H_3-H_4-H_5-(hnh*(H_1+H_2+H_3+H_4+H_5))-(TP*VE*(lCo_1+lCo_2+lCo_3+lCo_4+lCo_5)))</f>
        <v>#DIV/0!</v>
      </c>
      <c r="BB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H_7*hnh/(TP-H_1-H_2-H_3-H_4-H_5-H_6-(hnh*(H_1+H_2+H_3+H_4+H_5+H_6))-(TP*VE*(lCo_1+lCo_2+lCo_3+lCo_4+lCo_5+lCo_6)))</f>
        <v>#DIV/0!</v>
      </c>
      <c r="BC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H_8*hnh/(TP-H_1-H_2-H_3-H_4-H_5-H_6-H_7-(hnh*(H_1+H_2+H_3+H_4+H_5+H_6+H_7))-(TP*VE*(lCo_1+lCo_2+lCo_3+lCo_4+lCo_5+lCo_6+lCo_7)))</f>
        <v>#DIV/0!</v>
      </c>
      <c r="BD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H_9*hnh/(TP-H_1-H_2-H_3-H_4-H_5-H_6-H_7-H_8-(hnh*(H_1+H_2+H_3+H_4+H_5+H_6+H_7+H_8))-(TP*VE*(lCo_1+lCo_2+lCo_3+lCo_4+lCo_5+lCo_6+lCo_7+lCo_8)))</f>
        <v>#DIV/0!</v>
      </c>
      <c r="BE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H_10*hnh/(TP-H_1-H_2-H_3-H_4-H_5-H_6-H_7-H_8-H_9-(hnh*(H_1+H_2+H_3+H_4+H_5+H_6+H_7+H_8+H_9))-(TP*VE*(lCo_1+lCo_2+lCo_3+lCo_4+lCo_5+lCo_6+lCo_7+lCo_8+lCo_9)))</f>
        <v>#DIV/0!</v>
      </c>
      <c r="BF53" s="103" t="e">
        <f>(TP-H_1-((TP-H_1-(H_1*hnh))*H_2/(TP-H_1-(H_1*hnh)-(TP*lCo_1*VE)))-((TP-H_1-((TP-H_1-(H_1*hnh))*H_2/(TP-H_1-(H_1*hnh)-(TP*lCo_1*VE)))-(H_1*hnh)-((TP-H_1-(H_1*hnh))*H_2*hnh/(TP-H_1-(H_1*hnh)-(TP*lCo_1*VE))))*H_3/(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TP-H_1-H_2-H_3-(hnh*(H_1+H_2+H_3))-(TP*VE*(lCo_1+lCo_2+lCo_3))))-AZ51-BA51-BB51-BC51-BD51-BE51-(H_1*hnh)-((TP-H_1-(H_1*hnh))*H_2*hnh/(TP-H_1-(H_1*hnh)-(TP*lCo_1*VE)))-((TP-H_1-((TP-H_1-(H_1*hnh))*H_2/(TP-H_1-(H_1*hnh)-(TP*lCo_1*VE)))-(H_1*hnh)-((TP-H_1-(H_1*hnh))*H_2*hnh/(TP-H_1-(H_1*hnh)-(TP*lCo_1*VE))))*H_3*hnh/(TP-H_1-H_2-(hnh*(H_1+H_2))-(TP*VE*(lCo_1+lCo_2))))-((TP-H_1-((TP-H_1-(H_1*hnh))*H_2/(TP-H_1-(H_1*hnh)-(TP*lCo_1*VE)))-((TP-H_1-((TP-H_1-(H_1*hnh))*H_2/(TP-H_1-(H_1*hnh)-(TP*lCo_1*VE)))-(H_1*hnh)-((TP-H_1-(H_1*hnh))*H_2*hnh/(TP-H_1-(H_1*hnh)-(TP*lCo_1*VE))))*H_3/(TP-H_1-H_2-(hnh*(H_1+H_2))-(TP*VE*(lCo_1+lCo_2))))-(H_1*hnh)-((TP-H_1-(H_1*hnh))*H_2*hnh/(TP-H_1-(H_1*hnh)-(TP*lCo_1*VE)))-((TP-H_1-((TP-H_1-(H_1*hnh))*H_2/(TP-H_1-(H_1*hnh)-(TP*lCo_1*VE)))-(H_1*hnh)-((TP-H_1-(H_1*hnh))*H_2*hnh/(TP-H_1-(H_1*hnh)-(TP*lCo_1*VE))))*H_3*hnh/(TP-H_1-H_2-(hnh*(H_1+H_2))-(TP*VE*(lCo_1+lCo_2)))))*H_4*hnh/(TP-H_1-H_2-H_3-(hnh*(H_1+H_2+H_3))-(TP*VE*(lCo_1+lCo_2+lCo_3))))-AZ53-BA53-BB53-BC53-BD53-BE53)*H_11*hnh/(TP-H_1-H_2-H_3-H_4-H_5-H_6-H_7-H_8-H_9-H_10-(hnh*(H_1+H_2+H_3+H_4+H_5+H_6+H_7+H_8+H_9+H_10))-(TP*VE*(lCo_1+lCo_2+lCo_3+lCo_4+lCo_5+lCo_6+lCo_7+lCo_8+lCo_9+lCo_10)))</f>
        <v>#DIV/0!</v>
      </c>
    </row>
    <row r="54" spans="1:58" outlineLevel="1" x14ac:dyDescent="0.25">
      <c r="F54" s="112"/>
    </row>
    <row r="55" spans="1:58" outlineLevel="1" x14ac:dyDescent="0.25">
      <c r="T55" s="115"/>
      <c r="U55" s="115"/>
      <c r="V55" s="115"/>
      <c r="W55" s="115"/>
      <c r="X55" s="115"/>
      <c r="Y55" s="115"/>
      <c r="Z55" s="115"/>
      <c r="AA55" s="115"/>
      <c r="AB55" s="115"/>
    </row>
    <row r="56" spans="1:58" x14ac:dyDescent="0.25">
      <c r="T56" s="116"/>
      <c r="U56" s="116"/>
      <c r="V56" s="116"/>
      <c r="W56" s="116"/>
      <c r="X56" s="116"/>
      <c r="Y56" s="116"/>
      <c r="Z56" s="116"/>
      <c r="AA56" s="116"/>
      <c r="AB56" s="116"/>
    </row>
    <row r="57" spans="1:58" s="105" customFormat="1" x14ac:dyDescent="0.25">
      <c r="A57" s="104" t="s">
        <v>129</v>
      </c>
      <c r="B57" s="104"/>
    </row>
    <row r="58" spans="1:58" hidden="1" outlineLevel="1" x14ac:dyDescent="0.25">
      <c r="Q58" s="102" t="s">
        <v>72</v>
      </c>
      <c r="R58" s="102"/>
      <c r="S58" s="102"/>
      <c r="T58" s="102"/>
      <c r="U58" s="102"/>
      <c r="V58" s="102"/>
      <c r="W58" s="102"/>
      <c r="X58" s="102"/>
      <c r="Y58" s="102"/>
      <c r="Z58" s="102"/>
      <c r="AA58" s="102"/>
      <c r="AB58" s="102"/>
      <c r="AC58" s="101" t="s">
        <v>104</v>
      </c>
      <c r="AD58" s="101"/>
      <c r="AE58" s="101"/>
      <c r="AF58" s="101"/>
      <c r="AG58" s="101"/>
      <c r="AH58" s="101"/>
      <c r="AI58" s="101"/>
      <c r="AJ58" s="101"/>
      <c r="AK58" s="101"/>
      <c r="AL58" s="101"/>
      <c r="AM58" s="101"/>
      <c r="AN58" s="101"/>
      <c r="AP58" s="103">
        <v>3</v>
      </c>
      <c r="AQ58" s="103">
        <v>4</v>
      </c>
      <c r="AR58" s="103">
        <v>5</v>
      </c>
      <c r="AS58" s="103">
        <v>6</v>
      </c>
      <c r="AT58" s="103">
        <v>7</v>
      </c>
      <c r="AU58" s="103">
        <v>8</v>
      </c>
      <c r="AV58" s="103">
        <v>9</v>
      </c>
      <c r="AW58" s="103">
        <v>10</v>
      </c>
      <c r="AX58" s="103">
        <v>11</v>
      </c>
      <c r="AZ58" s="103">
        <v>5</v>
      </c>
      <c r="BA58" s="103">
        <v>6</v>
      </c>
      <c r="BB58" s="103">
        <v>7</v>
      </c>
      <c r="BC58" s="103">
        <v>8</v>
      </c>
      <c r="BD58" s="103">
        <v>9</v>
      </c>
      <c r="BE58" s="103">
        <v>10</v>
      </c>
      <c r="BF58" s="103">
        <v>11</v>
      </c>
    </row>
    <row r="59" spans="1:58" ht="28.7" hidden="1" customHeight="1" outlineLevel="1" x14ac:dyDescent="0.25">
      <c r="A59" s="11" t="s">
        <v>47</v>
      </c>
      <c r="B59" s="11"/>
      <c r="C59" s="11"/>
      <c r="D59" s="11"/>
      <c r="E59" s="11"/>
      <c r="F59" s="11"/>
      <c r="G59" s="109" t="s">
        <v>50</v>
      </c>
      <c r="H59" s="109"/>
      <c r="I59" s="110" t="s">
        <v>44</v>
      </c>
      <c r="J59" s="110"/>
      <c r="K59" s="101" t="s">
        <v>58</v>
      </c>
      <c r="L59" s="101"/>
      <c r="M59" s="110" t="s">
        <v>45</v>
      </c>
      <c r="N59" s="110"/>
      <c r="Q59" s="102" t="s">
        <v>1</v>
      </c>
      <c r="R59" s="102"/>
      <c r="S59" s="102"/>
      <c r="T59" s="102"/>
      <c r="U59" s="102"/>
      <c r="V59" s="102"/>
      <c r="W59" s="102"/>
      <c r="X59" s="102"/>
      <c r="Y59" s="102"/>
      <c r="Z59" s="102"/>
      <c r="AA59" s="102"/>
      <c r="AB59" s="102"/>
      <c r="AC59" s="101" t="s">
        <v>71</v>
      </c>
      <c r="AD59" s="101"/>
      <c r="AE59" s="101"/>
      <c r="AF59" s="101"/>
      <c r="AG59" s="101"/>
      <c r="AH59" s="101"/>
      <c r="AI59" s="101"/>
      <c r="AJ59" s="101"/>
      <c r="AK59" s="101"/>
      <c r="AL59" s="101"/>
      <c r="AM59" s="101"/>
      <c r="AN59" s="101"/>
      <c r="AP59" s="103" t="s">
        <v>73</v>
      </c>
      <c r="AQ59" s="103" t="s">
        <v>74</v>
      </c>
      <c r="AR59" s="103" t="s">
        <v>75</v>
      </c>
      <c r="AS59" s="103" t="s">
        <v>76</v>
      </c>
      <c r="AT59" s="103" t="s">
        <v>77</v>
      </c>
      <c r="AU59" s="103" t="s">
        <v>78</v>
      </c>
      <c r="AV59" s="103" t="s">
        <v>79</v>
      </c>
      <c r="AW59" s="103" t="s">
        <v>80</v>
      </c>
      <c r="AX59" s="103" t="s">
        <v>81</v>
      </c>
      <c r="AZ59" s="103" t="s">
        <v>105</v>
      </c>
      <c r="BA59" s="103" t="s">
        <v>91</v>
      </c>
      <c r="BB59" s="103" t="s">
        <v>93</v>
      </c>
      <c r="BC59" s="103" t="s">
        <v>94</v>
      </c>
      <c r="BD59" s="103" t="s">
        <v>95</v>
      </c>
      <c r="BE59" s="103" t="s">
        <v>96</v>
      </c>
      <c r="BF59" s="103" t="s">
        <v>97</v>
      </c>
    </row>
    <row r="60" spans="1:58" ht="45" hidden="1" outlineLevel="1" x14ac:dyDescent="0.25">
      <c r="A60" s="70" t="s">
        <v>40</v>
      </c>
      <c r="B60" s="70" t="s">
        <v>41</v>
      </c>
      <c r="C60" s="70" t="s">
        <v>53</v>
      </c>
      <c r="D60" s="70" t="s">
        <v>48</v>
      </c>
      <c r="E60" s="70" t="s">
        <v>42</v>
      </c>
      <c r="F60" s="76" t="s">
        <v>49</v>
      </c>
      <c r="G60" s="71" t="s">
        <v>51</v>
      </c>
      <c r="H60" s="71" t="s">
        <v>52</v>
      </c>
      <c r="I60" s="72" t="s">
        <v>51</v>
      </c>
      <c r="J60" s="72" t="s">
        <v>52</v>
      </c>
      <c r="K60" s="77" t="s">
        <v>51</v>
      </c>
      <c r="L60" s="77" t="s">
        <v>52</v>
      </c>
      <c r="M60" s="72" t="s">
        <v>51</v>
      </c>
      <c r="N60" s="72" t="s">
        <v>52</v>
      </c>
      <c r="Q60" s="102">
        <v>1</v>
      </c>
      <c r="R60" s="102">
        <v>2</v>
      </c>
      <c r="S60" s="102">
        <v>3</v>
      </c>
      <c r="T60" s="102">
        <v>4</v>
      </c>
      <c r="U60" s="102">
        <v>5</v>
      </c>
      <c r="V60" s="102">
        <v>6</v>
      </c>
      <c r="W60" s="102">
        <v>7</v>
      </c>
      <c r="X60" s="102">
        <v>8</v>
      </c>
      <c r="Y60" s="102">
        <v>9</v>
      </c>
      <c r="Z60" s="102">
        <v>10</v>
      </c>
      <c r="AA60" s="102">
        <v>11</v>
      </c>
      <c r="AB60" s="102">
        <v>12</v>
      </c>
      <c r="AC60" s="101">
        <v>1</v>
      </c>
      <c r="AD60" s="101">
        <v>2</v>
      </c>
      <c r="AE60" s="101">
        <v>3</v>
      </c>
      <c r="AF60" s="101">
        <v>4</v>
      </c>
      <c r="AG60" s="101">
        <v>5</v>
      </c>
      <c r="AH60" s="101">
        <v>6</v>
      </c>
      <c r="AI60" s="101">
        <v>7</v>
      </c>
      <c r="AJ60" s="101">
        <v>8</v>
      </c>
      <c r="AK60" s="101">
        <v>9</v>
      </c>
      <c r="AL60" s="101">
        <v>10</v>
      </c>
      <c r="AM60" s="101">
        <v>11</v>
      </c>
      <c r="AN60" s="101">
        <v>12</v>
      </c>
      <c r="AP60" s="103" t="e">
        <f>((TP-H_1-((TP-H_1-(H_1*hnh)-(TP*uCo_1*VE))*H_2/(TP-H_1-(H_1*hnh)))-(H_1*hnh)-((TP-H_1-(H_1*hnh)-(TP*uCo_1*VE))*H_2*hnh/(TP-H_1-(H_1*hnh)))-(TP*uCo_1*VE)-(TP*uCo_2*VE))*(H_3/(TP-H_1-H_2-(hnh*(H_1+H_2)))))</f>
        <v>#DIV/0!</v>
      </c>
      <c r="AQ60" s="103" t="e">
        <f>(TP-H_1-((TP-H_1-(H_1*hnh)-(TP*uCo_1*VE))*H_2/(TP-H_1-(H_1*hnh)))-AP60-(H_1*hnh)-((TP-H_1-(H_1*hnh)-(TP*uCo_1*VE))*H_2*hnh/(TP-H_1-(H_1*hnh)))-AP62-(TP*uCo_1*VE)-(TP*uCo_2*VE)-(TP*uCo_3*VE))*(H_4/(TP-H_1-H_2-H_3-(hnh*(H_1+H_2+H_3))))</f>
        <v>#DIV/0!</v>
      </c>
      <c r="AR60" s="103" t="e">
        <f>(TP-H_1-((TP-H_1-(H_1*hnh)-(TP*uCo_1*VE))*H_2/(TP-H_1-(H_1*hnh)))-AP60-AQ60-(H_1*hnh)-((TP-H_1-(H_1*hnh)-(TP*uCo_1*VE))*H_2*hnh/(TP-H_1-(H_1*hnh)))-AP62-AQ62-(TP*uCo_1*VE)-(TP*uCo_2*VE)-(TP*uCo_3*VE)-(TP*uCo_4*VE))*(H_5/(TP-H_1-H_2-H_3-H_4-(hnh*(H_1+H_2+H_3+H_4))))</f>
        <v>#DIV/0!</v>
      </c>
      <c r="AS60" s="103" t="e">
        <f>(TP-H_1-((TP-H_1-(H_1*hnh)-(TP*uCo_1*VE))*H_2/(TP-H_1-(H_1*hnh)))-AP60-AQ60-AR60-(H_1*hnh)-((TP-H_1-(H_1*hnh)-(TP*uCo_1*VE))*H_2*hnh/(TP-H_1-(H_1*hnh)))-AP62-AQ62-AR62-(TP*uCo_1*VE)-(TP*uCo_2*VE)-(TP*uCo_3*VE)-(TP*uCo_4*VE)-(TP*uCo_5*VE))*(H_6/(TP-H_1-H_2-H_3-H_4-H_5-(hnh*(H_1+H_2+H_3+H_4+H_5))))</f>
        <v>#DIV/0!</v>
      </c>
      <c r="AT60" s="103" t="e">
        <f>(TP-H_1-((TP-H_1-(H_1*hnh)-(TP*uCo_1*VE))*H_2/(TP-H_1-(H_1*hnh)))-AP60-AQ60-AR60-AS60-(H_1*hnh)-((TP-H_1-(H_1*hnh)-(TP*uCo_1*VE))*H_2*hnh/(TP-H_1-(H_1*hnh)))-AP62-AQ62-AR62-AS62-(TP*uCo_1*VE)-(TP*uCo_2*VE)-(TP*uCo_3*VE)-(TP*uCo_4*VE)-(TP*uCo_5*VE)-(TP*uCo_6*VE))*(H_7/(TP-H_1-H_2-H_3-H_4-H_5-H_6-(hnh*(H_1+H_2+H_3+H_4+H_5+H_6))))</f>
        <v>#DIV/0!</v>
      </c>
      <c r="AU60" s="103" t="e">
        <f>(TP-H_1-((TP-H_1-(H_1*hnh)-(TP*uCo_1*VE))*H_2/(TP-H_1-(H_1*hnh)))-AP60-AQ60-AR60-AS60-AT60-(H_1*hnh)-((TP-H_1-(H_1*hnh)-(TP*uCo_1*VE))*H_2*hnh/(TP-H_1-(H_1*hnh)))-AP62-AQ62-AR62-AS62-AT62-(TP*uCo_1*VE)-(TP*uCo_2*VE)-(TP*uCo_3*VE)-(TP*uCo_4*VE)-(TP*uCo_5*VE)-(TP*uCo_6*VE)-(TP*uCo_7*VE))*(H_8/(TP-H_1-H_2-H_3-H_4-H_5-H_6-H_7-(hnh*(H_1+H_2+H_3+H_4+H_5+H_6+H_7))))</f>
        <v>#DIV/0!</v>
      </c>
      <c r="AV60" s="103" t="e">
        <f>(TP-H_1-((TP-H_1-(H_1*hnh)-(TP*uCo_1*VE))*H_2/(TP-H_1-(H_1*hnh)))-AP60-AQ60-AR60-AS60-AT60-AU60-(H_1*hnh)-((TP-H_1-(H_1*hnh)-(TP*uCo_1*VE))*H_2*hnh/(TP-H_1-(H_1*hnh)))-AP62-AQ62-AR62-AS62-AT62-AU62-(TP*uCo_1*VE)-(TP*uCo_2*VE)-(TP*uCo_3*VE)-(TP*uCo_4*VE)-(TP*uCo_5*VE)-(TP*uCo_6*VE)-(TP*uCo_7*VE)-(TP*uCo_8*VE))*(H_9/(TP-H_1-H_2-H_3-H_4-H_5-H_6-H_7-H_8-(hnh*(H_1+H_2+H_3+H_4+H_5+H_6+H_7+H_8))))</f>
        <v>#DIV/0!</v>
      </c>
      <c r="AW60" s="103" t="e">
        <f>(TP-H_1-((TP-H_1-(H_1*hnh)-(TP*uCo_1*VE))*H_2/(TP-H_1-(H_1*hnh)))-AP60-AQ60-AR60-AS60-AT60-AU60-AV60-(H_1*hnh)-((TP-H_1-(H_1*hnh)-(TP*uCo_1*VE))*H_2*hnh/(TP-H_1-(H_1*hnh)))-AP62-AQ62-AR62-AS62-AT62-AU62-AV62-(TP*uCo_1*VE)-(TP*uCo_2*VE)-(TP*uCo_3*VE)-(TP*uCo_4*VE)-(TP*uCo_5*VE)-(TP*uCo_6*VE)-(TP*uCo_7*VE)-(TP*uCo_8*VE)-(TP*uCo_9*VE))*(H_10/(TP-H_1-H_2-H_3-H_4-H_5-H_6-H_7-H_8-H_9-(hnh*(H_1+H_2+H_3+H_4+H_5+H_6+H_7+H_8+H_9))))</f>
        <v>#DIV/0!</v>
      </c>
      <c r="AX60" s="103" t="e">
        <f>(TP-H_1-((TP-H_1-(H_1*hnh)-(TP*uCo_1*VE))*H_2/(TP-H_1-(H_1*hnh)))-AP60-AQ60-AR60-AS60-AT60-AU60-AV60-AW60-(H_1*hnh)-((TP-H_1-(H_1*hnh)-(TP*uCo_1*VE))*H_2*hnh/(TP-H_1-(H_1*hnh)))-AP62-AQ62-AR62-AS62-AT62-AU62-AV62-AW62-(TP*uCo_1*VE)-(TP*uCo_2*VE)-(TP*uCo_3*VE)-(TP*uCo_4*VE)-(TP*uCo_5*VE)-(TP*uCo_6*VE)-(TP*uCo_7*VE)-(TP*uCo_8*VE)-(TP*uCo_9*VE)-(TP*uCo_10*VE))*(H_11/(TP-H_1-H_2-H_3-H_4-H_5-H_6-H_7-H_8-H_9-H_10-(hnh*(H_1+H_2+H_3+H_4+H_5+H_6+H_7+H_8+H_9+H_10))))</f>
        <v>#DIV/0!</v>
      </c>
      <c r="AZ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H_5/(TP-H_1-H_2-H_3-H_4-(hnh*(H_1+H_2+H_3+H_4))-(TP*VE*(uCo_1+uCo_2+uCo_3+uCo_4)))</f>
        <v>#DIV/0!</v>
      </c>
      <c r="BA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H_6/(TP-H_1-H_2-H_3-H_4-H_5-(hnh*(H_1+H_2+H_3+H_4+H_5))-(TP*VE*(uCo_1+uCo_2+uCo_3+uCo_4+uCo_5)))</f>
        <v>#DIV/0!</v>
      </c>
      <c r="BB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H_7/(TP-H_1-H_2-H_3-H_4-H_5-H_6-(hnh*(H_1+H_2+H_3+H_4+H_5+H_6))-(TP*VE*(uCo_1+uCo_2+uCo_3+uCo_4+uCo_5+uCo_6)))</f>
        <v>#DIV/0!</v>
      </c>
      <c r="BC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H_8/(TP-H_1-H_2-H_3-H_4-H_5-H_6-H_7-(hnh*(H_1+H_2+H_3+H_4+H_5+H_6+H_7))-(TP*VE*(uCo_1+uCo_2+uCo_3+uCo_4+uCo_5+uCo_6+uCo_7)))</f>
        <v>#DIV/0!</v>
      </c>
      <c r="BD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H_9/(TP-H_1-H_2-H_3-H_4-H_5-H_6-H_7-H_8-(hnh*(H_1+H_2+H_3+H_4+H_5+H_6+H_7+H_8))-(TP*VE*(uCo_1+uCo_2+uCo_3+uCo_4+uCo_5+uCo_6+uCo_7+uCo_8)))</f>
        <v>#DIV/0!</v>
      </c>
      <c r="BE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H_10/(TP-H_1-H_2-H_3-H_4-H_5-H_6-H_7-H_8-H_9-(hnh*(H_1+H_2+H_3+H_4+H_5+H_6+H_7+H_8+H_9))-(TP*VE*(uCo_1+uCo_2+uCo_3+uCo_4+uCo_5+uCo_6+uCo_7+uCo_8+uCo_9)))</f>
        <v>#DIV/0!</v>
      </c>
      <c r="BF60"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H_11/(TP-H_1-H_2-H_3-H_4-H_5-H_6-H_7-H_8-H_9-H_10-(hnh*(H_1+H_2+H_3+H_4+H_5+H_6+H_7+H_8+H_9+H_10))-(TP*VE*(uCo_1+uCo_2+uCo_3+uCo_4+uCo_5+uCo_6+uCo_7+uCo_8+uCo_9+uCo_10)))</f>
        <v>#DIV/0!</v>
      </c>
    </row>
    <row r="61" spans="1:58" hidden="1" outlineLevel="1" x14ac:dyDescent="0.25">
      <c r="A61" s="73">
        <f>season</f>
        <v>0</v>
      </c>
      <c r="B61" s="73">
        <f>TG</f>
        <v>0</v>
      </c>
      <c r="C61" s="73">
        <f>TP</f>
        <v>0</v>
      </c>
      <c r="D61" s="74">
        <f>TCv</f>
        <v>0</v>
      </c>
      <c r="E61" s="75">
        <f>VE</f>
        <v>0</v>
      </c>
      <c r="F61" s="78" t="e">
        <f>G61/IF(mb=1,SUM(AC61:AN61),IF(mb=2,SUM(AD61:AN61),IF(mb=3,SUM(AE61:AN61),IF(mb=4,SUM(AF61:AN61),IF(mb=5,SUM(AG61:AN61),IF(mb=6,SUM(AH61:AN61),IF(mb=7,SUM(AI61:AN61),IF(mb=8,SUM(AJ61:AN61),0))))))))</f>
        <v>#DIV/0!</v>
      </c>
      <c r="G61" s="42">
        <f>IF(mb=1,SUM(AC61:AN61)-SUM(Q61:AB61),IF(mb=2,SUM(AD61:AN61)-SUM(R61:AB61),IF(mb=3,SUM(AE61:AN61)-SUM(S61:AB61),IF(mb=4,SUM(AF61:AN61)-SUM(T61:AB61),IF(mb=5,SUM(AG61:AN61)-SUM(U61:AB61),IF(mb=6,SUM(AH61:AN61)-SUM(V61:AB61),IF(mb=7,SUM(AI61:AN61)-SUM(W61:AB61),IF(mb=8,SUM(AJ61:AN61)-SUM(X61:AB61),0))))))))</f>
        <v>0</v>
      </c>
      <c r="H61" s="96" t="e">
        <f>1/(VE*IF(mb=1,SUM(AC61:AN61),IF(mb=2,SUM(AD61:AN61),IF(mb=3,SUM(AE61:AN61),IF(mb=4,SUM(AF61:AN61),IF(mb=5,SUM(AG61:AN61),IF(mb=6,SUM(AH61:AN61),IF(mb=7,SUM(AI61:AN61),IF(mb=8,SUM(AJ61:AN61),0))))))))/TP)</f>
        <v>#DIV/0!</v>
      </c>
      <c r="I61" s="93" t="e">
        <f>G61/hnh</f>
        <v>#DIV/0!</v>
      </c>
      <c r="J61" s="42" t="e">
        <f>1/(VE*IF(mb=1,SUM(AC61:AN61),IF(mb=2,SUM(AD61:AN61),IF(mb=3,SUM(AE61:AN61),IF(mb=4,SUM(AF61:AN61),IF(mb=5,SUM(AG61:AN61),IF(mb=6,SUM(AH61:AN61),IF(mb=7,SUM(AI61:AN61),IF(mb=8,SUM(AJ61:AN61),0))))))))/(TP*hnh))</f>
        <v>#DIV/0!</v>
      </c>
      <c r="K61" s="42" t="e">
        <f>M61*mai</f>
        <v>#DIV/0!</v>
      </c>
      <c r="L61" s="42" t="e">
        <f>1/(VE*((IF(mb=1,SUM(AC61:AN61),IF(mb=2,SUM(AD61:AN61),IF(mb=3,SUM(AE61:AN61),IF(mb=4,SUM(AF61:AN61),IF(mb=5,SUM(AG61:AN61),IF(mb=6,SUM(AH61:AN61),IF(mb=7,SUM(AI61:AN61),IF(mb=8,SUM(AJ61:AN61),0))))))))+(IF(mb=1,SUM(AC61:AN61),IF(mb=2,SUM(AD61:AN61),IF(mb=3,SUM(AE61:AN61),IF(mb=4,SUM(AF61:AN61),IF(mb=5,SUM(AG61:AN61),IF(mb=6,SUM(AH61:AN61),IF(mb=7,SUM(AI61:AN61),IF(mb=8,SUM(AJ61:AN61),0)))))))))/hnh)*mai)/TP)</f>
        <v>#DIV/0!</v>
      </c>
      <c r="M61" s="42" t="e">
        <f>G61+I61</f>
        <v>#DIV/0!</v>
      </c>
      <c r="N61" s="42" t="e">
        <f>1/(VE*(IF(mb=1,SUM(AC61:AN61),IF(mb=2,SUM(AD61:AN61),IF(mb=3,SUM(AE61:AN61),IF(mb=4,SUM(AF61:AN61),IF(mb=5,SUM(AG61:AN61),IF(mb=6,SUM(AH61:AN61),IF(mb=7,SUM(AI61:AN61),IF(mb=8,SUM(AJ61:AN61),0))))))))+(IF(mb=1,SUM(AC61:AN61),IF(mb=2,SUM(AD61:AN61),IF(mb=3,SUM(AE61:AN61),IF(mb=4,SUM(AF61:AN61),IF(mb=5,SUM(AG61:AN61),IF(mb=6,SUM(AH61:AN61),IF(mb=7,SUM(AI61:AN61),IF(mb=8,SUM(AJ61:AN61),0)))))))))/hnh)/TP)</f>
        <v>#DIV/0!</v>
      </c>
      <c r="Q61" s="86">
        <f>IF(ISc=1,H_1*hnh,IF(ISc=2,H_1*hnh,0))</f>
        <v>0</v>
      </c>
      <c r="R61" s="111">
        <f>IF(ScI=1,H_2*hnh,IF(ScI=2,(TP-H_1-(H_1*hnh)-(TP*uCo_1*VE))*(H_2*hnh/(TP-H_1-(H_1*hnh))),0))</f>
        <v>0</v>
      </c>
      <c r="S61" s="86">
        <f>IF(ScI=1,H_3*hnh,IF(ScI=2,(TP-H_1-((TP-H_1-(H_1*hnh)-(TP*uCo_1*VE))*H_2/(TP-H_1-(H_1*hnh)))-(H_1*hnh)-((TP-H_1-(H_1*hnh)-(TP*uCo_1*VE))*H_2*hnh/(TP-H_1-(H_1*hnh)))-(TP*uCo_1*VE)-(TP*uCo_2*VE))*(H_3*hnh/(TP-H_1-H_2-(hnh*(H_1+H_2)))),0))</f>
        <v>0</v>
      </c>
      <c r="T61" s="86">
        <f>IF(ScI=1,H_4*hnh,IF(ScI=2,(TP-H_1-((TP-H_1-(H_1*hnh)-(TP*uCo_1*VE))*H_2/(TP-H_1-(H_1*hnh)))-((TP-H_1-(((TP-H_1-(H_1*hnh)-(TP*uCo_1*VE))*H_2/(TP-H_1-(H_1*hnh))))-(H_1*hnh)-((TP-H_1-(H_1*hnh)-(TP*uCo_1*VE))*H_2*hnh/(TP-H_1-(H_1*hnh)))-(TP*uCo_1*VE)-(TP*uCo_2*VE))*(H_3/(TP-H_1-H_2-(hnh*(H_1+H_2)))))-(H_1*hnh)-((TP-H_1-(H_1*hnh)-(TP*uCo_1*VE))*H_2*hnh/(TP-H_1-(H_1*hnh)))-((TP-H_1-(((TP-H_1-(H_1*hnh)-(TP*uCo_1*VE))*H_2/(TP-H_1-(H_1*hnh))))-(H_1*hnh)-(((TP-H_1-(H_1*hnh)-(TP*uCo_1*VE))*H_2*hnh/(TP-H_1-(H_1*hnh))))-(TP*uCo_1*VE)-(TP*uCo_2*VE))*(H_3*hnh/(TP-H_1-H_2-(hnh*(H_1+H_2)))))-(TP*uCo_1*VE)-(TP*uCo_2*VE)-(TP*uCo_3*VE))*(H_4*hnh/(TP-H_1-H_2-H_3-(hnh*(H_1+H_2+H_3)))),0))</f>
        <v>0</v>
      </c>
      <c r="U61" s="86">
        <f>IF(ScI=1,H_5*hnh,IF(ScI=2,(TP-H_1-(((TP-H_1-(H_1*hnh)-(TP*uCo_1*VE))*H_2/(TP-H_1-(H_1*hnh))))-AP60-AQ60-(H_1*hnh)-((TP-H_1-(H_1*hnh)-(TP*uCo_1*VE))*H_2*hnh/(TP-H_1-(H_1*hnh)))-AP62-AQ62-(TP*uCo_1*VE)-(TP*uCo_2*VE)-(TP*uCo_3*VE)-(TP*uCo_4*VE))*(H_5*hnh/(TP-H_1-H_2-H_3-H_4-(hnh*(H_1+H_2+H_3+H_4)))),0))</f>
        <v>0</v>
      </c>
      <c r="V61" s="86">
        <f>IF(ScI=1,H_6*hnh,IF(ScI=2,(TP-H_1-((TP-H_1-(H_1*hnh)-(TP*uCo_1*VE))*H_2/(TP-H_1-(H_1*hnh)))-AP60-AQ60-AR60-(H_1*hnh)-((TP-H_1-(H_1*hnh)-(TP*uCo_1*VE))*H_2*hnh/(TP-H_1-(H_1*hnh)))-AP62-AQ62-AR62-(TP*uCo_1*VE)-(TP*uCo_2*VE)-(TP*uCo_3*VE)-(TP*uCo_4*VE)-(TP*uCo_5*VE))*(H_6*hnh/(TP-H_1-H_2-H_3-H_4-H_5-(hnh*(H_1+H_2+H_3+H_4+H_5)))),0))</f>
        <v>0</v>
      </c>
      <c r="W61" s="86">
        <f>IF(ScI=1,H_7*hnh,IF(ScI=2,(TP-H_1-((TP-H_1-(H_1*hnh)-(TP*uCo_1*VE))*H_2/(TP-H_1-(H_1*hnh)))-AP60-AQ60-AR60-AS60-(H_1*hnh)-((TP-H_1-(H_1*hnh)-(TP*uCo_1*VE))*H_2*hnh/(TP-H_1-(H_1*hnh)))-AP62-AQ62-AR62-AS62-(TP*uCo_1*VE)-(TP*uCo_2*VE)-(TP*uCo_3*VE)-(TP*uCo_4*VE)-(TP*uCo_5*VE)-(TP*uCo_6*VE))*(H_7*hnh/(TP-H_1-H_2-H_3-H_4-H_5-H_6-(hnh*(H_1+H_2+H_3+H_4+H_5+H_6)))),0))</f>
        <v>0</v>
      </c>
      <c r="X61" s="86">
        <f>IF(ScI=1,H_8*hnh,IF(ScI=2,(TP-H_1-((TP-H_1-(H_1*hnh)-(TP*uCo_1*VE))*H_2/(TP-H_1-(H_1*hnh)))-AP60-AQ60-AR60-AS60-AT60-(H_1*hnh)-((TP-H_1-(H_1*hnh)-(TP*uCo_1*VE))*H_2*hnh/(TP-H_1-(H_1*hnh)))-AP62-AQ62-AR62-AS62-AT62-(TP*uCo_1*VE)-(TP*uCo_2*VE)-(TP*uCo_3*VE)-(TP*uCo_4*VE)-(TP*uCo_5*VE)-(TP*uCo_6*VE)-(TP*uCo_7*VE))*(H_8*hnh/(TP-H_1-H_2-H_3-H_4-H_5-H_6-H_7-(hnh*(H_1+H_2+H_3+H_4+H_5+H_6+H_7)))),0))</f>
        <v>0</v>
      </c>
      <c r="Y61" s="86">
        <f>IF(ScI=1,H_9*hnh,IF(ScI=2,(TP-H_1-((TP-H_1-(H_1*hnh)-(TP*uCo_1*VE))*H_2/(TP-H_1-(H_1*hnh)))-AP60-AQ60-AR60-AS60-AT60-AU60-(H_1*hnh)-((TP-H_1-(H_1*hnh)-(TP*uCo_1*VE))*H_2*hnh/(TP-H_1-(H_1*hnh)))-AP62-AQ62-AR62-AS62-AT62-AU62-(TP*uCo_1*VE)-(TP*uCo_2*VE)-(TP*uCo_3*VE)-(TP*uCo_4*VE)-(TP*uCo_5*VE)-(TP*uCo_6*VE)-(TP*uCo_7*VE)-(TP*uCo_8*VE))*(H_9*hnh/(TP-H_1-H_2-H_3-H_4-H_5-H_6-H_7-H_8-(hnh*(H_1+H_2+H_3+H_4+H_5+H_6+H_7+H_8)))),0))</f>
        <v>0</v>
      </c>
      <c r="Z61" s="86">
        <f>IF(ScI=1,H_10*hnh,IF(ScI=2,(TP-H_1-((TP-H_1-(H_1*hnh)-(TP*uCo_1*VE))*H_2/(TP-H_1-(H_1*hnh)))-AP60-AQ60-AR60-AS60-AT60-AU60-AV60-(H_1*hnh)-((TP-H_1-(H_1*hnh)-(TP*uCo_1*VE))*H_2*hnh/(TP-H_1-(H_1*hnh)))-AP62-AQ62-AR62-AS62-AT62-AU62-AV62-(TP*uCo_1*VE)-(TP*uCo_2*VE)-(TP*uCo_3*VE)-(TP*uCo_4*VE)-(TP*uCo_5*VE)-(TP*uCo_6*VE)-(TP*uCo_7*VE)-(TP*uCo_8*VE)-(TP*uCo_9*VE))*(H_10*hnh/(TP-H_1-H_2-H_3-H_4-H_5-H_6-H_7-H_8-H_9-(hnh*(H_1+H_2+H_3+H_4+H_5+H_6+H_7+H_8+H_9)))),0))</f>
        <v>0</v>
      </c>
      <c r="AA61" s="86">
        <f>IF(ScI=1,H_11*hnh,IF(ScI=2,(TP-H_1-((TP-H_1-(H_1*hnh)-(TP*uCo_1*VE))*H_2/(TP-H_1-(H_1*hnh)))-AP60-AQ60-AR60-AS60-AT60-AU60-AV60-AW60-(H_1*hnh)-((TP-H_1-(H_1*hnh)-(TP*uCo_1*VE))*H_2*hnh/(TP-H_1-(H_1*hnh)))-AP62-AQ62-AR62-AS62-AT62-AU62-AV62-AW62-(TP*uCo_1*VE)-(TP*uCo_2*VE)-(TP*uCo_3*VE)-(TP*uCo_4*VE)-(TP*uCo_5*VE)-(TP*uCo_6*VE)-(TP*uCo_7*VE)-(TP*uCo_8*VE)-(TP*uCo_9*VE)-(TP*uCo_10*VE))*(H_11*hnh/(TP-H_1-H_2-H_3-H_4-H_5-H_6-H_7-H_8-H_9-H_10-(hnh*(H_1+H_2+H_3+H_4+H_5+H_6+H_7+H_8+H_9+H_10)))),0))</f>
        <v>0</v>
      </c>
      <c r="AB61" s="86">
        <f>IF(ScI=1,H_12*hnh,IF(ScI=2,(TP-H_1-((TP-H_1-(H_1*hnh)-(TP*uCo_1*VE))*H_2/(TP-H_1-(H_1*hnh)))-AP60-AQ60-AR60-AS60-AT60-AU60-AV60-AW60-AX60-(H_1*hnh)-((TP-H_1-(H_1*hnh)-(TP*uCo_1*VE))*H_2*hnh/(TP-H_1-(H_1*hnh)))-AP62-AQ62-AR62-AS62-AT62-AU62-AV62-AW62-AX62-(TP*uCo_1*VE)-(TP*uCo_2*VE)-(TP*uCo_3*VE)-(TP*uCo_4*VE)-(TP*uCo_5*VE)-(TP*uCo_6*VE)-(TP*uCo_7*VE)-(TP*uCo_8*VE)-(TP*uCo_9*VE)-(TP*uCo_10*VE)-(TP*uCo_11*VE))*(H_12*hnh/(TP-H_1-H_2-H_3-H_4-H_5-H_6-H_7-H_8-H_9-H_10-H_11-(hnh*(H_1+H_2+H_3+H_4+H_5+H_6+H_7+H_8+H_9+H_10+H_11)))),0))</f>
        <v>0</v>
      </c>
      <c r="AC61" s="88">
        <f>IF(ScI=1,H_1*hnh,IF(ScI=2,H_1*hnh,0))</f>
        <v>0</v>
      </c>
      <c r="AD61" s="88" t="e">
        <f>IF(ScI=1,(TP-H_1-(H_1*hnh))*H_2*hnh/(TP-H_1-(H_1*hnh)-(TP*uCo_1*VE)),IF(ScI=2,H_2*hnh,0))</f>
        <v>#DIV/0!</v>
      </c>
      <c r="AE61" s="88" t="e">
        <f>IF(ScI=1,(TP-H_1-((TP-H_1-(H_1*hnh))*H_2/(TP-H_1-(H_1*hnh)-(TP*uCo_1*VE)))-(H_1*hnh)-((TP-H_1-(H_1*hnh))*H_2*hnh/(TP-H_1-(H_1*hnh)-(TP*uCo_1*VE))))*H_3*hnh/(TP-H_1-H_2-(hnh*(H_1+H_2))-(TP*VE*(uCo_1+uCo_2))),IF(ScI=2,H_3*hnh,0))</f>
        <v>#DIV/0!</v>
      </c>
      <c r="AF61" s="88" t="e">
        <f>IF(ScI=1,(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IF(ScI=2,H_4*hnh,0))</f>
        <v>#DIV/0!</v>
      </c>
      <c r="AG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H_5*hnh/(TP-H_1-H_2-H_3-H_4-(hnh*(H_1+H_2+H_3+H_4))-(TP*VE*(uCo_1+uCo_2+uCo_3+uCo_4))),IF(ScI=2,H_5*hnh,0))</f>
        <v>#DIV/0!</v>
      </c>
      <c r="AH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H_6*hnh/(TP-H_1-H_2-H_3-H_4-H_5-(hnh*(H_1+H_2+H_3+H_4+H_5))-(TP*VE*(uCo_1+uCo_2+uCo_3+uCo_4+uCo_5))),IF(ScI=2,H_6*hnh,0))</f>
        <v>#DIV/0!</v>
      </c>
      <c r="AI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H_7*hnh/(TP-H_1-H_2-H_3-H_4-H_5-H_6-(hnh*(H_1+H_2+H_3+H_4+H_5+H_6))-(TP*VE*(uCo_1+uCo_2+uCo_3+uCo_4+uCo_5+uCo_6))),IF(ScI=2,H_7*hnh,0))</f>
        <v>#DIV/0!</v>
      </c>
      <c r="AJ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H_8*hnh/(TP-H_1-H_2-H_3-H_4-H_5-H_6-H_7-(hnh*(H_1+H_2+H_3+H_4+H_5+H_6+H_7))-(TP*VE*(uCo_1+uCo_2+uCo_3+uCo_4+uCo_5+uCo_6+uCo_7))),IF(ScI=2,H_8*hnh,0))</f>
        <v>#DIV/0!</v>
      </c>
      <c r="AK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H_9*hnh/(TP-H_1-H_2-H_3-H_4-H_5-H_6-H_7-H_8-(hnh*(H_1+H_2+H_3+H_4+H_5+H_6+H_7+H_8))-(TP*VE*(uCo_1+uCo_2+uCo_3+uCo_4+uCo_5+uCo_6+uCo_7+uCo_8))),IF(ScI=2,H_9*hnh,0))</f>
        <v>#DIV/0!</v>
      </c>
      <c r="AL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H_10*hnh/(TP-H_1-H_2-H_3-H_4-H_5-H_6-H_7-H_8-H_9-(hnh*(H_1+H_2+H_3+H_4+H_5+H_6+H_7+H_8+H_9))-(TP*VE*(uCo_1+uCo_2+uCo_3+uCo_4+uCo_5+uCo_6+uCo_7+uCo_8+uCo_9))),IF(ScI=2,H_10*hnh,0))</f>
        <v>#DIV/0!</v>
      </c>
      <c r="AM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H_11*hnh/(TP-H_1-H_2-H_3-H_4-H_5-H_6-H_7-H_8-H_9-H_10-(hnh*(H_1+H_2+H_3+H_4+H_5+H_6+H_7+H_8+H_9+H_10))-(TP*VE*(uCo_1+uCo_2+uCo_3+uCo_4+uCo_5+uCo_6+uCo_7+uCo_8+uCo_9+uCo_10))),IF(ScI=2,H_11*hnh,0))</f>
        <v>#DIV/0!</v>
      </c>
      <c r="AN61" s="88" t="e">
        <f>IF(ScI=1,(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BF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BF62)*H_12*hnh/(TP-H_1-H_2-H_3-H_4-H_5-H_6-H_7-H_8-H_9-H_10-H_11-(hnh*(H_1+H_2+H_3+H_4+H_5+H_6+H_7+H_8+H_9+H_10+H_11))-(TP*VE*(uCo_1+uCo_2+uCo_3+uCo_4+uCo_5+uCo_6+uCo_7+uCo_8+uCo_9+uCo_10+uCo_11))),IF(ScI=2,H_12*hnh,0))</f>
        <v>#DIV/0!</v>
      </c>
      <c r="AP61" s="103" t="s">
        <v>82</v>
      </c>
      <c r="AQ61" s="103" t="s">
        <v>83</v>
      </c>
      <c r="AR61" s="103" t="s">
        <v>84</v>
      </c>
      <c r="AS61" s="103" t="s">
        <v>85</v>
      </c>
      <c r="AT61" s="103" t="s">
        <v>86</v>
      </c>
      <c r="AU61" s="103" t="s">
        <v>87</v>
      </c>
      <c r="AV61" s="103" t="s">
        <v>88</v>
      </c>
      <c r="AW61" s="103" t="s">
        <v>89</v>
      </c>
      <c r="AX61" s="103" t="s">
        <v>90</v>
      </c>
      <c r="AZ61" s="103" t="s">
        <v>106</v>
      </c>
      <c r="BA61" s="103" t="s">
        <v>92</v>
      </c>
      <c r="BB61" s="103" t="s">
        <v>98</v>
      </c>
      <c r="BC61" s="103" t="s">
        <v>99</v>
      </c>
      <c r="BD61" s="103" t="s">
        <v>100</v>
      </c>
      <c r="BE61" s="103" t="s">
        <v>101</v>
      </c>
      <c r="BF61" s="103" t="s">
        <v>102</v>
      </c>
    </row>
    <row r="62" spans="1:58" hidden="1" outlineLevel="1" x14ac:dyDescent="0.25">
      <c r="F62" s="113"/>
      <c r="G62" s="31"/>
      <c r="H62" s="31"/>
      <c r="I62" s="31"/>
      <c r="J62" s="31"/>
      <c r="K62" s="31"/>
      <c r="L62" s="31"/>
      <c r="M62" s="31"/>
      <c r="N62" s="31"/>
      <c r="Q62" s="31"/>
      <c r="R62" s="97"/>
      <c r="S62" s="97"/>
      <c r="T62" s="97"/>
      <c r="U62" s="97"/>
      <c r="V62" s="97"/>
      <c r="W62" s="97"/>
      <c r="X62" s="97"/>
      <c r="Y62" s="97"/>
      <c r="Z62" s="97"/>
      <c r="AA62" s="97"/>
      <c r="AB62" s="97"/>
      <c r="AC62" s="98"/>
      <c r="AD62" s="98"/>
      <c r="AE62" s="98"/>
      <c r="AF62" s="98"/>
      <c r="AG62" s="98"/>
      <c r="AH62" s="98"/>
      <c r="AI62" s="98"/>
      <c r="AJ62" s="98"/>
      <c r="AK62" s="98"/>
      <c r="AL62" s="98"/>
      <c r="AM62" s="98"/>
      <c r="AN62" s="98"/>
      <c r="AP62" s="103" t="e">
        <f>((TP-H_1-((TP-H_1-(H_1*hnh)-(TP*uCo_1*VE))*H_2/(TP-H_1-(H_1*hnh)))-(H_1*hnh)-((TP-H_1-(H_1*hnh)-(TP*uCo_1*VE))*H_2*hnh/(TP-H_1-(H_1*hnh)))-(TP*uCo_1*VE)-(TP*uCo_2*VE))*(H_3*hnh/(TP-H_1-H_2-(hnh*(H_1+H_2)))))</f>
        <v>#DIV/0!</v>
      </c>
      <c r="AQ62" s="103" t="e">
        <f>(TP-H_1-((TP-H_1-(H_1*hnh)-(TP*uCo_1*VE))*H_2/(TP-H_1-(H_1*hnh)))-AP60-(H_1*hnh)-((TP-H_1-(H_1*hnh)-(TP*uCo_1*VE))*H_2*hnh/(TP-H_1-(H_1*hnh)))-AP62-(TP*uCo_1*VE)-(TP*uCo_2*VE)-(TP*uCo_3*VE))*(H_4*hnh/(TP-H_1-H_2-H_3-(hnh*(H_1+H_2+H_3))))</f>
        <v>#DIV/0!</v>
      </c>
      <c r="AR62" s="103" t="e">
        <f>(TP-H_1-((TP-H_1-(H_1*hnh)-(TP*uCo_1*VE))*H_2/(TP-H_1-(H_1*hnh)))-AP60-AQ60-(H_1*hnh)-((TP-H_1-(H_1*hnh)-(TP*uCo_1*VE))*H_2*hnh/(TP-H_1-(H_1*hnh)))-AP62-AQ62-(TP*uCo_1*VE)-(TP*uCo_2*VE)-(TP*uCo_3*VE)-(TP*uCo_4*VE))*(H_5*hnh/(TP-H_1-H_2-H_3-H_4-(hnh*(H_1+H_2+H_3+H_4))))</f>
        <v>#DIV/0!</v>
      </c>
      <c r="AS62" s="103" t="e">
        <f>(TP-H_1-((TP-H_1-(H_1*hnh)-(TP*uCo_1*VE))*H_2/(TP-H_1-(H_1*hnh)))-AP60-AQ60-AR60-(H_1*hnh)-((TP-H_1-(H_1*hnh)-(TP*uCo_1*VE))*H_2*hnh/(TP-H_1-(H_1*hnh)))-AP62-AQ62-AR62-(TP*uCo_1*VE)-(TP*uCo_2*VE)-(TP*uCo_3*VE)-(TP*uCo_4*VE)-(TP*uCo_5*VE))*(H_6*hnh/(TP-H_1-H_2-H_3-H_4-H_5-(hnh*(H_1+H_2+H_3+H_4+H_5))))</f>
        <v>#DIV/0!</v>
      </c>
      <c r="AT62" s="103" t="e">
        <f>(TP-H_1-((TP-H_1-(H_1*hnh)-(TP*uCo_1*VE))*H_2/(TP-H_1-(H_1*hnh)))-AP60-AQ60-AR60-AS60-(H_1*hnh)-((TP-H_1-(H_1*hnh)-(TP*uCo_1*VE))*H_2*hnh/(TP-H_1-(H_1*hnh)))-AP62-AQ62-AR62-AS62-(TP*uCo_1*VE)-(TP*uCo_2*VE)-(TP*uCo_3*VE)-(TP*uCo_4*VE)-(TP*uCo_5*VE)-(TP*uCo_6*VE))*(H_7*hnh/(TP-H_1-H_2-H_3-H_4-H_5-H_6-(hnh*(H_1+H_2+H_3+H_4+H_5+H_6))))</f>
        <v>#DIV/0!</v>
      </c>
      <c r="AU62" s="103" t="e">
        <f>(TP-H_1-((TP-H_1-(H_1*hnh)-(TP*uCo_1*VE))*H_2/(TP-H_1-(H_1*hnh)))-AP60-AQ60-AR60-AS60-AT60-(H_1*hnh)-((TP-H_1-(H_1*hnh)-(TP*uCo_1*VE))*H_2*hnh/(TP-H_1-(H_1*hnh)))-AP62-AQ62-AR62-AS62-AT62-(TP*uCo_1*VE)-(TP*uCo_2*VE)-(TP*uCo_3*VE)-(TP*uCo_4*VE)-(TP*uCo_5*VE)-(TP*uCo_6*VE)-(TP*uCo_7*VE))*(H_8*hnh/(TP-H_1-H_2-H_3-H_4-H_5-H_6-H_7-(hnh*(H_1+H_2+H_3+H_4+H_5+H_6+H_7))))</f>
        <v>#DIV/0!</v>
      </c>
      <c r="AV62" s="103" t="e">
        <f>(TP-H_1-((TP-H_1-(H_1*hnh)-(TP*uCo_1*VE))*H_2/(TP-H_1-(H_1*hnh)))-AP60-AQ60-AR60-AS60-AT60-AU60-(H_1*hnh)-((TP-H_1-(H_1*hnh)-(TP*uCo_1*VE))*H_2*hnh/(TP-H_1-(H_1*hnh)))-AP62-AQ62-AR62-AS62-AT62-AU62-(TP*uCo_1*VE)-(TP*uCo_2*VE)-(TP*uCo_3*VE)-(TP*uCo_4*VE)-(TP*uCo_5*VE)-(TP*uCo_6*VE)-(TP*uCo_7*VE)-(TP*uCo_8*VE))*(H_9*hnh/(TP-H_1-H_2-H_3-H_4-H_5-H_6-H_7-H_8-(hnh*(H_1+H_2+H_3+H_4+H_5+H_6+H_7+H_8))))</f>
        <v>#DIV/0!</v>
      </c>
      <c r="AW62" s="103" t="e">
        <f>(TP-H_1-((TP-H_1-(H_1*hnh)-(TP*uCo_1*VE))*H_2/(TP-H_1-(H_1*hnh)))-AP60-AQ60-AR60-AS60-AT60-AU60-AV60-(H_1*hnh)-((TP-H_1-(H_1*hnh)-(TP*uCo_1*VE))*H_2*hnh/(TP-H_1-(H_1*hnh)))-AP62-AQ62-AR62-AS62-AT62-AU62-AV62-(TP*uCo_1*VE)-(TP*uCo_2*VE)-(TP*uCo_3*VE)-(TP*uCo_4*VE)-(TP*uCo_5*VE)-(TP*uCo_6*VE)-(TP*uCo_7*VE)-(TP*uCo_8*VE)-(TP*uCo_9*VE))*(H_10*hnh/(TP-H_1-H_2-H_3-H_4-H_5-H_6-H_7-H_8-H_9-(hnh*(H_1+H_2+H_3+H_4+H_5+H_6+H_7+H_8+H_9))))</f>
        <v>#DIV/0!</v>
      </c>
      <c r="AX62" s="103" t="e">
        <f>(TP-H_1-((TP-H_1-(H_1*hnh)-(TP*uCo_1*VE))*H_2/(TP-H_1-(H_1*hnh)))-AP60-AQ60-AR60-AS60-AT60-AU60-AV60-AW60-(H_1*hnh)-((TP-H_1-(H_1*hnh)-(TP*uCo_1*VE))*H_2*hnh/(TP-H_1-(H_1*hnh)))-AP62-AQ62-AR62-AS62-AT62-AU62-AV62-AW62-(TP*uCo_1*VE)-(TP*uCo_2*VE)-(TP*uCo_3*VE)-(TP*uCo_4*VE)-(TP*uCo_5*VE)-(TP*uCo_6*VE)-(TP*uCo_7*VE)-(TP*uCo_8*VE)-(TP*uCo_9*VE)-(TP*uCo_10*VE))*(H_11*hnh/(TP-H_1-H_2-H_3-H_4-H_5-H_6-H_7-H_8-H_9-H_10-(hnh*(H_1+H_2+H_3+H_4+H_5+H_6+H_7+H_8+H_9+H_10))))</f>
        <v>#DIV/0!</v>
      </c>
      <c r="AZ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H_5*hnh/(TP-H_1-H_2-H_3-H_4-(hnh*(H_1+H_2+H_3+H_4))-(TP*VE*(uCo_1+uCo_2+uCo_3+uCo_4)))</f>
        <v>#DIV/0!</v>
      </c>
      <c r="BA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H_6*hnh/(TP-H_1-H_2-H_3-H_4-H_5-(hnh*(H_1+H_2+H_3+H_4+H_5))-(TP*VE*(uCo_1+uCo_2+uCo_3+uCo_4+uCo_5)))</f>
        <v>#DIV/0!</v>
      </c>
      <c r="BB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H_7*hnh/(TP-H_1-H_2-H_3-H_4-H_5-H_6-(hnh*(H_1+H_2+H_3+H_4+H_5+H_6))-(TP*VE*(uCo_1+uCo_2+uCo_3+uCo_4+uCo_5+uCo_6)))</f>
        <v>#DIV/0!</v>
      </c>
      <c r="BC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H_8*hnh/(TP-H_1-H_2-H_3-H_4-H_5-H_6-H_7-(hnh*(H_1+H_2+H_3+H_4+H_5+H_6+H_7))-(TP*VE*(uCo_1+uCo_2+uCo_3+uCo_4+uCo_5+uCo_6+uCo_7)))</f>
        <v>#DIV/0!</v>
      </c>
      <c r="BD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H_9*hnh/(TP-H_1-H_2-H_3-H_4-H_5-H_6-H_7-H_8-(hnh*(H_1+H_2+H_3+H_4+H_5+H_6+H_7+H_8))-(TP*VE*(uCo_1+uCo_2+uCo_3+uCo_4+uCo_5+uCo_6+uCo_7+uCo_8)))</f>
        <v>#DIV/0!</v>
      </c>
      <c r="BE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H_10*hnh/(TP-H_1-H_2-H_3-H_4-H_5-H_6-H_7-H_8-H_9-(hnh*(H_1+H_2+H_3+H_4+H_5+H_6+H_7+H_8+H_9))-(TP*VE*(uCo_1+uCo_2+uCo_3+uCo_4+uCo_5+uCo_6+uCo_7+uCo_8+uCo_9)))</f>
        <v>#DIV/0!</v>
      </c>
      <c r="BF62" s="103" t="e">
        <f>(TP-H_1-((TP-H_1-(H_1*hnh))*H_2/(TP-H_1-(H_1*hnh)-(TP*uCo_1*VE)))-((TP-H_1-((TP-H_1-(H_1*hnh))*H_2/(TP-H_1-(H_1*hnh)-(TP*uCo_1*VE)))-(H_1*hnh)-((TP-H_1-(H_1*hnh))*H_2*hnh/(TP-H_1-(H_1*hnh)-(TP*uCo_1*VE))))*H_3/(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TP-H_1-H_2-H_3-(hnh*(H_1+H_2+H_3))-(TP*VE*(uCo_1+uCo_2+uCo_3))))-AZ60-BA60-BB60-BC60-BD60-BE60-(H_1*hnh)-((TP-H_1-(H_1*hnh))*H_2*hnh/(TP-H_1-(H_1*hnh)-(TP*uCo_1*VE)))-((TP-H_1-((TP-H_1-(H_1*hnh))*H_2/(TP-H_1-(H_1*hnh)-(TP*uCo_1*VE)))-(H_1*hnh)-((TP-H_1-(H_1*hnh))*H_2*hnh/(TP-H_1-(H_1*hnh)-(TP*uCo_1*VE))))*H_3*hnh/(TP-H_1-H_2-(hnh*(H_1+H_2))-(TP*VE*(uCo_1+uCo_2))))-((TP-H_1-((TP-H_1-(H_1*hnh))*H_2/(TP-H_1-(H_1*hnh)-(TP*uCo_1*VE)))-((TP-H_1-((TP-H_1-(H_1*hnh))*H_2/(TP-H_1-(H_1*hnh)-(TP*uCo_1*VE)))-(H_1*hnh)-((TP-H_1-(H_1*hnh))*H_2*hnh/(TP-H_1-(H_1*hnh)-(TP*uCo_1*VE))))*H_3/(TP-H_1-H_2-(hnh*(H_1+H_2))-(TP*VE*(uCo_1+uCo_2))))-(H_1*hnh)-((TP-H_1-(H_1*hnh))*H_2*hnh/(TP-H_1-(H_1*hnh)-(TP*uCo_1*VE)))-((TP-H_1-((TP-H_1-(H_1*hnh))*H_2/(TP-H_1-(H_1*hnh)-(TP*uCo_1*VE)))-(H_1*hnh)-((TP-H_1-(H_1*hnh))*H_2*hnh/(TP-H_1-(H_1*hnh)-(TP*uCo_1*VE))))*H_3*hnh/(TP-H_1-H_2-(hnh*(H_1+H_2))-(TP*VE*(uCo_1+uCo_2)))))*H_4*hnh/(TP-H_1-H_2-H_3-(hnh*(H_1+H_2+H_3))-(TP*VE*(uCo_1+uCo_2+uCo_3))))-AZ62-BA62-BB62-BC62-BD62-BE62)*H_11*hnh/(TP-H_1-H_2-H_3-H_4-H_5-H_6-H_7-H_8-H_9-H_10-(hnh*(H_1+H_2+H_3+H_4+H_5+H_6+H_7+H_8+H_9+H_10))-(TP*VE*(uCo_1+uCo_2+uCo_3+uCo_4+uCo_5+uCo_6+uCo_7+uCo_8+uCo_9+uCo_10)))</f>
        <v>#DIV/0!</v>
      </c>
    </row>
    <row r="63" spans="1:58" hidden="1" outlineLevel="1" x14ac:dyDescent="0.25">
      <c r="F63" s="112"/>
    </row>
    <row r="64" spans="1:58" hidden="1" outlineLevel="1" x14ac:dyDescent="0.25"/>
    <row r="65" spans="1:58" hidden="1" outlineLevel="1" x14ac:dyDescent="0.25"/>
    <row r="66" spans="1:58" collapsed="1" x14ac:dyDescent="0.25"/>
    <row r="67" spans="1:58" s="105" customFormat="1" x14ac:dyDescent="0.25">
      <c r="A67" s="104" t="s">
        <v>130</v>
      </c>
      <c r="B67" s="104"/>
    </row>
    <row r="68" spans="1:58" hidden="1" outlineLevel="1" x14ac:dyDescent="0.25">
      <c r="Q68" s="102" t="s">
        <v>72</v>
      </c>
      <c r="R68" s="102"/>
      <c r="S68" s="102"/>
      <c r="T68" s="102"/>
      <c r="U68" s="102"/>
      <c r="V68" s="102"/>
      <c r="W68" s="102"/>
      <c r="X68" s="102"/>
      <c r="Y68" s="102"/>
      <c r="Z68" s="102"/>
      <c r="AA68" s="102"/>
      <c r="AB68" s="102"/>
      <c r="AC68" s="101" t="s">
        <v>104</v>
      </c>
      <c r="AD68" s="101"/>
      <c r="AE68" s="101"/>
      <c r="AF68" s="101"/>
      <c r="AG68" s="101"/>
      <c r="AH68" s="101"/>
      <c r="AI68" s="101"/>
      <c r="AJ68" s="101"/>
      <c r="AK68" s="101"/>
      <c r="AL68" s="101"/>
      <c r="AM68" s="101"/>
      <c r="AN68" s="101"/>
      <c r="AP68" s="103">
        <v>3</v>
      </c>
      <c r="AQ68" s="103">
        <v>4</v>
      </c>
      <c r="AR68" s="103">
        <v>5</v>
      </c>
      <c r="AS68" s="103">
        <v>6</v>
      </c>
      <c r="AT68" s="103">
        <v>7</v>
      </c>
      <c r="AU68" s="103">
        <v>8</v>
      </c>
      <c r="AV68" s="103">
        <v>9</v>
      </c>
      <c r="AW68" s="103">
        <v>10</v>
      </c>
      <c r="AX68" s="103">
        <v>11</v>
      </c>
      <c r="AZ68" s="103">
        <v>5</v>
      </c>
      <c r="BA68" s="103">
        <v>6</v>
      </c>
      <c r="BB68" s="103">
        <v>7</v>
      </c>
      <c r="BC68" s="103">
        <v>8</v>
      </c>
      <c r="BD68" s="103">
        <v>9</v>
      </c>
      <c r="BE68" s="103">
        <v>10</v>
      </c>
      <c r="BF68" s="103">
        <v>11</v>
      </c>
    </row>
    <row r="69" spans="1:58" ht="28.7" hidden="1" customHeight="1" outlineLevel="1" x14ac:dyDescent="0.25">
      <c r="A69" s="11" t="s">
        <v>47</v>
      </c>
      <c r="B69" s="11"/>
      <c r="C69" s="11"/>
      <c r="D69" s="11"/>
      <c r="E69" s="11"/>
      <c r="F69" s="11"/>
      <c r="G69" s="109" t="s">
        <v>50</v>
      </c>
      <c r="H69" s="109"/>
      <c r="I69" s="110" t="s">
        <v>44</v>
      </c>
      <c r="J69" s="110"/>
      <c r="K69" s="101" t="s">
        <v>58</v>
      </c>
      <c r="L69" s="101"/>
      <c r="M69" s="110" t="s">
        <v>45</v>
      </c>
      <c r="N69" s="110"/>
      <c r="Q69" s="102" t="s">
        <v>1</v>
      </c>
      <c r="R69" s="102"/>
      <c r="S69" s="102"/>
      <c r="T69" s="102"/>
      <c r="U69" s="102"/>
      <c r="V69" s="102"/>
      <c r="W69" s="102"/>
      <c r="X69" s="102"/>
      <c r="Y69" s="102"/>
      <c r="Z69" s="102"/>
      <c r="AA69" s="102"/>
      <c r="AB69" s="102"/>
      <c r="AC69" s="101" t="s">
        <v>71</v>
      </c>
      <c r="AD69" s="101"/>
      <c r="AE69" s="101"/>
      <c r="AF69" s="101"/>
      <c r="AG69" s="101"/>
      <c r="AH69" s="101"/>
      <c r="AI69" s="101"/>
      <c r="AJ69" s="101"/>
      <c r="AK69" s="101"/>
      <c r="AL69" s="101"/>
      <c r="AM69" s="101"/>
      <c r="AN69" s="101"/>
      <c r="AP69" s="103" t="s">
        <v>73</v>
      </c>
      <c r="AQ69" s="103" t="s">
        <v>74</v>
      </c>
      <c r="AR69" s="103" t="s">
        <v>75</v>
      </c>
      <c r="AS69" s="103" t="s">
        <v>76</v>
      </c>
      <c r="AT69" s="103" t="s">
        <v>77</v>
      </c>
      <c r="AU69" s="103" t="s">
        <v>78</v>
      </c>
      <c r="AV69" s="103" t="s">
        <v>79</v>
      </c>
      <c r="AW69" s="103" t="s">
        <v>80</v>
      </c>
      <c r="AX69" s="103" t="s">
        <v>81</v>
      </c>
      <c r="AZ69" s="103" t="s">
        <v>105</v>
      </c>
      <c r="BA69" s="103" t="s">
        <v>91</v>
      </c>
      <c r="BB69" s="103" t="s">
        <v>93</v>
      </c>
      <c r="BC69" s="103" t="s">
        <v>94</v>
      </c>
      <c r="BD69" s="103" t="s">
        <v>95</v>
      </c>
      <c r="BE69" s="103" t="s">
        <v>96</v>
      </c>
      <c r="BF69" s="103" t="s">
        <v>97</v>
      </c>
    </row>
    <row r="70" spans="1:58" ht="45" hidden="1" outlineLevel="1" x14ac:dyDescent="0.25">
      <c r="A70" s="70" t="s">
        <v>40</v>
      </c>
      <c r="B70" s="70" t="s">
        <v>41</v>
      </c>
      <c r="C70" s="70" t="s">
        <v>53</v>
      </c>
      <c r="D70" s="70" t="s">
        <v>48</v>
      </c>
      <c r="E70" s="70" t="s">
        <v>42</v>
      </c>
      <c r="F70" s="76" t="s">
        <v>49</v>
      </c>
      <c r="G70" s="71" t="s">
        <v>51</v>
      </c>
      <c r="H70" s="71" t="s">
        <v>52</v>
      </c>
      <c r="I70" s="72" t="s">
        <v>51</v>
      </c>
      <c r="J70" s="72" t="s">
        <v>52</v>
      </c>
      <c r="K70" s="77" t="s">
        <v>51</v>
      </c>
      <c r="L70" s="77" t="s">
        <v>52</v>
      </c>
      <c r="M70" s="72" t="s">
        <v>51</v>
      </c>
      <c r="N70" s="72" t="s">
        <v>52</v>
      </c>
      <c r="Q70" s="102">
        <v>1</v>
      </c>
      <c r="R70" s="102">
        <v>2</v>
      </c>
      <c r="S70" s="102">
        <v>3</v>
      </c>
      <c r="T70" s="102">
        <v>4</v>
      </c>
      <c r="U70" s="102">
        <v>5</v>
      </c>
      <c r="V70" s="102">
        <v>6</v>
      </c>
      <c r="W70" s="102">
        <v>7</v>
      </c>
      <c r="X70" s="102">
        <v>8</v>
      </c>
      <c r="Y70" s="102">
        <v>9</v>
      </c>
      <c r="Z70" s="102">
        <v>10</v>
      </c>
      <c r="AA70" s="102">
        <v>11</v>
      </c>
      <c r="AB70" s="102">
        <v>12</v>
      </c>
      <c r="AC70" s="101">
        <v>1</v>
      </c>
      <c r="AD70" s="101">
        <v>2</v>
      </c>
      <c r="AE70" s="101">
        <v>3</v>
      </c>
      <c r="AF70" s="101">
        <v>4</v>
      </c>
      <c r="AG70" s="101">
        <v>5</v>
      </c>
      <c r="AH70" s="101">
        <v>6</v>
      </c>
      <c r="AI70" s="101">
        <v>7</v>
      </c>
      <c r="AJ70" s="101">
        <v>8</v>
      </c>
      <c r="AK70" s="101">
        <v>9</v>
      </c>
      <c r="AL70" s="101">
        <v>10</v>
      </c>
      <c r="AM70" s="101">
        <v>11</v>
      </c>
      <c r="AN70" s="101">
        <v>12</v>
      </c>
      <c r="AP70" s="103" t="e">
        <f>((TP-lH_1-((TP-lH_1-(lH_1*hnh)-(TP*Co_1*VE))*lH_2/(TP-lH_1-(lH_1*hnh)))-(lH_1*hnh)-((TP-lH_1-(lH_1*hnh)-(TP*Co_1*VE))*lH_2*hnh/(TP-lH_1-(lH_1*hnh)))-(TP*Co_1*VE)-(TP*Co_2*VE))*(lH_3/(TP-lH_1-lH_2-(hnh*(lH_1+lH_2)))))</f>
        <v>#DIV/0!</v>
      </c>
      <c r="AQ70" s="103" t="e">
        <f>(TP-lH_1-((TP-lH_1-(lH_1*hnh)-(TP*Co_1*VE))*lH_2/(TP-lH_1-(lH_1*hnh)))-AP70-(lH_1*hnh)-((TP-lH_1-(lH_1*hnh)-(TP*Co_1*VE))*lH_2*hnh/(TP-lH_1-(lH_1*hnh)))-AP72-(TP*Co_1*VE)-(TP*Co_2*VE)-(TP*Co_3*VE))*(lH_4/(TP-lH_1-lH_2-lH_3-(hnh*(lH_1+lH_2+lH_3))))</f>
        <v>#DIV/0!</v>
      </c>
      <c r="AR70" s="103" t="e">
        <f>(TP-lH_1-((TP-lH_1-(lH_1*hnh)-(TP*Co_1*VE))*lH_2/(TP-lH_1-(lH_1*hnh)))-AP70-AQ70-(lH_1*hnh)-((TP-lH_1-(lH_1*hnh)-(TP*Co_1*VE))*lH_2*hnh/(TP-lH_1-(lH_1*hnh)))-AP72-AQ72-(TP*Co_1*VE)-(TP*Co_2*VE)-(TP*Co_3*VE)-(TP*Co_4*VE))*(lH_5/(TP-lH_1-lH_2-lH_3-lH_4-(hnh*(lH_1+lH_2+lH_3+lH_4))))</f>
        <v>#DIV/0!</v>
      </c>
      <c r="AS70" s="103" t="e">
        <f>(TP-lH_1-((TP-lH_1-(lH_1*hnh)-(TP*Co_1*VE))*lH_2/(TP-lH_1-(lH_1*hnh)))-AP70-AQ70-AR70-(lH_1*hnh)-((TP-lH_1-(lH_1*hnh)-(TP*Co_1*VE))*lH_2*hnh/(TP-lH_1-(lH_1*hnh)))-AP72-AQ72-AR72-(TP*Co_1*VE)-(TP*Co_2*VE)-(TP*Co_3*VE)-(TP*Co_4*VE)-(TP*Co_5*VE))*(lH_6/(TP-lH_1-lH_2-lH_3-lH_4-lH_5-(hnh*(lH_1+lH_2+lH_3+lH_4+lH_5))))</f>
        <v>#DIV/0!</v>
      </c>
      <c r="AT70" s="103" t="e">
        <f>(TP-lH_1-((TP-lH_1-(lH_1*hnh)-(TP*Co_1*VE))*lH_2/(TP-lH_1-(lH_1*hnh)))-AP70-AQ70-AR70-AS70-(lH_1*hnh)-((TP-lH_1-(lH_1*hnh)-(TP*Co_1*VE))*lH_2*hnh/(TP-lH_1-(lH_1*hnh)))-AP72-AQ72-AR72-AS72-(TP*Co_1*VE)-(TP*Co_2*VE)-(TP*Co_3*VE)-(TP*Co_4*VE)-(TP*Co_5*VE)-(TP*Co_6*VE))*(lH_7/(TP-lH_1-lH_2-lH_3-lH_4-lH_5-lH_6-(hnh*(lH_1+lH_2+lH_3+lH_4+lH_5+lH_6))))</f>
        <v>#DIV/0!</v>
      </c>
      <c r="AU70" s="103" t="e">
        <f>(TP-lH_1-((TP-lH_1-(lH_1*hnh)-(TP*Co_1*VE))*lH_2/(TP-lH_1-(lH_1*hnh)))-AP70-AQ70-AR70-AS70-AT70-(lH_1*hnh)-((TP-lH_1-(lH_1*hnh)-(TP*Co_1*VE))*lH_2*hnh/(TP-lH_1-(lH_1*hnh)))-AP72-AQ72-AR72-AS72-AT72-(TP*Co_1*VE)-(TP*Co_2*VE)-(TP*Co_3*VE)-(TP*Co_4*VE)-(TP*Co_5*VE)-(TP*Co_6*VE)-(TP*Co_7*VE))*(lH_8/(TP-lH_1-lH_2-lH_3-lH_4-lH_5-lH_6-lH_7-(hnh*(lH_1+lH_2+lH_3+lH_4+lH_5+lH_6+lH_7))))</f>
        <v>#DIV/0!</v>
      </c>
      <c r="AV70" s="103" t="e">
        <f>(TP-lH_1-((TP-lH_1-(lH_1*hnh)-(TP*Co_1*VE))*lH_2/(TP-lH_1-(lH_1*hnh)))-AP70-AQ70-AR70-AS70-AT70-AU70-(lH_1*hnh)-((TP-lH_1-(lH_1*hnh)-(TP*Co_1*VE))*lH_2*hnh/(TP-lH_1-(lH_1*hnh)))-AP72-AQ72-AR72-AS72-AT72-AU72-(TP*Co_1*VE)-(TP*Co_2*VE)-(TP*Co_3*VE)-(TP*Co_4*VE)-(TP*Co_5*VE)-(TP*Co_6*VE)-(TP*Co_7*VE)-(TP*Co_8*VE))*(lH_9/(TP-lH_1-lH_2-lH_3-lH_4-lH_5-lH_6-lH_7-lH_8-(hnh*(lH_1+lH_2+lH_3+lH_4+lH_5+lH_6+lH_7+lH_8))))</f>
        <v>#DIV/0!</v>
      </c>
      <c r="AW70" s="103" t="e">
        <f>(TP-lH_1-((TP-lH_1-(lH_1*hnh)-(TP*Co_1*VE))*lH_2/(TP-lH_1-(lH_1*hnh)))-AP70-AQ70-AR70-AS70-AT70-AU70-AV70-(lH_1*hnh)-((TP-lH_1-(lH_1*hnh)-(TP*Co_1*VE))*lH_2*hnh/(TP-lH_1-(lH_1*hnh)))-AP72-AQ72-AR72-AS72-AT72-AU72-AV72-(TP*Co_1*VE)-(TP*Co_2*VE)-(TP*Co_3*VE)-(TP*Co_4*VE)-(TP*Co_5*VE)-(TP*Co_6*VE)-(TP*Co_7*VE)-(TP*Co_8*VE)-(TP*Co_9*VE))*(lH_10/(TP-lH_1-lH_2-lH_3-lH_4-lH_5-lH_6-lH_7-lH_8-lH_9-(hnh*(lH_1+lH_2+lH_3+lH_4+lH_5+lH_6+lH_7+lH_8+lH_9))))</f>
        <v>#DIV/0!</v>
      </c>
      <c r="AX70" s="103" t="e">
        <f>(TP-lH_1-((TP-lH_1-(lH_1*hnh)-(TP*Co_1*VE))*lH_2/(TP-lH_1-(lH_1*hnh)))-AP70-AQ70-AR70-AS70-AT70-AU70-AV70-AW70-(lH_1*hnh)-((TP-lH_1-(lH_1*hnh)-(TP*Co_1*VE))*lH_2*hnh/(TP-lH_1-(lH_1*hnh)))-AP72-AQ72-AR72-AS72-AT72-AU72-AV72-AW72-(TP*Co_1*VE)-(TP*Co_2*VE)-(TP*Co_3*VE)-(TP*Co_4*VE)-(TP*Co_5*VE)-(TP*Co_6*VE)-(TP*Co_7*VE)-(TP*Co_8*VE)-(TP*Co_9*VE)-(TP*Co_10*VE))*(lH_11/(TP-lH_1-lH_2-lH_3-lH_4-lH_5-lH_6-lH_7-lH_8-lH_9-lH_10-(hnh*(lH_1+lH_2+lH_3+lH_4+lH_5+lH_6+lH_7+lH_8+lH_9+lH_10))))</f>
        <v>#DIV/0!</v>
      </c>
      <c r="AZ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lH_5/(TP-lH_1-lH_2-lH_3-lH_4-(hnh*(lH_1+lH_2+lH_3+lH_4))-(TP*VE*(Co_1+Co_2+Co_3+Co_4)))</f>
        <v>#DIV/0!</v>
      </c>
      <c r="BA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lH_6/(TP-lH_1-lH_2-lH_3-lH_4-lH_5-(hnh*(lH_1+lH_2+lH_3+lH_4+lH_5))-(TP*VE*(Co_1+Co_2+Co_3+Co_4+Co_5)))</f>
        <v>#DIV/0!</v>
      </c>
      <c r="BB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lH_7/(TP-lH_1-lH_2-lH_3-lH_4-lH_5-lH_6-(hnh*(lH_1+lH_2+lH_3+lH_4+lH_5+lH_6))-(TP*VE*(Co_1+Co_2+Co_3+Co_4+Co_5+Co_6)))</f>
        <v>#DIV/0!</v>
      </c>
      <c r="BC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lH_8/(TP-lH_1-lH_2-lH_3-lH_4-lH_5-lH_6-lH_7-(hnh*(lH_1+lH_2+lH_3+lH_4+lH_5+lH_6+lH_7))-(TP*VE*(Co_1+Co_2+Co_3+Co_4+Co_5+Co_6+Co_7)))</f>
        <v>#DIV/0!</v>
      </c>
      <c r="BD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lH_9/(TP-lH_1-lH_2-lH_3-lH_4-lH_5-lH_6-lH_7-lH_8-(hnh*(lH_1+lH_2+lH_3+lH_4+lH_5+lH_6+lH_7+lH_8))-(TP*VE*(Co_1+Co_2+Co_3+Co_4+Co_5+Co_6+Co_7+Co_8)))</f>
        <v>#DIV/0!</v>
      </c>
      <c r="BE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lH_10/(TP-lH_1-lH_2-lH_3-lH_4-lH_5-lH_6-lH_7-lH_8-lH_9-(hnh*(lH_1+lH_2+lH_3+lH_4+lH_5+lH_6+lH_7+lH_8+lH_9))-(TP*VE*(Co_1+Co_2+Co_3+Co_4+Co_5+Co_6+Co_7+Co_8+Co_9)))</f>
        <v>#DIV/0!</v>
      </c>
      <c r="BF70"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lH_11/(TP-lH_1-lH_2-lH_3-lH_4-lH_5-lH_6-lH_7-lH_8-lH_9-lH_10-(hnh*(lH_1+lH_2+lH_3+lH_4+lH_5+lH_6+lH_7+lH_8+lH_9+lH_10))-(TP*VE*(Co_1+Co_2+Co_3+Co_4+Co_5+Co_6+Co_7+Co_8+Co_9+Co_10)))</f>
        <v>#DIV/0!</v>
      </c>
    </row>
    <row r="71" spans="1:58" hidden="1" outlineLevel="1" x14ac:dyDescent="0.25">
      <c r="A71" s="73">
        <f>season</f>
        <v>0</v>
      </c>
      <c r="B71" s="73">
        <f>TG</f>
        <v>0</v>
      </c>
      <c r="C71" s="73">
        <f>TP</f>
        <v>0</v>
      </c>
      <c r="D71" s="74">
        <f>TCv</f>
        <v>0</v>
      </c>
      <c r="E71" s="75">
        <f>VE</f>
        <v>0</v>
      </c>
      <c r="F71" s="78" t="e">
        <f>G71/IF(mb=1,SUM(AC71:AN71),IF(mb=2,SUM(AD71:AN71),IF(mb=3,SUM(AE71:AN71),IF(mb=4,SUM(AF71:AN71),IF(mb=5,SUM(AG71:AN71),IF(mb=6,SUM(AH71:AN71),IF(mb=7,SUM(AI71:AN71),IF(mb=8,SUM(AJ71:AN71),0))))))))</f>
        <v>#DIV/0!</v>
      </c>
      <c r="G71" s="42">
        <f>IF(mb=1,SUM(AC71:AN71)-SUM(Q71:AB71),IF(mb=2,SUM(AD71:AN71)-SUM(R71:AB71),IF(mb=3,SUM(AE71:AN71)-SUM(S71:AB71),IF(mb=4,SUM(AF71:AN71)-SUM(T71:AB71),IF(mb=5,SUM(AG71:AN71)-SUM(U71:AB71),IF(mb=6,SUM(AH71:AN71)-SUM(V71:AB71),IF(mb=7,SUM(AI71:AN71)-SUM(W71:AB71),IF(mb=8,SUM(AJ71:AN71)-SUM(X71:AB71),0))))))))</f>
        <v>0</v>
      </c>
      <c r="H71" s="96" t="e">
        <f>1/(VE*IF(mb=1,SUM(AC71:AN71),IF(mb=2,SUM(AD71:AN71),IF(mb=3,SUM(AE71:AN71),IF(mb=4,SUM(AF71:AN71),IF(mb=5,SUM(AG71:AN71),IF(mb=6,SUM(AH71:AN71),IF(mb=7,SUM(AI71:AN71),IF(mb=8,SUM(AJ71:AN71),0))))))))/TP)</f>
        <v>#DIV/0!</v>
      </c>
      <c r="I71" s="93" t="e">
        <f>G71/hnh</f>
        <v>#DIV/0!</v>
      </c>
      <c r="J71" s="42" t="e">
        <f>1/(VE*IF(mb=1,SUM(AC71:AN71),IF(mb=2,SUM(AD71:AN71),IF(mb=3,SUM(AE71:AN71),IF(mb=4,SUM(AF71:AN71),IF(mb=5,SUM(AG71:AN71),IF(mb=6,SUM(AH71:AN71),IF(mb=7,SUM(AI71:AN71),IF(mb=8,SUM(AJ71:AN71),0))))))))/(TP*hnh))</f>
        <v>#DIV/0!</v>
      </c>
      <c r="K71" s="42" t="e">
        <f>M71*mai</f>
        <v>#DIV/0!</v>
      </c>
      <c r="L71" s="42" t="e">
        <f>1/(VE*((IF(mb=1,SUM(AC71:AN71),IF(mb=2,SUM(AD71:AN71),IF(mb=3,SUM(AE71:AN71),IF(mb=4,SUM(AF71:AN71),IF(mb=5,SUM(AG71:AN71),IF(mb=6,SUM(AH71:AN71),IF(mb=7,SUM(AI71:AN71),IF(mb=8,SUM(AJ71:AN71),0))))))))+(IF(mb=1,SUM(AC71:AN71),IF(mb=2,SUM(AD71:AN71),IF(mb=3,SUM(AE71:AN71),IF(mb=4,SUM(AF71:AN71),IF(mb=5,SUM(AG71:AN71),IF(mb=6,SUM(AH71:AN71),IF(mb=7,SUM(AI71:AN71),IF(mb=8,SUM(AJ71:AN71),0)))))))))/hnh)*mai)/TP)</f>
        <v>#DIV/0!</v>
      </c>
      <c r="M71" s="42" t="e">
        <f>G71+I71</f>
        <v>#DIV/0!</v>
      </c>
      <c r="N71" s="42" t="e">
        <f>1/(VE*(IF(mb=1,SUM(AC71:AN71),IF(mb=2,SUM(AD71:AN71),IF(mb=3,SUM(AE71:AN71),IF(mb=4,SUM(AF71:AN71),IF(mb=5,SUM(AG71:AN71),IF(mb=6,SUM(AH71:AN71),IF(mb=7,SUM(AI71:AN71),IF(mb=8,SUM(AJ71:AN71),0))))))))+(IF(mb=1,SUM(AC71:AN71),IF(mb=2,SUM(AD71:AN71),IF(mb=3,SUM(AE71:AN71),IF(mb=4,SUM(AF71:AN71),IF(mb=5,SUM(AG71:AN71),IF(mb=6,SUM(AH71:AN71),IF(mb=7,SUM(AI71:AN71),IF(mb=8,SUM(AJ71:AN71),0)))))))))/hnh)/TP)</f>
        <v>#DIV/0!</v>
      </c>
      <c r="Q71" s="86">
        <f>IF(ISc=1,lH_1*hnh,IF(ISc=2,lH_1*hnh,0))</f>
        <v>0</v>
      </c>
      <c r="R71" s="111" t="e">
        <f>IF(ScI=1,lH_2*hnh,IF(ScI=2,(TP-lH_1-(lH_1*hnh)-(TP*Co_1*VE))*(lH_2*hnh/(TP-lH_1-(lH_1*hnh))),0))</f>
        <v>#DIV/0!</v>
      </c>
      <c r="S71" s="86" t="e">
        <f>IF(ScI=1,lH_3*hnh,IF(ScI=2,(TP-lH_1-((TP-lH_1-(lH_1*hnh)-(TP*Co_1*VE))*lH_2/(TP-lH_1-(lH_1*hnh)))-(lH_1*hnh)-((TP-lH_1-(lH_1*hnh)-(TP*Co_1*VE))*lH_2*hnh/(TP-lH_1-(lH_1*hnh)))-(TP*Co_1*VE)-(TP*Co_2*VE))*(lH_3*hnh/(TP-lH_1-lH_2-(hnh*(lH_1+lH_2)))),0))</f>
        <v>#DIV/0!</v>
      </c>
      <c r="T71" s="86" t="e">
        <f>IF(ScI=1,lH_4*hnh,IF(ScI=2,(TP-lH_1-((TP-lH_1-(lH_1*hnh)-(TP*Co_1*VE))*lH_2/(TP-lH_1-(lH_1*hnh)))-((TP-lH_1-(((TP-lH_1-(lH_1*hnh)-(TP*Co_1*VE))*lH_2/(TP-lH_1-(lH_1*hnh))))-(lH_1*hnh)-((TP-lH_1-(lH_1*hnh)-(TP*Co_1*VE))*lH_2*hnh/(TP-lH_1-(lH_1*hnh)))-(TP*Co_1*VE)-(TP*Co_2*VE))*(lH_3/(TP-lH_1-lH_2-(hnh*(lH_1+lH_2)))))-(lH_1*hnh)-((TP-lH_1-(lH_1*hnh)-(TP*Co_1*VE))*lH_2*hnh/(TP-lH_1-(lH_1*hnh)))-((TP-lH_1-(((TP-lH_1-(lH_1*hnh)-(TP*Co_1*VE))*lH_2/(TP-lH_1-(lH_1*hnh))))-(lH_1*hnh)-(((TP-lH_1-(lH_1*hnh)-(TP*Co_1*VE))*lH_2*hnh/(TP-lH_1-(lH_1*hnh))))-(TP*Co_1*VE)-(TP*Co_2*VE))*(lH_3*hnh/(TP-lH_1-lH_2-(hnh*(lH_1+lH_2)))))-(TP*Co_1*VE)-(TP*Co_2*VE)-(TP*Co_3*VE))*(lH_4*hnh/(TP-lH_1-lH_2-lH_3-(hnh*(lH_1+lH_2+lH_3)))),0))</f>
        <v>#DIV/0!</v>
      </c>
      <c r="U71" s="86" t="e">
        <f>IF(ScI=1,lH_5*hnh,IF(ScI=2,(TP-lH_1-(((TP-lH_1-(lH_1*hnh)-(TP*Co_1*VE))*lH_2/(TP-lH_1-(lH_1*hnh))))-AP70-AQ70-(lH_1*hnh)-((TP-lH_1-(lH_1*hnh)-(TP*Co_1*VE))*lH_2*hnh/(TP-lH_1-(lH_1*hnh)))-AP72-AQ72-(TP*Co_1*VE)-(TP*Co_2*VE)-(TP*Co_3*VE)-(TP*Co_4*VE))*(lH_5*hnh/(TP-lH_1-lH_2-lH_3-lH_4-(hnh*(lH_1+lH_2+lH_3+lH_4)))),0))</f>
        <v>#DIV/0!</v>
      </c>
      <c r="V71" s="86" t="e">
        <f>IF(ScI=1,lH_6*hnh,IF(ScI=2,(TP-lH_1-((TP-lH_1-(lH_1*hnh)-(TP*Co_1*VE))*lH_2/(TP-lH_1-(lH_1*hnh)))-AP70-AQ70-AR70-(lH_1*hnh)-((TP-lH_1-(lH_1*hnh)-(TP*Co_1*VE))*lH_2*hnh/(TP-lH_1-(lH_1*hnh)))-AP72-AQ72-AR72-(TP*Co_1*VE)-(TP*Co_2*VE)-(TP*Co_3*VE)-(TP*Co_4*VE)-(TP*Co_5*VE))*(lH_6*hnh/(TP-lH_1-lH_2-lH_3-lH_4-lH_5-(hnh*(lH_1+lH_2+lH_3+lH_4+lH_5)))),0))</f>
        <v>#DIV/0!</v>
      </c>
      <c r="W71" s="86" t="e">
        <f>IF(ScI=1,lH_7*hnh,IF(ScI=2,(TP-lH_1-((TP-lH_1-(lH_1*hnh)-(TP*Co_1*VE))*lH_2/(TP-lH_1-(lH_1*hnh)))-AP70-AQ70-AR70-AS70-(lH_1*hnh)-((TP-lH_1-(lH_1*hnh)-(TP*Co_1*VE))*lH_2*hnh/(TP-lH_1-(lH_1*hnh)))-AP72-AQ72-AR72-AS72-(TP*Co_1*VE)-(TP*Co_2*VE)-(TP*Co_3*VE)-(TP*Co_4*VE)-(TP*Co_5*VE)-(TP*Co_6*VE))*(lH_7*hnh/(TP-lH_1-lH_2-lH_3-lH_4-lH_5-lH_6-(hnh*(lH_1+lH_2+lH_3+lH_4+lH_5+lH_6)))),0))</f>
        <v>#DIV/0!</v>
      </c>
      <c r="X71" s="86" t="e">
        <f>IF(ScI=1,lH_8*hnh,IF(ScI=2,(TP-lH_1-((TP-lH_1-(lH_1*hnh)-(TP*Co_1*VE))*lH_2/(TP-lH_1-(lH_1*hnh)))-AP70-AQ70-AR70-AS70-AT70-(lH_1*hnh)-((TP-lH_1-(lH_1*hnh)-(TP*Co_1*VE))*lH_2*hnh/(TP-lH_1-(lH_1*hnh)))-AP72-AQ72-AR72-AS72-AT72-(TP*Co_1*VE)-(TP*Co_2*VE)-(TP*Co_3*VE)-(TP*Co_4*VE)-(TP*Co_5*VE)-(TP*Co_6*VE)-(TP*Co_7*VE))*(lH_8*hnh/(TP-lH_1-lH_2-lH_3-lH_4-lH_5-lH_6-lH_7-(hnh*(lH_1+lH_2+lH_3+lH_4+lH_5+lH_6+lH_7)))),0))</f>
        <v>#DIV/0!</v>
      </c>
      <c r="Y71" s="86" t="e">
        <f>IF(ScI=1,lH_9*hnh,IF(ScI=2,(TP-lH_1-((TP-lH_1-(lH_1*hnh)-(TP*Co_1*VE))*lH_2/(TP-lH_1-(lH_1*hnh)))-AP70-AQ70-AR70-AS70-AT70-AU70-(lH_1*hnh)-((TP-lH_1-(lH_1*hnh)-(TP*Co_1*VE))*lH_2*hnh/(TP-lH_1-(lH_1*hnh)))-AP72-AQ72-AR72-AS72-AT72-AU72-(TP*Co_1*VE)-(TP*Co_2*VE)-(TP*Co_3*VE)-(TP*Co_4*VE)-(TP*Co_5*VE)-(TP*Co_6*VE)-(TP*Co_7*VE)-(TP*Co_8*VE))*(lH_9*hnh/(TP-lH_1-lH_2-lH_3-lH_4-lH_5-lH_6-lH_7-lH_8-(hnh*(lH_1+lH_2+lH_3+lH_4+lH_5+lH_6+lH_7+lH_8)))),0))</f>
        <v>#DIV/0!</v>
      </c>
      <c r="Z71" s="86" t="e">
        <f>IF(ScI=1,lH_10*hnh,IF(ScI=2,(TP-lH_1-((TP-lH_1-(lH_1*hnh)-(TP*Co_1*VE))*lH_2/(TP-lH_1-(lH_1*hnh)))-AP70-AQ70-AR70-AS70-AT70-AU70-AV70-(lH_1*hnh)-((TP-lH_1-(lH_1*hnh)-(TP*Co_1*VE))*lH_2*hnh/(TP-lH_1-(lH_1*hnh)))-AP72-AQ72-AR72-AS72-AT72-AU72-AV72-(TP*Co_1*VE)-(TP*Co_2*VE)-(TP*Co_3*VE)-(TP*Co_4*VE)-(TP*Co_5*VE)-(TP*Co_6*VE)-(TP*Co_7*VE)-(TP*Co_8*VE)-(TP*Co_9*VE))*(lH_10*hnh/(TP-lH_1-lH_2-lH_3-lH_4-lH_5-lH_6-lH_7-lH_8-lH_9-(hnh*(lH_1+lH_2+lH_3+lH_4+lH_5+lH_6+lH_7+lH_8+lH_9)))),0))</f>
        <v>#DIV/0!</v>
      </c>
      <c r="AA71" s="86" t="e">
        <f>IF(ScI=1,lH_11*hnh,IF(ScI=2,(TP-lH_1-((TP-lH_1-(lH_1*hnh)-(TP*Co_1*VE))*lH_2/(TP-lH_1-(lH_1*hnh)))-AP70-AQ70-AR70-AS70-AT70-AU70-AV70-AW70-(lH_1*hnh)-((TP-lH_1-(lH_1*hnh)-(TP*Co_1*VE))*lH_2*hnh/(TP-lH_1-(lH_1*hnh)))-AP72-AQ72-AR72-AS72-AT72-AU72-AV72-AW72-(TP*Co_1*VE)-(TP*Co_2*VE)-(TP*Co_3*VE)-(TP*Co_4*VE)-(TP*Co_5*VE)-(TP*Co_6*VE)-(TP*Co_7*VE)-(TP*Co_8*VE)-(TP*Co_9*VE)-(TP*Co_10*VE))*(lH_11*hnh/(TP-lH_1-lH_2-lH_3-lH_4-lH_5-lH_6-lH_7-lH_8-lH_9-lH_10-(hnh*(lH_1+lH_2+lH_3+lH_4+lH_5+lH_6+lH_7+lH_8+lH_9+lH_10)))),0))</f>
        <v>#DIV/0!</v>
      </c>
      <c r="AB71" s="86" t="e">
        <f>IF(ScI=1,lH_12*hnh,IF(ScI=2,(TP-lH_1-((TP-lH_1-(lH_1*hnh)-(TP*Co_1*VE))*lH_2/(TP-lH_1-(lH_1*hnh)))-AP70-AQ70-AR70-AS70-AT70-AU70-AV70-AW70-AX70-(lH_1*hnh)-((TP-lH_1-(lH_1*hnh)-(TP*Co_1*VE))*lH_2*hnh/(TP-lH_1-(lH_1*hnh)))-AP72-AQ72-AR72-AS72-AT72-AU72-AV72-AW72-AX72-(TP*Co_1*VE)-(TP*Co_2*VE)-(TP*Co_3*VE)-(TP*Co_4*VE)-(TP*Co_5*VE)-(TP*Co_6*VE)-(TP*Co_7*VE)-(TP*Co_8*VE)-(TP*Co_9*VE)-(TP*Co_10*VE)-(TP*Co_11*VE))*(lH_12*hnh/(TP-lH_1-lH_2-lH_3-lH_4-lH_5-lH_6-lH_7-lH_8-lH_9-lH_10-lH_11-(hnh*(lH_1+lH_2+lH_3+lH_4+lH_5+lH_6+lH_7+lH_8+lH_9+lH_10+lH_11)))),0))</f>
        <v>#DIV/0!</v>
      </c>
      <c r="AC71" s="88">
        <f>IF(ScI=1,lH_1*hnh,IF(ScI=2,lH_1*hnh,0))</f>
        <v>0</v>
      </c>
      <c r="AD71" s="88" t="e">
        <f>IF(ScI=1,(TP-lH_1-(lH_1*hnh))*lH_2*hnh/(TP-lH_1-(lH_1*hnh)-(TP*Co_1*VE)),IF(ScI=2,lH_2*hnh,0))</f>
        <v>#DIV/0!</v>
      </c>
      <c r="AE71" s="88" t="e">
        <f>IF(ScI=1,(TP-lH_1-((TP-lH_1-(lH_1*hnh))*lH_2/(TP-lH_1-(lH_1*hnh)-(TP*Co_1*VE)))-(lH_1*hnh)-((TP-lH_1-(lH_1*hnh))*lH_2*hnh/(TP-lH_1-(lH_1*hnh)-(TP*Co_1*VE))))*lH_3*hnh/(TP-lH_1-lH_2-(hnh*(lH_1+lH_2))-(TP*VE*(Co_1+Co_2))),IF(ScI=2,lH_3*hnh,0))</f>
        <v>#DIV/0!</v>
      </c>
      <c r="AF71" s="88" t="e">
        <f>IF(ScI=1,(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IF(ScI=2,lH_4*hnh,0))</f>
        <v>#DIV/0!</v>
      </c>
      <c r="AG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lH_5*hnh/(TP-lH_1-lH_2-lH_3-lH_4-(hnh*(lH_1+lH_2+lH_3+lH_4))-(TP*VE*(Co_1+Co_2+Co_3+Co_4))),IF(ScI=2,lH_5*hnh,0))</f>
        <v>#DIV/0!</v>
      </c>
      <c r="AH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lH_6*hnh/(TP-lH_1-lH_2-lH_3-lH_4-lH_5-(hnh*(lH_1+lH_2+lH_3+lH_4+lH_5))-(TP*VE*(Co_1+Co_2+Co_3+Co_4+Co_5))),IF(ScI=2,lH_6*hnh,0))</f>
        <v>#DIV/0!</v>
      </c>
      <c r="AI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lH_7*hnh/(TP-lH_1-lH_2-lH_3-lH_4-lH_5-lH_6-(hnh*(lH_1+lH_2+lH_3+lH_4+lH_5+lH_6))-(TP*VE*(Co_1+Co_2+Co_3+Co_4+Co_5+Co_6))),IF(ScI=2,lH_7*hnh,0))</f>
        <v>#DIV/0!</v>
      </c>
      <c r="AJ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lH_8*hnh/(TP-lH_1-lH_2-lH_3-lH_4-lH_5-lH_6-lH_7-(hnh*(lH_1+lH_2+lH_3+lH_4+lH_5+lH_6+lH_7))-(TP*VE*(Co_1+Co_2+Co_3+Co_4+Co_5+Co_6+Co_7))),IF(ScI=2,lH_8*hnh,0))</f>
        <v>#DIV/0!</v>
      </c>
      <c r="AK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lH_9*hnh/(TP-lH_1-lH_2-lH_3-lH_4-lH_5-lH_6-lH_7-lH_8-(hnh*(lH_1+lH_2+lH_3+lH_4+lH_5+lH_6+lH_7+lH_8))-(TP*VE*(Co_1+Co_2+Co_3+Co_4+Co_5+Co_6+Co_7+Co_8))),IF(ScI=2,lH_9*hnh,0))</f>
        <v>#DIV/0!</v>
      </c>
      <c r="AL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lH_10*hnh/(TP-lH_1-lH_2-lH_3-lH_4-lH_5-lH_6-lH_7-lH_8-lH_9-(hnh*(lH_1+lH_2+lH_3+lH_4+lH_5+lH_6+lH_7+lH_8+lH_9))-(TP*VE*(Co_1+Co_2+Co_3+Co_4+Co_5+Co_6+Co_7+Co_8+Co_9))),IF(ScI=2,lH_10*hnh,0))</f>
        <v>#DIV/0!</v>
      </c>
      <c r="AM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lH_11*hnh/(TP-lH_1-lH_2-lH_3-lH_4-lH_5-lH_6-lH_7-lH_8-lH_9-lH_10-(hnh*(lH_1+lH_2+lH_3+lH_4+lH_5+lH_6+lH_7+lH_8+lH_9+lH_10))-(TP*VE*(Co_1+Co_2+Co_3+Co_4+Co_5+Co_6+Co_7+Co_8+Co_9+Co_10))),IF(ScI=2,lH_11*hnh,0))</f>
        <v>#DIV/0!</v>
      </c>
      <c r="AN71" s="88" t="e">
        <f>IF(ScI=1,(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BF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BF72)*lH_12*hnh/(TP-lH_1-lH_2-lH_3-lH_4-lH_5-lH_6-lH_7-lH_8-lH_9-lH_10-lH_11-(hnh*(lH_1+lH_2+lH_3+lH_4+lH_5+lH_6+lH_7+lH_8+lH_9+lH_10+lH_11))-(TP*VE*(Co_1+Co_2+Co_3+Co_4+Co_5+Co_6+Co_7+Co_8+Co_9+Co_10+Co_11))),IF(ScI=2,lH_12*hnh,0))</f>
        <v>#DIV/0!</v>
      </c>
      <c r="AP71" s="103" t="s">
        <v>82</v>
      </c>
      <c r="AQ71" s="103" t="s">
        <v>83</v>
      </c>
      <c r="AR71" s="103" t="s">
        <v>84</v>
      </c>
      <c r="AS71" s="103" t="s">
        <v>85</v>
      </c>
      <c r="AT71" s="103" t="s">
        <v>86</v>
      </c>
      <c r="AU71" s="103" t="s">
        <v>87</v>
      </c>
      <c r="AV71" s="103" t="s">
        <v>88</v>
      </c>
      <c r="AW71" s="103" t="s">
        <v>89</v>
      </c>
      <c r="AX71" s="103" t="s">
        <v>90</v>
      </c>
      <c r="AZ71" s="103" t="s">
        <v>106</v>
      </c>
      <c r="BA71" s="103" t="s">
        <v>92</v>
      </c>
      <c r="BB71" s="103" t="s">
        <v>98</v>
      </c>
      <c r="BC71" s="103" t="s">
        <v>99</v>
      </c>
      <c r="BD71" s="103" t="s">
        <v>100</v>
      </c>
      <c r="BE71" s="103" t="s">
        <v>101</v>
      </c>
      <c r="BF71" s="103" t="s">
        <v>102</v>
      </c>
    </row>
    <row r="72" spans="1:58" hidden="1" outlineLevel="1" x14ac:dyDescent="0.25">
      <c r="F72" s="113"/>
      <c r="G72" s="31"/>
      <c r="H72" s="31"/>
      <c r="I72" s="31"/>
      <c r="J72" s="31"/>
      <c r="K72" s="31"/>
      <c r="L72" s="31"/>
      <c r="M72" s="31"/>
      <c r="N72" s="31"/>
      <c r="Q72" s="31"/>
      <c r="R72" s="97"/>
      <c r="S72" s="97"/>
      <c r="T72" s="97"/>
      <c r="U72" s="97"/>
      <c r="V72" s="97"/>
      <c r="W72" s="97"/>
      <c r="X72" s="97"/>
      <c r="Y72" s="97"/>
      <c r="Z72" s="97"/>
      <c r="AA72" s="97"/>
      <c r="AB72" s="97"/>
      <c r="AC72" s="98"/>
      <c r="AD72" s="98"/>
      <c r="AE72" s="98"/>
      <c r="AF72" s="98"/>
      <c r="AG72" s="98"/>
      <c r="AH72" s="98"/>
      <c r="AI72" s="98"/>
      <c r="AJ72" s="98"/>
      <c r="AK72" s="98"/>
      <c r="AL72" s="98"/>
      <c r="AM72" s="98"/>
      <c r="AN72" s="98"/>
      <c r="AP72" s="103" t="e">
        <f>((TP-lH_1-((TP-lH_1-(lH_1*hnh)-(TP*Co_1*VE))*lH_2/(TP-lH_1-(lH_1*hnh)))-(lH_1*hnh)-((TP-lH_1-(lH_1*hnh)-(TP*Co_1*VE))*lH_2*hnh/(TP-lH_1-(lH_1*hnh)))-(TP*Co_1*VE)-(TP*Co_2*VE))*(lH_3*hnh/(TP-lH_1-lH_2-(hnh*(lH_1+lH_2)))))</f>
        <v>#DIV/0!</v>
      </c>
      <c r="AQ72" s="103" t="e">
        <f>(TP-lH_1-((TP-lH_1-(lH_1*hnh)-(TP*Co_1*VE))*lH_2/(TP-lH_1-(lH_1*hnh)))-AP70-(lH_1*hnh)-((TP-lH_1-(lH_1*hnh)-(TP*Co_1*VE))*lH_2*hnh/(TP-lH_1-(lH_1*hnh)))-AP72-(TP*Co_1*VE)-(TP*Co_2*VE)-(TP*Co_3*VE))*(lH_4*hnh/(TP-lH_1-lH_2-lH_3-(hnh*(lH_1+lH_2+lH_3))))</f>
        <v>#DIV/0!</v>
      </c>
      <c r="AR72" s="103" t="e">
        <f>(TP-lH_1-((TP-lH_1-(lH_1*hnh)-(TP*Co_1*VE))*lH_2/(TP-lH_1-(lH_1*hnh)))-AP70-AQ70-(lH_1*hnh)-((TP-lH_1-(lH_1*hnh)-(TP*Co_1*VE))*lH_2*hnh/(TP-lH_1-(lH_1*hnh)))-AP72-AQ72-(TP*Co_1*VE)-(TP*Co_2*VE)-(TP*Co_3*VE)-(TP*Co_4*VE))*(lH_5*hnh/(TP-lH_1-lH_2-lH_3-lH_4-(hnh*(lH_1+lH_2+lH_3+lH_4))))</f>
        <v>#DIV/0!</v>
      </c>
      <c r="AS72" s="103" t="e">
        <f>(TP-lH_1-((TP-lH_1-(lH_1*hnh)-(TP*Co_1*VE))*lH_2/(TP-lH_1-(lH_1*hnh)))-AP70-AQ70-AR70-(lH_1*hnh)-((TP-lH_1-(lH_1*hnh)-(TP*Co_1*VE))*lH_2*hnh/(TP-lH_1-(lH_1*hnh)))-AP72-AQ72-AR72-(TP*Co_1*VE)-(TP*Co_2*VE)-(TP*Co_3*VE)-(TP*Co_4*VE)-(TP*Co_5*VE))*(lH_6*hnh/(TP-lH_1-lH_2-lH_3-lH_4-lH_5-(hnh*(lH_1+lH_2+lH_3+lH_4+lH_5))))</f>
        <v>#DIV/0!</v>
      </c>
      <c r="AT72" s="103" t="e">
        <f>(TP-lH_1-((TP-lH_1-(lH_1*hnh)-(TP*Co_1*VE))*lH_2/(TP-lH_1-(lH_1*hnh)))-AP70-AQ70-AR70-AS70-(lH_1*hnh)-((TP-lH_1-(lH_1*hnh)-(TP*Co_1*VE))*lH_2*hnh/(TP-lH_1-(lH_1*hnh)))-AP72-AQ72-AR72-AS72-(TP*Co_1*VE)-(TP*Co_2*VE)-(TP*Co_3*VE)-(TP*Co_4*VE)-(TP*Co_5*VE)-(TP*Co_6*VE))*(lH_7*hnh/(TP-lH_1-lH_2-lH_3-lH_4-lH_5-lH_6-(hnh*(lH_1+lH_2+lH_3+lH_4+lH_5+lH_6))))</f>
        <v>#DIV/0!</v>
      </c>
      <c r="AU72" s="103" t="e">
        <f>(TP-lH_1-((TP-lH_1-(lH_1*hnh)-(TP*Co_1*VE))*lH_2/(TP-lH_1-(lH_1*hnh)))-AP70-AQ70-AR70-AS70-AT70-(lH_1*hnh)-((TP-lH_1-(lH_1*hnh)-(TP*Co_1*VE))*lH_2*hnh/(TP-lH_1-(lH_1*hnh)))-AP72-AQ72-AR72-AS72-AT72-(TP*Co_1*VE)-(TP*Co_2*VE)-(TP*Co_3*VE)-(TP*Co_4*VE)-(TP*Co_5*VE)-(TP*Co_6*VE)-(TP*Co_7*VE))*(lH_8*hnh/(TP-lH_1-lH_2-lH_3-lH_4-lH_5-lH_6-lH_7-(hnh*(lH_1+lH_2+lH_3+lH_4+lH_5+lH_6+lH_7))))</f>
        <v>#DIV/0!</v>
      </c>
      <c r="AV72" s="103" t="e">
        <f>(TP-lH_1-((TP-lH_1-(lH_1*hnh)-(TP*Co_1*VE))*lH_2/(TP-lH_1-(lH_1*hnh)))-AP70-AQ70-AR70-AS70-AT70-AU70-(lH_1*hnh)-((TP-lH_1-(lH_1*hnh)-(TP*Co_1*VE))*lH_2*hnh/(TP-lH_1-(lH_1*hnh)))-AP72-AQ72-AR72-AS72-AT72-AU72-(TP*Co_1*VE)-(TP*Co_2*VE)-(TP*Co_3*VE)-(TP*Co_4*VE)-(TP*Co_5*VE)-(TP*Co_6*VE)-(TP*Co_7*VE)-(TP*Co_8*VE))*(lH_9*hnh/(TP-lH_1-lH_2-lH_3-lH_4-lH_5-lH_6-lH_7-lH_8-(hnh*(lH_1+lH_2+lH_3+lH_4+lH_5+lH_6+lH_7+lH_8))))</f>
        <v>#DIV/0!</v>
      </c>
      <c r="AW72" s="103" t="e">
        <f>(TP-lH_1-((TP-lH_1-(lH_1*hnh)-(TP*Co_1*VE))*lH_2/(TP-lH_1-(lH_1*hnh)))-AP70-AQ70-AR70-AS70-AT70-AU70-AV70-(lH_1*hnh)-((TP-lH_1-(lH_1*hnh)-(TP*Co_1*VE))*lH_2*hnh/(TP-lH_1-(lH_1*hnh)))-AP72-AQ72-AR72-AS72-AT72-AU72-AV72-(TP*Co_1*VE)-(TP*Co_2*VE)-(TP*Co_3*VE)-(TP*Co_4*VE)-(TP*Co_5*VE)-(TP*Co_6*VE)-(TP*Co_7*VE)-(TP*Co_8*VE)-(TP*Co_9*VE))*(lH_10*hnh/(TP-lH_1-lH_2-lH_3-lH_4-lH_5-lH_6-lH_7-lH_8-lH_9-(hnh*(lH_1+lH_2+lH_3+lH_4+lH_5+lH_6+lH_7+lH_8+lH_9))))</f>
        <v>#DIV/0!</v>
      </c>
      <c r="AX72" s="103" t="e">
        <f>(TP-lH_1-((TP-lH_1-(lH_1*hnh)-(TP*Co_1*VE))*lH_2/(TP-lH_1-(lH_1*hnh)))-AP70-AQ70-AR70-AS70-AT70-AU70-AV70-AW70-(lH_1*hnh)-((TP-lH_1-(lH_1*hnh)-(TP*Co_1*VE))*lH_2*hnh/(TP-lH_1-(lH_1*hnh)))-AP72-AQ72-AR72-AS72-AT72-AU72-AV72-AW72-(TP*Co_1*VE)-(TP*Co_2*VE)-(TP*Co_3*VE)-(TP*Co_4*VE)-(TP*Co_5*VE)-(TP*Co_6*VE)-(TP*Co_7*VE)-(TP*Co_8*VE)-(TP*Co_9*VE)-(TP*Co_10*VE))*(lH_11*hnh/(TP-lH_1-lH_2-lH_3-lH_4-lH_5-lH_6-lH_7-lH_8-lH_9-lH_10-(hnh*(lH_1+lH_2+lH_3+lH_4+lH_5+lH_6+lH_7+lH_8+lH_9+lH_10))))</f>
        <v>#DIV/0!</v>
      </c>
      <c r="AZ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lH_5*hnh/(TP-lH_1-lH_2-lH_3-lH_4-(hnh*(lH_1+lH_2+lH_3+lH_4))-(TP*VE*(Co_1+Co_2+Co_3+Co_4)))</f>
        <v>#DIV/0!</v>
      </c>
      <c r="BA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lH_6*hnh/(TP-lH_1-lH_2-lH_3-lH_4-lH_5-(hnh*(lH_1+lH_2+lH_3+lH_4+lH_5))-(TP*VE*(Co_1+Co_2+Co_3+Co_4+Co_5)))</f>
        <v>#DIV/0!</v>
      </c>
      <c r="BB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lH_7*hnh/(TP-lH_1-lH_2-lH_3-lH_4-lH_5-lH_6-(hnh*(lH_1+lH_2+lH_3+lH_4+lH_5+lH_6))-(TP*VE*(Co_1+Co_2+Co_3+Co_4+Co_5+Co_6)))</f>
        <v>#DIV/0!</v>
      </c>
      <c r="BC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lH_8*hnh/(TP-lH_1-lH_2-lH_3-lH_4-lH_5-lH_6-lH_7-(hnh*(lH_1+lH_2+lH_3+lH_4+lH_5+lH_6+lH_7))-(TP*VE*(Co_1+Co_2+Co_3+Co_4+Co_5+Co_6+Co_7)))</f>
        <v>#DIV/0!</v>
      </c>
      <c r="BD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lH_9*hnh/(TP-lH_1-lH_2-lH_3-lH_4-lH_5-lH_6-lH_7-lH_8-(hnh*(lH_1+lH_2+lH_3+lH_4+lH_5+lH_6+lH_7+lH_8))-(TP*VE*(Co_1+Co_2+Co_3+Co_4+Co_5+Co_6+Co_7+Co_8)))</f>
        <v>#DIV/0!</v>
      </c>
      <c r="BE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lH_10*hnh/(TP-lH_1-lH_2-lH_3-lH_4-lH_5-lH_6-lH_7-lH_8-lH_9-(hnh*(lH_1+lH_2+lH_3+lH_4+lH_5+lH_6+lH_7+lH_8+lH_9))-(TP*VE*(Co_1+Co_2+Co_3+Co_4+Co_5+Co_6+Co_7+Co_8+Co_9)))</f>
        <v>#DIV/0!</v>
      </c>
      <c r="BF72" s="103" t="e">
        <f>(TP-lH_1-((TP-lH_1-(lH_1*hnh))*lH_2/(TP-lH_1-(lH_1*hnh)-(TP*Co_1*VE)))-((TP-lH_1-((TP-lH_1-(lH_1*hnh))*lH_2/(TP-lH_1-(lH_1*hnh)-(TP*Co_1*VE)))-(lH_1*hnh)-((TP-lH_1-(lH_1*hnh))*lH_2*hnh/(TP-lH_1-(lH_1*hnh)-(TP*Co_1*VE))))*lH_3/(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TP-lH_1-lH_2-lH_3-(hnh*(lH_1+lH_2+lH_3))-(TP*VE*(Co_1+Co_2+Co_3))))-AZ70-BA70-BB70-BC70-BD70-BE70-(lH_1*hnh)-((TP-lH_1-(lH_1*hnh))*lH_2*hnh/(TP-lH_1-(lH_1*hnh)-(TP*Co_1*VE)))-((TP-lH_1-((TP-lH_1-(lH_1*hnh))*lH_2/(TP-lH_1-(lH_1*hnh)-(TP*Co_1*VE)))-(lH_1*hnh)-((TP-lH_1-(lH_1*hnh))*lH_2*hnh/(TP-lH_1-(lH_1*hnh)-(TP*Co_1*VE))))*lH_3*hnh/(TP-lH_1-lH_2-(hnh*(lH_1+lH_2))-(TP*VE*(Co_1+Co_2))))-((TP-lH_1-((TP-lH_1-(lH_1*hnh))*lH_2/(TP-lH_1-(lH_1*hnh)-(TP*Co_1*VE)))-((TP-lH_1-((TP-lH_1-(lH_1*hnh))*lH_2/(TP-lH_1-(lH_1*hnh)-(TP*Co_1*VE)))-(lH_1*hnh)-((TP-lH_1-(lH_1*hnh))*lH_2*hnh/(TP-lH_1-(lH_1*hnh)-(TP*Co_1*VE))))*lH_3/(TP-lH_1-lH_2-(hnh*(lH_1+lH_2))-(TP*VE*(Co_1+Co_2))))-(lH_1*hnh)-((TP-lH_1-(lH_1*hnh))*lH_2*hnh/(TP-lH_1-(lH_1*hnh)-(TP*Co_1*VE)))-((TP-lH_1-((TP-lH_1-(lH_1*hnh))*lH_2/(TP-lH_1-(lH_1*hnh)-(TP*Co_1*VE)))-(lH_1*hnh)-((TP-lH_1-(lH_1*hnh))*lH_2*hnh/(TP-lH_1-(lH_1*hnh)-(TP*Co_1*VE))))*lH_3*hnh/(TP-lH_1-lH_2-(hnh*(lH_1+lH_2))-(TP*VE*(Co_1+Co_2)))))*lH_4*hnh/(TP-lH_1-lH_2-lH_3-(hnh*(lH_1+lH_2+lH_3))-(TP*VE*(Co_1+Co_2+Co_3))))-AZ72-BA72-BB72-BC72-BD72-BE72)*lH_11*hnh/(TP-lH_1-lH_2-lH_3-lH_4-lH_5-lH_6-lH_7-lH_8-lH_9-lH_10-(hnh*(lH_1+lH_2+lH_3+lH_4+lH_5+lH_6+lH_7+lH_8+lH_9+lH_10))-(TP*VE*(Co_1+Co_2+Co_3+Co_4+Co_5+Co_6+Co_7+Co_8+Co_9+Co_10)))</f>
        <v>#DIV/0!</v>
      </c>
    </row>
    <row r="73" spans="1:58" hidden="1" outlineLevel="1" x14ac:dyDescent="0.25"/>
    <row r="74" spans="1:58" hidden="1" outlineLevel="1" x14ac:dyDescent="0.25"/>
    <row r="75" spans="1:58" collapsed="1" x14ac:dyDescent="0.25"/>
    <row r="76" spans="1:58" s="105" customFormat="1" x14ac:dyDescent="0.25">
      <c r="A76" s="104" t="s">
        <v>135</v>
      </c>
      <c r="B76" s="104"/>
    </row>
    <row r="77" spans="1:58" hidden="1" outlineLevel="1" x14ac:dyDescent="0.25">
      <c r="Q77" s="102" t="s">
        <v>72</v>
      </c>
      <c r="R77" s="102"/>
      <c r="S77" s="102"/>
      <c r="T77" s="102"/>
      <c r="U77" s="102"/>
      <c r="V77" s="102"/>
      <c r="W77" s="102"/>
      <c r="X77" s="102"/>
      <c r="Y77" s="102"/>
      <c r="Z77" s="102"/>
      <c r="AA77" s="102"/>
      <c r="AB77" s="102"/>
      <c r="AC77" s="101" t="s">
        <v>104</v>
      </c>
      <c r="AD77" s="101"/>
      <c r="AE77" s="101"/>
      <c r="AF77" s="101"/>
      <c r="AG77" s="101"/>
      <c r="AH77" s="101"/>
      <c r="AI77" s="101"/>
      <c r="AJ77" s="101"/>
      <c r="AK77" s="101"/>
      <c r="AL77" s="101"/>
      <c r="AM77" s="101"/>
      <c r="AN77" s="101"/>
      <c r="AP77" s="103">
        <v>3</v>
      </c>
      <c r="AQ77" s="103">
        <v>4</v>
      </c>
      <c r="AR77" s="103">
        <v>5</v>
      </c>
      <c r="AS77" s="103">
        <v>6</v>
      </c>
      <c r="AT77" s="103">
        <v>7</v>
      </c>
      <c r="AU77" s="103">
        <v>8</v>
      </c>
      <c r="AV77" s="103">
        <v>9</v>
      </c>
      <c r="AW77" s="103">
        <v>10</v>
      </c>
      <c r="AX77" s="103">
        <v>11</v>
      </c>
      <c r="AZ77" s="103">
        <v>5</v>
      </c>
      <c r="BA77" s="103">
        <v>6</v>
      </c>
      <c r="BB77" s="103">
        <v>7</v>
      </c>
      <c r="BC77" s="103">
        <v>8</v>
      </c>
      <c r="BD77" s="103">
        <v>9</v>
      </c>
      <c r="BE77" s="103">
        <v>10</v>
      </c>
      <c r="BF77" s="103">
        <v>11</v>
      </c>
    </row>
    <row r="78" spans="1:58" ht="28.7" hidden="1" customHeight="1" outlineLevel="1" x14ac:dyDescent="0.25">
      <c r="A78" s="11" t="s">
        <v>47</v>
      </c>
      <c r="B78" s="11"/>
      <c r="C78" s="11"/>
      <c r="D78" s="11"/>
      <c r="E78" s="11"/>
      <c r="F78" s="11"/>
      <c r="G78" s="109" t="s">
        <v>50</v>
      </c>
      <c r="H78" s="109"/>
      <c r="I78" s="110" t="s">
        <v>44</v>
      </c>
      <c r="J78" s="110"/>
      <c r="K78" s="101" t="s">
        <v>58</v>
      </c>
      <c r="L78" s="101"/>
      <c r="M78" s="110" t="s">
        <v>45</v>
      </c>
      <c r="N78" s="110"/>
      <c r="Q78" s="102" t="s">
        <v>1</v>
      </c>
      <c r="R78" s="102"/>
      <c r="S78" s="102"/>
      <c r="T78" s="102"/>
      <c r="U78" s="102"/>
      <c r="V78" s="102"/>
      <c r="W78" s="102"/>
      <c r="X78" s="102"/>
      <c r="Y78" s="102"/>
      <c r="Z78" s="102"/>
      <c r="AA78" s="102"/>
      <c r="AB78" s="102"/>
      <c r="AC78" s="101" t="s">
        <v>71</v>
      </c>
      <c r="AD78" s="101"/>
      <c r="AE78" s="101"/>
      <c r="AF78" s="101"/>
      <c r="AG78" s="101"/>
      <c r="AH78" s="101"/>
      <c r="AI78" s="101"/>
      <c r="AJ78" s="101"/>
      <c r="AK78" s="101"/>
      <c r="AL78" s="101"/>
      <c r="AM78" s="101"/>
      <c r="AN78" s="101"/>
      <c r="AP78" s="103" t="s">
        <v>73</v>
      </c>
      <c r="AQ78" s="103" t="s">
        <v>74</v>
      </c>
      <c r="AR78" s="103" t="s">
        <v>75</v>
      </c>
      <c r="AS78" s="103" t="s">
        <v>76</v>
      </c>
      <c r="AT78" s="103" t="s">
        <v>77</v>
      </c>
      <c r="AU78" s="103" t="s">
        <v>78</v>
      </c>
      <c r="AV78" s="103" t="s">
        <v>79</v>
      </c>
      <c r="AW78" s="103" t="s">
        <v>80</v>
      </c>
      <c r="AX78" s="103" t="s">
        <v>81</v>
      </c>
      <c r="AZ78" s="103" t="s">
        <v>105</v>
      </c>
      <c r="BA78" s="103" t="s">
        <v>91</v>
      </c>
      <c r="BB78" s="103" t="s">
        <v>93</v>
      </c>
      <c r="BC78" s="103" t="s">
        <v>94</v>
      </c>
      <c r="BD78" s="103" t="s">
        <v>95</v>
      </c>
      <c r="BE78" s="103" t="s">
        <v>96</v>
      </c>
      <c r="BF78" s="103" t="s">
        <v>97</v>
      </c>
    </row>
    <row r="79" spans="1:58" ht="45" hidden="1" outlineLevel="1" x14ac:dyDescent="0.25">
      <c r="A79" s="70" t="s">
        <v>40</v>
      </c>
      <c r="B79" s="70" t="s">
        <v>41</v>
      </c>
      <c r="C79" s="70" t="s">
        <v>53</v>
      </c>
      <c r="D79" s="70" t="s">
        <v>48</v>
      </c>
      <c r="E79" s="70" t="s">
        <v>42</v>
      </c>
      <c r="F79" s="76" t="s">
        <v>49</v>
      </c>
      <c r="G79" s="71" t="s">
        <v>51</v>
      </c>
      <c r="H79" s="71" t="s">
        <v>52</v>
      </c>
      <c r="I79" s="72" t="s">
        <v>51</v>
      </c>
      <c r="J79" s="72" t="s">
        <v>52</v>
      </c>
      <c r="K79" s="77" t="s">
        <v>51</v>
      </c>
      <c r="L79" s="77" t="s">
        <v>52</v>
      </c>
      <c r="M79" s="72" t="s">
        <v>51</v>
      </c>
      <c r="N79" s="72" t="s">
        <v>52</v>
      </c>
      <c r="Q79" s="102">
        <v>1</v>
      </c>
      <c r="R79" s="102">
        <v>2</v>
      </c>
      <c r="S79" s="102">
        <v>3</v>
      </c>
      <c r="T79" s="102">
        <v>4</v>
      </c>
      <c r="U79" s="102">
        <v>5</v>
      </c>
      <c r="V79" s="102">
        <v>6</v>
      </c>
      <c r="W79" s="102">
        <v>7</v>
      </c>
      <c r="X79" s="102">
        <v>8</v>
      </c>
      <c r="Y79" s="102">
        <v>9</v>
      </c>
      <c r="Z79" s="102">
        <v>10</v>
      </c>
      <c r="AA79" s="102">
        <v>11</v>
      </c>
      <c r="AB79" s="102">
        <v>12</v>
      </c>
      <c r="AC79" s="101">
        <v>1</v>
      </c>
      <c r="AD79" s="101">
        <v>2</v>
      </c>
      <c r="AE79" s="101">
        <v>3</v>
      </c>
      <c r="AF79" s="101">
        <v>4</v>
      </c>
      <c r="AG79" s="101">
        <v>5</v>
      </c>
      <c r="AH79" s="101">
        <v>6</v>
      </c>
      <c r="AI79" s="101">
        <v>7</v>
      </c>
      <c r="AJ79" s="101">
        <v>8</v>
      </c>
      <c r="AK79" s="101">
        <v>9</v>
      </c>
      <c r="AL79" s="101">
        <v>10</v>
      </c>
      <c r="AM79" s="101">
        <v>11</v>
      </c>
      <c r="AN79" s="101">
        <v>12</v>
      </c>
      <c r="AP79" s="103" t="e">
        <f>((TP-uH_1-((TP-uH_1-(uH_1*hnh)-(TP*Co_1*VE))*uH_2/(TP-uH_1-(uH_1*hnh)))-(uH_1*hnh)-((TP-uH_1-(uH_1*hnh)-(TP*Co_1*VE))*uH_2*hnh/(TP-uH_1-(uH_1*hnh)))-(TP*Co_1*VE)-(TP*Co_2*VE))*(uH_3/(TP-uH_1-uH_2-(hnh*(uH_1+uH_2)))))</f>
        <v>#DIV/0!</v>
      </c>
      <c r="AQ79" s="103" t="e">
        <f>(TP-uH_1-((TP-uH_1-(uH_1*hnh)-(TP*Co_1*VE))*uH_2/(TP-uH_1-(uH_1*hnh)))-AP79-(uH_1*hnh)-((TP-uH_1-(uH_1*hnh)-(TP*Co_1*VE))*uH_2*hnh/(TP-uH_1-(uH_1*hnh)))-AP81-(TP*Co_1*VE)-(TP*Co_2*VE)-(TP*Co_3*VE))*(uH_4/(TP-uH_1-uH_2-uH_3-(hnh*(uH_1+uH_2+uH_3))))</f>
        <v>#DIV/0!</v>
      </c>
      <c r="AR79" s="103" t="e">
        <f>(TP-uH_1-((TP-uH_1-(uH_1*hnh)-(TP*Co_1*VE))*uH_2/(TP-uH_1-(uH_1*hnh)))-AP79-AQ79-(uH_1*hnh)-((TP-uH_1-(uH_1*hnh)-(TP*Co_1*VE))*uH_2*hnh/(TP-uH_1-(uH_1*hnh)))-AP81-AQ81-(TP*Co_1*VE)-(TP*Co_2*VE)-(TP*Co_3*VE)-(TP*Co_4*VE))*(uH_5/(TP-uH_1-uH_2-uH_3-uH_4-(hnh*(uH_1+uH_2+uH_3+uH_4))))</f>
        <v>#DIV/0!</v>
      </c>
      <c r="AS79" s="103" t="e">
        <f>(TP-uH_1-((TP-uH_1-(uH_1*hnh)-(TP*Co_1*VE))*uH_2/(TP-uH_1-(uH_1*hnh)))-AP79-AQ79-AR79-(uH_1*hnh)-((TP-uH_1-(uH_1*hnh)-(TP*Co_1*VE))*uH_2*hnh/(TP-uH_1-(uH_1*hnh)))-AP81-AQ81-AR81-(TP*Co_1*VE)-(TP*Co_2*VE)-(TP*Co_3*VE)-(TP*Co_4*VE)-(TP*Co_5*VE))*(uH_6/(TP-uH_1-uH_2-uH_3-uH_4-uH_5-(hnh*(uH_1+uH_2+uH_3+uH_4+uH_5))))</f>
        <v>#DIV/0!</v>
      </c>
      <c r="AT79" s="103" t="e">
        <f>(TP-uH_1-((TP-uH_1-(uH_1*hnh)-(TP*Co_1*VE))*uH_2/(TP-uH_1-(uH_1*hnh)))-AP79-AQ79-AR79-AS79-(uH_1*hnh)-((TP-uH_1-(uH_1*hnh)-(TP*Co_1*VE))*uH_2*hnh/(TP-uH_1-(uH_1*hnh)))-AP81-AQ81-AR81-AS81-(TP*Co_1*VE)-(TP*Co_2*VE)-(TP*Co_3*VE)-(TP*Co_4*VE)-(TP*Co_5*VE)-(TP*Co_6*VE))*(uH_7/(TP-uH_1-uH_2-uH_3-uH_4-uH_5-uH_6-(hnh*(uH_1+uH_2+uH_3+uH_4+uH_5+uH_6))))</f>
        <v>#DIV/0!</v>
      </c>
      <c r="AU79" s="103" t="e">
        <f>(TP-uH_1-((TP-uH_1-(uH_1*hnh)-(TP*Co_1*VE))*uH_2/(TP-uH_1-(uH_1*hnh)))-AP79-AQ79-AR79-AS79-AT79-(uH_1*hnh)-((TP-uH_1-(uH_1*hnh)-(TP*Co_1*VE))*uH_2*hnh/(TP-uH_1-(uH_1*hnh)))-AP81-AQ81-AR81-AS81-AT81-(TP*Co_1*VE)-(TP*Co_2*VE)-(TP*Co_3*VE)-(TP*Co_4*VE)-(TP*Co_5*VE)-(TP*Co_6*VE)-(TP*Co_7*VE))*(uH_8/(TP-uH_1-uH_2-uH_3-uH_4-uH_5-uH_6-uH_7-(hnh*(uH_1+uH_2+uH_3+uH_4+uH_5+uH_6+uH_7))))</f>
        <v>#DIV/0!</v>
      </c>
      <c r="AV79" s="103" t="e">
        <f>(TP-uH_1-((TP-uH_1-(uH_1*hnh)-(TP*Co_1*VE))*uH_2/(TP-uH_1-(uH_1*hnh)))-AP79-AQ79-AR79-AS79-AT79-AU79-(uH_1*hnh)-((TP-uH_1-(uH_1*hnh)-(TP*Co_1*VE))*uH_2*hnh/(TP-uH_1-(uH_1*hnh)))-AP81-AQ81-AR81-AS81-AT81-AU81-(TP*Co_1*VE)-(TP*Co_2*VE)-(TP*Co_3*VE)-(TP*Co_4*VE)-(TP*Co_5*VE)-(TP*Co_6*VE)-(TP*Co_7*VE)-(TP*Co_8*VE))*(uH_9/(TP-uH_1-uH_2-uH_3-uH_4-uH_5-uH_6-uH_7-uH_8-(hnh*(uH_1+uH_2+uH_3+uH_4+uH_5+uH_6+uH_7+uH_8))))</f>
        <v>#DIV/0!</v>
      </c>
      <c r="AW79" s="103" t="e">
        <f>(TP-uH_1-((TP-uH_1-(uH_1*hnh)-(TP*Co_1*VE))*uH_2/(TP-uH_1-(uH_1*hnh)))-AP79-AQ79-AR79-AS79-AT79-AU79-AV79-(uH_1*hnh)-((TP-uH_1-(uH_1*hnh)-(TP*Co_1*VE))*uH_2*hnh/(TP-uH_1-(uH_1*hnh)))-AP81-AQ81-AR81-AS81-AT81-AU81-AV81-(TP*Co_1*VE)-(TP*Co_2*VE)-(TP*Co_3*VE)-(TP*Co_4*VE)-(TP*Co_5*VE)-(TP*Co_6*VE)-(TP*Co_7*VE)-(TP*Co_8*VE)-(TP*Co_9*VE))*(uH_10/(TP-uH_1-uH_2-uH_3-uH_4-uH_5-uH_6-uH_7-uH_8-uH_9-(hnh*(uH_1+uH_2+uH_3+uH_4+uH_5+uH_6+uH_7+uH_8+uH_9))))</f>
        <v>#DIV/0!</v>
      </c>
      <c r="AX79" s="103" t="e">
        <f>(TP-uH_1-((TP-uH_1-(uH_1*hnh)-(TP*Co_1*VE))*uH_2/(TP-uH_1-(uH_1*hnh)))-AP79-AQ79-AR79-AS79-AT79-AU79-AV79-AW79-(uH_1*hnh)-((TP-uH_1-(uH_1*hnh)-(TP*Co_1*VE))*uH_2*hnh/(TP-uH_1-(uH_1*hnh)))-AP81-AQ81-AR81-AS81-AT81-AU81-AV81-AW81-(TP*Co_1*VE)-(TP*Co_2*VE)-(TP*Co_3*VE)-(TP*Co_4*VE)-(TP*Co_5*VE)-(TP*Co_6*VE)-(TP*Co_7*VE)-(TP*Co_8*VE)-(TP*Co_9*VE)-(TP*Co_10*VE))*(uH_11/(TP-uH_1-uH_2-uH_3-uH_4-uH_5-uH_6-uH_7-uH_8-uH_9-uH_10-(hnh*(uH_1+uH_2+uH_3+uH_4+uH_5+uH_6+uH_7+uH_8+uH_9+uH_10))))</f>
        <v>#DIV/0!</v>
      </c>
      <c r="AZ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uH_5/(TP-uH_1-uH_2-uH_3-uH_4-(hnh*(uH_1+uH_2+uH_3+uH_4))-(TP*VE*(Co_1+Co_2+Co_3+Co_4)))</f>
        <v>#DIV/0!</v>
      </c>
      <c r="BA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uH_6/(TP-uH_1-uH_2-uH_3-uH_4-uH_5-(hnh*(uH_1+uH_2+uH_3+uH_4+uH_5))-(TP*VE*(Co_1+Co_2+Co_3+Co_4+Co_5)))</f>
        <v>#DIV/0!</v>
      </c>
      <c r="BB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uH_7/(TP-uH_1-uH_2-uH_3-uH_4-uH_5-uH_6-(hnh*(uH_1+uH_2+uH_3+uH_4+uH_5+uH_6))-(TP*VE*(Co_1+Co_2+Co_3+Co_4+Co_5+Co_6)))</f>
        <v>#DIV/0!</v>
      </c>
      <c r="BC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uH_8/(TP-uH_1-uH_2-uH_3-uH_4-uH_5-uH_6-uH_7-(hnh*(uH_1+uH_2+uH_3+uH_4+uH_5+uH_6+uH_7))-(TP*VE*(Co_1+Co_2+Co_3+Co_4+Co_5+Co_6+Co_7)))</f>
        <v>#DIV/0!</v>
      </c>
      <c r="BD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uH_9/(TP-uH_1-uH_2-uH_3-uH_4-uH_5-uH_6-uH_7-uH_8-(hnh*(uH_1+uH_2+uH_3+uH_4+uH_5+uH_6+uH_7+uH_8))-(TP*VE*(Co_1+Co_2+Co_3+Co_4+Co_5+Co_6+Co_7+Co_8)))</f>
        <v>#DIV/0!</v>
      </c>
      <c r="BE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uH_10/(TP-uH_1-uH_2-uH_3-uH_4-uH_5-uH_6-uH_7-uH_8-uH_9-(hnh*(uH_1+uH_2+uH_3+uH_4+uH_5+uH_6+uH_7+uH_8+uH_9))-(TP*VE*(Co_1+Co_2+Co_3+Co_4+Co_5+Co_6+Co_7+Co_8+Co_9)))</f>
        <v>#DIV/0!</v>
      </c>
      <c r="BF79"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uH_11/(TP-uH_1-uH_2-uH_3-uH_4-uH_5-uH_6-uH_7-uH_8-uH_9-uH_10-(hnh*(uH_1+uH_2+uH_3+uH_4+uH_5+uH_6+uH_7+uH_8+uH_9+uH_10))-(TP*VE*(Co_1+Co_2+Co_3+Co_4+Co_5+Co_6+Co_7+Co_8+Co_9+Co_10)))</f>
        <v>#DIV/0!</v>
      </c>
    </row>
    <row r="80" spans="1:58" hidden="1" outlineLevel="1" x14ac:dyDescent="0.25">
      <c r="A80" s="73">
        <f>season</f>
        <v>0</v>
      </c>
      <c r="B80" s="73">
        <f>TG</f>
        <v>0</v>
      </c>
      <c r="C80" s="73">
        <f>TP</f>
        <v>0</v>
      </c>
      <c r="D80" s="74">
        <f>TCv</f>
        <v>0</v>
      </c>
      <c r="E80" s="75">
        <f>VE</f>
        <v>0</v>
      </c>
      <c r="F80" s="78" t="e">
        <f>G80/IF(mb=1,SUM(AC80:AN80),IF(mb=2,SUM(AD80:AN80),IF(mb=3,SUM(AE80:AN80),IF(mb=4,SUM(AF80:AN80),IF(mb=5,SUM(AG80:AN80),IF(mb=6,SUM(AH80:AN80),IF(mb=7,SUM(AI80:AN80),IF(mb=8,SUM(AJ80:AN80),0))))))))</f>
        <v>#DIV/0!</v>
      </c>
      <c r="G80" s="42">
        <f>IF(mb=1,SUM(AC80:AN80)-SUM(Q80:AB80),IF(mb=2,SUM(AD80:AN80)-SUM(R80:AB80),IF(mb=3,SUM(AE80:AN80)-SUM(S80:AB80),IF(mb=4,SUM(AF80:AN80)-SUM(T80:AB80),IF(mb=5,SUM(AG80:AN80)-SUM(U80:AB80),IF(mb=6,SUM(AH80:AN80)-SUM(V80:AB80),IF(mb=7,SUM(AI80:AN80)-SUM(W80:AB80),IF(mb=8,SUM(AJ80:AN80)-SUM(X80:AB80),0))))))))</f>
        <v>0</v>
      </c>
      <c r="H80" s="96" t="e">
        <f>1/(VE*IF(mb=1,SUM(AC80:AN80),IF(mb=2,SUM(AD80:AN80),IF(mb=3,SUM(AE80:AN80),IF(mb=4,SUM(AF80:AN80),IF(mb=5,SUM(AG80:AN80),IF(mb=6,SUM(AH80:AN80),IF(mb=7,SUM(AI80:AN80),IF(mb=8,SUM(AJ80:AN80),0))))))))/TP)</f>
        <v>#DIV/0!</v>
      </c>
      <c r="I80" s="93" t="e">
        <f>G80/hnh</f>
        <v>#DIV/0!</v>
      </c>
      <c r="J80" s="42" t="e">
        <f>1/(VE*IF(mb=1,SUM(AC80:AN80),IF(mb=2,SUM(AD80:AN80),IF(mb=3,SUM(AE80:AN80),IF(mb=4,SUM(AF80:AN80),IF(mb=5,SUM(AG80:AN80),IF(mb=6,SUM(AH80:AN80),IF(mb=7,SUM(AI80:AN80),IF(mb=8,SUM(AJ80:AN80),0))))))))/(TP*hnh))</f>
        <v>#DIV/0!</v>
      </c>
      <c r="K80" s="42" t="e">
        <f>M80*mai</f>
        <v>#DIV/0!</v>
      </c>
      <c r="L80" s="42" t="e">
        <f>1/(VE*((IF(mb=1,SUM(AC80:AN80),IF(mb=2,SUM(AD80:AN80),IF(mb=3,SUM(AE80:AN80),IF(mb=4,SUM(AF80:AN80),IF(mb=5,SUM(AG80:AN80),IF(mb=6,SUM(AH80:AN80),IF(mb=7,SUM(AI80:AN80),IF(mb=8,SUM(AJ80:AN80),0))))))))+(IF(mb=1,SUM(AC80:AN80),IF(mb=2,SUM(AD80:AN80),IF(mb=3,SUM(AE80:AN80),IF(mb=4,SUM(AF80:AN80),IF(mb=5,SUM(AG80:AN80),IF(mb=6,SUM(AH80:AN80),IF(mb=7,SUM(AI80:AN80),IF(mb=8,SUM(AJ80:AN80),0)))))))))/hnh)*mai)/TP)</f>
        <v>#DIV/0!</v>
      </c>
      <c r="M80" s="42" t="e">
        <f>G80+I80</f>
        <v>#DIV/0!</v>
      </c>
      <c r="N80" s="42" t="e">
        <f>1/(VE*(IF(mb=1,SUM(AC80:AN80),IF(mb=2,SUM(AD80:AN80),IF(mb=3,SUM(AE80:AN80),IF(mb=4,SUM(AF80:AN80),IF(mb=5,SUM(AG80:AN80),IF(mb=6,SUM(AH80:AN80),IF(mb=7,SUM(AI80:AN80),IF(mb=8,SUM(AJ80:AN80),0))))))))+(IF(mb=1,SUM(AC80:AN80),IF(mb=2,SUM(AD80:AN80),IF(mb=3,SUM(AE80:AN80),IF(mb=4,SUM(AF80:AN80),IF(mb=5,SUM(AG80:AN80),IF(mb=6,SUM(AH80:AN80),IF(mb=7,SUM(AI80:AN80),IF(mb=8,SUM(AJ80:AN80),0)))))))))/hnh)/TP)</f>
        <v>#DIV/0!</v>
      </c>
      <c r="Q80" s="86">
        <f>IF(ISc=1,uH_1*hnh,IF(ISc=2,uH_1*hnh,0))</f>
        <v>0</v>
      </c>
      <c r="R80" s="111" t="e" cm="1">
        <f t="array" ref="R80">IF(ScI=1,uH_2*hnh,IF(ScI=2,(TP-uH_1-(uH_1*hnh)-(TP*Co_1*VE))*(uH_2*hnh/(TP-uH_1-(uH_1*hnh))),0))</f>
        <v>#DIV/0!</v>
      </c>
      <c r="S80" s="86" t="e" cm="1">
        <f t="array" ref="S80">IF(ScI=1,uH_3*hnh,IF(ScI=2,(TP-uH_1-((TP-uH_1-(uH_1*hnh)-(TP*Co_1*VE))*uH_2/(TP-uH_1-(uH_1*hnh)))-(uH_1*hnh)-((TP-uH_1-(uH_1*hnh)-(TP*Co_1*VE))*uH_2*hnh/(TP-uH_1-(uH_1*hnh)))-(TP*Co_1*VE)-(TP*Co_2*VE))*(uH_3*hnh/(TP-uH_1-uH_2-(hnh*(uH_1+uH_2)))),0))</f>
        <v>#DIV/0!</v>
      </c>
      <c r="T80" s="86" t="e" cm="1">
        <f t="array" ref="T80">IF(ScI=1,uH_4*hnh,IF(ScI=2,(TP-uH_1-((TP-uH_1-(uH_1*hnh)-(TP*Co_1*VE))*uH_2/(TP-uH_1-(uH_1*hnh)))-((TP-uH_1-(((TP-uH_1-(uH_1*hnh)-(TP*Co_1*VE))*uH_2/(TP-uH_1-(uH_1*hnh))))-(uH_1*hnh)-((TP-uH_1-(uH_1*hnh)-(TP*Co_1*VE))*uH_2*hnh/(TP-uH_1-(uH_1*hnh)))-(TP*Co_1*VE)-(TP*Co_2*VE))*(uH_3/(TP-uH_1-uH_2-(hnh*(uH_1+uH_2)))))-(uH_1*hnh)-((TP-uH_1-(uH_1*hnh)-(TP*Co_1*VE))*uH_2*hnh/(TP-uH_1-(uH_1*hnh)))-((TP-uH_1-(((TP-uH_1-(uH_1*hnh)-(TP*Co_1*VE))*uH_2/(TP-uH_1-(uH_1*hnh))))-(uH_1*hnh)-(((TP-uH_1-(uH_1*hnh)-(TP*Co_1*VE))*uH_2*hnh/(TP-uH_1-(uH_1*hnh))))-(TP*Co_1*VE)-(TP*Co_2*VE))*(uH_3*hnh/(TP-uH_1-uH_2-(hnh*(uH_1+uH_2)))))-(TP*Co_1*VE)-(TP*Co_2*VE)-(TP*Co_3*VE))*(uH_4*hnh/(TP-uH_1-uH_2-uH_3-(hnh*(uH_1+uH_2+uH_3)))),0))</f>
        <v>#DIV/0!</v>
      </c>
      <c r="U80" s="86" t="e" cm="1">
        <f t="array" ref="U80">IF(ScI=1,uH_5*hnh,IF(ScI=2,(TP-uH_1-(((TP-uH_1-(uH_1*hnh)-(TP*Co_1*VE))*uH_2/(TP-uH_1-(uH_1*hnh))))-AP79-AQ79-(uH_1*hnh)-((TP-uH_1-(uH_1*hnh)-(TP*Co_1*VE))*uH_2*hnh/(TP-uH_1-(uH_1*hnh)))-AP81-AQ81-(TP*Co_1*VE)-(TP*Co_2*VE)-(TP*Co_3*VE)-(TP*Co_4*VE))*(uH_5*hnh/(TP-uH_1-uH_2-uH_3-uH_4-(hnh*(uH_1+uH_2+uH_3+uH_4)))),0))</f>
        <v>#DIV/0!</v>
      </c>
      <c r="V80" s="86" t="e" cm="1">
        <f t="array" ref="V80">IF(ScI=1,uH_6*hnh,IF(ScI=2,(TP-uH_1-((TP-uH_1-(uH_1*hnh)-(TP*Co_1*VE))*uH_2/(TP-uH_1-(uH_1*hnh)))-AP79-AQ79-AR79-(uH_1*hnh)-((TP-uH_1-(uH_1*hnh)-(TP*Co_1*VE))*uH_2*hnh/(TP-uH_1-(uH_1*hnh)))-AP81-AQ81-AR81-(TP*Co_1*VE)-(TP*Co_2*VE)-(TP*Co_3*VE)-(TP*Co_4*VE)-(TP*Co_5*VE))*(uH_6*hnh/(TP-uH_1-uH_2-uH_3-uH_4-uH_5-(hnh*(uH_1+uH_2+uH_3+uH_4+uH_5)))),0))</f>
        <v>#DIV/0!</v>
      </c>
      <c r="W80" s="86" t="e" cm="1">
        <f t="array" ref="W80">IF(ScI=1,uH_7*hnh,IF(ScI=2,(TP-uH_1-((TP-uH_1-(uH_1*hnh)-(TP*Co_1*VE))*uH_2/(TP-uH_1-(uH_1*hnh)))-AP79-AQ79-AR79-AS79-(uH_1*hnh)-((TP-uH_1-(uH_1*hnh)-(TP*Co_1*VE))*uH_2*hnh/(TP-uH_1-(uH_1*hnh)))-AP81-AQ81-AR81-AS81-(TP*Co_1*VE)-(TP*Co_2*VE)-(TP*Co_3*VE)-(TP*Co_4*VE)-(TP*Co_5*VE)-(TP*Co_6*VE))*(uH_7*hnh/(TP-uH_1-uH_2-uH_3-uH_4-uH_5-uH_6-(hnh*(uH_1+uH_2+uH_3+uH_4+uH_5+uH_6)))),0))</f>
        <v>#DIV/0!</v>
      </c>
      <c r="X80" s="86" t="e" cm="1">
        <f t="array" ref="X80">IF(ScI=1,uH_8*hnh,IF(ScI=2,(TP-uH_1-((TP-uH_1-(uH_1*hnh)-(TP*Co_1*VE))*uH_2/(TP-uH_1-(uH_1*hnh)))-AP79-AQ79-AR79-AS79-AT79-(uH_1*hnh)-((TP-uH_1-(uH_1*hnh)-(TP*Co_1*VE))*uH_2*hnh/(TP-uH_1-(uH_1*hnh)))-AP81-AQ81-AR81-AS81-AT81-(TP*Co_1*VE)-(TP*Co_2*VE)-(TP*Co_3*VE)-(TP*Co_4*VE)-(TP*Co_5*VE)-(TP*Co_6*VE)-(TP*Co_7*VE))*(uH_8*hnh/(TP-uH_1-uH_2-uH_3-uH_4-uH_5-uH_6-uH_7-(hnh*(uH_1+uH_2+uH_3+uH_4+uH_5+uH_6+uH_7)))),0))</f>
        <v>#DIV/0!</v>
      </c>
      <c r="Y80" s="86" t="e" cm="1">
        <f t="array" ref="Y80">IF(ScI=1,uH_9*hnh,IF(ScI=2,(TP-uH_1-((TP-uH_1-(uH_1*hnh)-(TP*Co_1*VE))*uH_2/(TP-uH_1-(uH_1*hnh)))-AP79-AQ79-AR79-AS79-AT79-AU79-(uH_1*hnh)-((TP-uH_1-(uH_1*hnh)-(TP*Co_1*VE))*uH_2*hnh/(TP-uH_1-(uH_1*hnh)))-AP81-AQ81-AR81-AS81-AT81-AU81-(TP*Co_1*VE)-(TP*Co_2*VE)-(TP*Co_3*VE)-(TP*Co_4*VE)-(TP*Co_5*VE)-(TP*Co_6*VE)-(TP*Co_7*VE)-(TP*Co_8*VE))*(uH_9*hnh/(TP-uH_1-uH_2-uH_3-uH_4-uH_5-uH_6-uH_7-uH_8-(hnh*(uH_1+uH_2+uH_3+uH_4+uH_5+uH_6+uH_7+uH_8)))),0))</f>
        <v>#DIV/0!</v>
      </c>
      <c r="Z80" s="86" t="e" cm="1">
        <f t="array" ref="Z80">IF(ScI=1,uH_10*hnh,IF(ScI=2,(TP-uH_1-((TP-uH_1-(uH_1*hnh)-(TP*Co_1*VE))*uH_2/(TP-uH_1-(uH_1*hnh)))-AP79-AQ79-AR79-AS79-AT79-AU79-AV79-(uH_1*hnh)-((TP-uH_1-(uH_1*hnh)-(TP*Co_1*VE))*uH_2*hnh/(TP-uH_1-(uH_1*hnh)))-AP81-AQ81-AR81-AS81-AT81-AU81-AV81-(TP*Co_1*VE)-(TP*Co_2*VE)-(TP*Co_3*VE)-(TP*Co_4*VE)-(TP*Co_5*VE)-(TP*Co_6*VE)-(TP*Co_7*VE)-(TP*Co_8*VE)-(TP*Co_9*VE))*(uH_10*hnh/(TP-uH_1-uH_2-uH_3-uH_4-uH_5-uH_6-uH_7-uH_8-uH_9-(hnh*(uH_1+uH_2+uH_3+uH_4+uH_5+uH_6+uH_7+uH_8+uH_9)))),0))</f>
        <v>#DIV/0!</v>
      </c>
      <c r="AA80" s="86" t="e" cm="1">
        <f t="array" ref="AA80">IF(ScI=1,uH_11*hnh,IF(ScI=2,(TP-uH_1-((TP-uH_1-(uH_1*hnh)-(TP*Co_1*VE))*uH_2/(TP-uH_1-(uH_1*hnh)))-AP79-AQ79-AR79-AS79-AT79-AU79-AV79-AW79-(uH_1*hnh)-((TP-uH_1-(uH_1*hnh)-(TP*Co_1*VE))*uH_2*hnh/(TP-uH_1-(uH_1*hnh)))-AP81-AQ81-AR81-AS81-AT81-AU81-AV81-AW81-(TP*Co_1*VE)-(TP*Co_2*VE)-(TP*Co_3*VE)-(TP*Co_4*VE)-(TP*Co_5*VE)-(TP*Co_6*VE)-(TP*Co_7*VE)-(TP*Co_8*VE)-(TP*Co_9*VE)-(TP*Co_10*VE))*(uH_11*hnh/(TP-uH_1-uH_2-uH_3-uH_4-uH_5-uH_6-uH_7-uH_8-uH_9-uH_10-(hnh*(uH_1+uH_2+uH_3+uH_4+uH_5+uH_6+uH_7+uH_8+uH_9+uH_10)))),0))</f>
        <v>#DIV/0!</v>
      </c>
      <c r="AB80" s="86" t="e" cm="1">
        <f t="array" ref="AB80">IF(ScI=1,uH_12*hnh,IF(ScI=2,(TP-uH_1-((TP-uH_1-(uH_1*hnh)-(TP*Co_1*VE))*uH_2/(TP-uH_1-(uH_1*hnh)))-AP79-AQ79-AR79-AS79-AT79-AU79-AV79-AW79-AX79-(uH_1*hnh)-((TP-uH_1-(uH_1*hnh)-(TP*Co_1*VE))*uH_2*hnh/(TP-uH_1-(uH_1*hnh)))-AP81-AQ81-AR81-AS81-AT81-AU81-AV81-AW81-AX81-(TP*Co_1*VE)-(TP*Co_2*VE)-(TP*Co_3*VE)-(TP*Co_4*VE)-(TP*Co_5*VE)-(TP*Co_6*VE)-(TP*Co_7*VE)-(TP*Co_8*VE)-(TP*Co_9*VE)-(TP*Co_10*VE)-(TP*Co_11*VE))*(uH_12*hnh/(TP-uH_1-uH_2-uH_3-uH_4-uH_5-uH_6-uH_7-uH_8-uH_9-uH_10-uH_11-(hnh*(uH_1+uH_2+uH_3+uH_4+uH_5+uH_6+uH_7+uH_8+uH_9+uH_10+uH_11)))),0))</f>
        <v>#DIV/0!</v>
      </c>
      <c r="AC80" s="88">
        <f>IF(ScI=1,uH_1*hnh,IF(ScI=2,uH_1*hnh,0))</f>
        <v>0</v>
      </c>
      <c r="AD80" s="88" t="e">
        <f>IF(ScI=1,(TP-uH_1-(uH_1*hnh))*uH_2*hnh/(TP-uH_1-(uH_1*hnh)-(TP*Co_1*VE)),IF(ScI=2,uH_2*hnh,0))</f>
        <v>#DIV/0!</v>
      </c>
      <c r="AE80" s="88" t="e">
        <f>IF(ScI=1,(TP-uH_1-((TP-uH_1-(uH_1*hnh))*uH_2/(TP-uH_1-(uH_1*hnh)-(TP*Co_1*VE)))-(uH_1*hnh)-((TP-uH_1-(uH_1*hnh))*uH_2*hnh/(TP-uH_1-(uH_1*hnh)-(TP*Co_1*VE))))*uH_3*hnh/(TP-uH_1-uH_2-(hnh*(uH_1+uH_2))-(TP*VE*(Co_1+Co_2))),IF(ScI=2,uH_3*hnh,0))</f>
        <v>#DIV/0!</v>
      </c>
      <c r="AF80" s="88" t="e">
        <f>IF(ScI=1,(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IF(ScI=2,uH_4*hnh,0))</f>
        <v>#DIV/0!</v>
      </c>
      <c r="AG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uH_5*hnh/(TP-uH_1-uH_2-uH_3-uH_4-(hnh*(uH_1+uH_2+uH_3+uH_4))-(TP*VE*(Co_1+Co_2+Co_3+Co_4))),IF(ScI=2,uH_5*hnh,0))</f>
        <v>#DIV/0!</v>
      </c>
      <c r="AH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uH_6*hnh/(TP-uH_1-uH_2-uH_3-uH_4-uH_5-(hnh*(uH_1+uH_2+uH_3+uH_4+uH_5))-(TP*VE*(Co_1+Co_2+Co_3+Co_4+Co_5))),IF(ScI=2,uH_6*hnh,0))</f>
        <v>#DIV/0!</v>
      </c>
      <c r="AI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uH_7*hnh/(TP-uH_1-uH_2-uH_3-uH_4-uH_5-uH_6-(hnh*(uH_1+uH_2+uH_3+uH_4+uH_5+uH_6))-(TP*VE*(Co_1+Co_2+Co_3+Co_4+Co_5+Co_6))),IF(ScI=2,uH_7*hnh,0))</f>
        <v>#DIV/0!</v>
      </c>
      <c r="AJ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uH_8*hnh/(TP-uH_1-uH_2-uH_3-uH_4-uH_5-uH_6-uH_7-(hnh*(uH_1+uH_2+uH_3+uH_4+uH_5+uH_6+uH_7))-(TP*VE*(Co_1+Co_2+Co_3+Co_4+Co_5+Co_6+Co_7))),IF(ScI=2,uH_8*hnh,0))</f>
        <v>#DIV/0!</v>
      </c>
      <c r="AK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uH_9*hnh/(TP-uH_1-uH_2-uH_3-uH_4-uH_5-uH_6-uH_7-uH_8-(hnh*(uH_1+uH_2+uH_3+uH_4+uH_5+uH_6+uH_7+uH_8))-(TP*VE*(Co_1+Co_2+Co_3+Co_4+Co_5+Co_6+Co_7+Co_8))),IF(ScI=2,uH_9*hnh,0))</f>
        <v>#DIV/0!</v>
      </c>
      <c r="AL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uH_10*hnh/(TP-uH_1-uH_2-uH_3-uH_4-uH_5-uH_6-uH_7-uH_8-uH_9-(hnh*(uH_1+uH_2+uH_3+uH_4+uH_5+uH_6+uH_7+uH_8+uH_9))-(TP*VE*(Co_1+Co_2+Co_3+Co_4+Co_5+Co_6+Co_7+Co_8+Co_9))),IF(ScI=2,uH_10*hnh,0))</f>
        <v>#DIV/0!</v>
      </c>
      <c r="AM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uH_11*hnh/(TP-uH_1-uH_2-uH_3-uH_4-uH_5-uH_6-uH_7-uH_8-uH_9-uH_10-(hnh*(uH_1+uH_2+uH_3+uH_4+uH_5+uH_6+uH_7+uH_8+uH_9+uH_10))-(TP*VE*(Co_1+Co_2+Co_3+Co_4+Co_5+Co_6+Co_7+Co_8+Co_9+Co_10))),IF(ScI=2,uH_11*hnh,0))</f>
        <v>#DIV/0!</v>
      </c>
      <c r="AN80" s="88" t="e">
        <f>IF(ScI=1,(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BF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BF81)*uH_12*hnh/(TP-uH_1-uH_2-uH_3-uH_4-uH_5-uH_6-uH_7-uH_8-uH_9-uH_10-uH_11-(hnh*(uH_1+uH_2+uH_3+uH_4+uH_5+uH_6+uH_7+uH_8+uH_9+uH_10+uH_11))-(TP*VE*(Co_1+Co_2+Co_3+Co_4+Co_5+Co_6+Co_7+Co_8+Co_9+Co_10+Co_11))),IF(ScI=2,uH_12*hnh,0))</f>
        <v>#DIV/0!</v>
      </c>
      <c r="AP80" s="103" t="s">
        <v>82</v>
      </c>
      <c r="AQ80" s="103" t="s">
        <v>83</v>
      </c>
      <c r="AR80" s="103" t="s">
        <v>84</v>
      </c>
      <c r="AS80" s="103" t="s">
        <v>85</v>
      </c>
      <c r="AT80" s="103" t="s">
        <v>86</v>
      </c>
      <c r="AU80" s="103" t="s">
        <v>87</v>
      </c>
      <c r="AV80" s="103" t="s">
        <v>88</v>
      </c>
      <c r="AW80" s="103" t="s">
        <v>89</v>
      </c>
      <c r="AX80" s="103" t="s">
        <v>90</v>
      </c>
      <c r="AZ80" s="103" t="s">
        <v>106</v>
      </c>
      <c r="BA80" s="103" t="s">
        <v>92</v>
      </c>
      <c r="BB80" s="103" t="s">
        <v>98</v>
      </c>
      <c r="BC80" s="103" t="s">
        <v>99</v>
      </c>
      <c r="BD80" s="103" t="s">
        <v>100</v>
      </c>
      <c r="BE80" s="103" t="s">
        <v>101</v>
      </c>
      <c r="BF80" s="103" t="s">
        <v>102</v>
      </c>
    </row>
    <row r="81" spans="6:58" hidden="1" outlineLevel="1" x14ac:dyDescent="0.25">
      <c r="F81" s="113"/>
      <c r="G81" s="31"/>
      <c r="H81" s="31"/>
      <c r="I81" s="31"/>
      <c r="J81" s="31"/>
      <c r="K81" s="31"/>
      <c r="L81" s="31"/>
      <c r="M81" s="31"/>
      <c r="N81" s="31"/>
      <c r="Q81" s="31"/>
      <c r="R81" s="97"/>
      <c r="S81" s="97"/>
      <c r="T81" s="97"/>
      <c r="U81" s="97"/>
      <c r="V81" s="97"/>
      <c r="W81" s="97"/>
      <c r="X81" s="97"/>
      <c r="Y81" s="97"/>
      <c r="Z81" s="97"/>
      <c r="AA81" s="97"/>
      <c r="AB81" s="97"/>
      <c r="AC81" s="98"/>
      <c r="AD81" s="98"/>
      <c r="AE81" s="98"/>
      <c r="AF81" s="98"/>
      <c r="AG81" s="98"/>
      <c r="AH81" s="98"/>
      <c r="AI81" s="98"/>
      <c r="AJ81" s="98"/>
      <c r="AK81" s="98"/>
      <c r="AL81" s="98"/>
      <c r="AM81" s="98"/>
      <c r="AN81" s="98"/>
      <c r="AP81" s="103" t="e">
        <f>((TP-uH_1-((TP-uH_1-(uH_1*hnh)-(TP*Co_1*VE))*uH_2/(TP-uH_1-(uH_1*hnh)))-(uH_1*hnh)-((TP-uH_1-(uH_1*hnh)-(TP*Co_1*VE))*uH_2*hnh/(TP-uH_1-(uH_1*hnh)))-(TP*Co_1*VE)-(TP*Co_2*VE))*(uH_3*hnh/(TP-uH_1-uH_2-(hnh*(uH_1+uH_2)))))</f>
        <v>#DIV/0!</v>
      </c>
      <c r="AQ81" s="103" t="e">
        <f>(TP-uH_1-((TP-uH_1-(uH_1*hnh)-(TP*Co_1*VE))*uH_2/(TP-uH_1-(uH_1*hnh)))-AP79-(uH_1*hnh)-((TP-uH_1-(uH_1*hnh)-(TP*Co_1*VE))*uH_2*hnh/(TP-uH_1-(uH_1*hnh)))-AP81-(TP*Co_1*VE)-(TP*Co_2*VE)-(TP*Co_3*VE))*(uH_4*hnh/(TP-uH_1-uH_2-uH_3-(hnh*(uH_1+uH_2+uH_3))))</f>
        <v>#DIV/0!</v>
      </c>
      <c r="AR81" s="103" t="e">
        <f>(TP-uH_1-((TP-uH_1-(uH_1*hnh)-(TP*Co_1*VE))*uH_2/(TP-uH_1-(uH_1*hnh)))-AP79-AQ79-(uH_1*hnh)-((TP-uH_1-(uH_1*hnh)-(TP*Co_1*VE))*uH_2*hnh/(TP-uH_1-(uH_1*hnh)))-AP81-AQ81-(TP*Co_1*VE)-(TP*Co_2*VE)-(TP*Co_3*VE)-(TP*Co_4*VE))*(uH_5*hnh/(TP-uH_1-uH_2-uH_3-uH_4-(hnh*(uH_1+uH_2+uH_3+uH_4))))</f>
        <v>#DIV/0!</v>
      </c>
      <c r="AS81" s="103" t="e">
        <f>(TP-uH_1-((TP-uH_1-(uH_1*hnh)-(TP*Co_1*VE))*uH_2/(TP-uH_1-(uH_1*hnh)))-AP79-AQ79-AR79-(uH_1*hnh)-((TP-uH_1-(uH_1*hnh)-(TP*Co_1*VE))*uH_2*hnh/(TP-uH_1-(uH_1*hnh)))-AP81-AQ81-AR81-(TP*Co_1*VE)-(TP*Co_2*VE)-(TP*Co_3*VE)-(TP*Co_4*VE)-(TP*Co_5*VE))*(uH_6*hnh/(TP-uH_1-uH_2-uH_3-uH_4-uH_5-(hnh*(uH_1+uH_2+uH_3+uH_4+uH_5))))</f>
        <v>#DIV/0!</v>
      </c>
      <c r="AT81" s="103" t="e">
        <f>(TP-uH_1-((TP-uH_1-(uH_1*hnh)-(TP*Co_1*VE))*uH_2/(TP-uH_1-(uH_1*hnh)))-AP79-AQ79-AR79-AS79-(uH_1*hnh)-((TP-uH_1-(uH_1*hnh)-(TP*Co_1*VE))*uH_2*hnh/(TP-uH_1-(uH_1*hnh)))-AP81-AQ81-AR81-AS81-(TP*Co_1*VE)-(TP*Co_2*VE)-(TP*Co_3*VE)-(TP*Co_4*VE)-(TP*Co_5*VE)-(TP*Co_6*VE))*(uH_7*hnh/(TP-uH_1-uH_2-uH_3-uH_4-uH_5-uH_6-(hnh*(uH_1+uH_2+uH_3+uH_4+uH_5+uH_6))))</f>
        <v>#DIV/0!</v>
      </c>
      <c r="AU81" s="103" t="e">
        <f>(TP-uH_1-((TP-uH_1-(uH_1*hnh)-(TP*Co_1*VE))*uH_2/(TP-uH_1-(uH_1*hnh)))-AP79-AQ79-AR79-AS79-AT79-(uH_1*hnh)-((TP-uH_1-(uH_1*hnh)-(TP*Co_1*VE))*uH_2*hnh/(TP-uH_1-(uH_1*hnh)))-AP81-AQ81-AR81-AS81-AT81-(TP*Co_1*VE)-(TP*Co_2*VE)-(TP*Co_3*VE)-(TP*Co_4*VE)-(TP*Co_5*VE)-(TP*Co_6*VE)-(TP*Co_7*VE))*(uH_8*hnh/(TP-uH_1-uH_2-uH_3-uH_4-uH_5-uH_6-uH_7-(hnh*(uH_1+uH_2+uH_3+uH_4+uH_5+uH_6+uH_7))))</f>
        <v>#DIV/0!</v>
      </c>
      <c r="AV81" s="103" t="e">
        <f>(TP-uH_1-((TP-uH_1-(uH_1*hnh)-(TP*Co_1*VE))*uH_2/(TP-uH_1-(uH_1*hnh)))-AP79-AQ79-AR79-AS79-AT79-AU79-(uH_1*hnh)-((TP-uH_1-(uH_1*hnh)-(TP*Co_1*VE))*uH_2*hnh/(TP-uH_1-(uH_1*hnh)))-AP81-AQ81-AR81-AS81-AT81-AU81-(TP*Co_1*VE)-(TP*Co_2*VE)-(TP*Co_3*VE)-(TP*Co_4*VE)-(TP*Co_5*VE)-(TP*Co_6*VE)-(TP*Co_7*VE)-(TP*Co_8*VE))*(uH_9*hnh/(TP-uH_1-uH_2-uH_3-uH_4-uH_5-uH_6-uH_7-uH_8-(hnh*(uH_1+uH_2+uH_3+uH_4+uH_5+uH_6+uH_7+uH_8))))</f>
        <v>#DIV/0!</v>
      </c>
      <c r="AW81" s="103" t="e">
        <f>(TP-uH_1-((TP-uH_1-(uH_1*hnh)-(TP*Co_1*VE))*uH_2/(TP-uH_1-(uH_1*hnh)))-AP79-AQ79-AR79-AS79-AT79-AU79-AV79-(uH_1*hnh)-((TP-uH_1-(uH_1*hnh)-(TP*Co_1*VE))*uH_2*hnh/(TP-uH_1-(uH_1*hnh)))-AP81-AQ81-AR81-AS81-AT81-AU81-AV81-(TP*Co_1*VE)-(TP*Co_2*VE)-(TP*Co_3*VE)-(TP*Co_4*VE)-(TP*Co_5*VE)-(TP*Co_6*VE)-(TP*Co_7*VE)-(TP*Co_8*VE)-(TP*Co_9*VE))*(uH_10*hnh/(TP-uH_1-uH_2-uH_3-uH_4-uH_5-uH_6-uH_7-uH_8-uH_9-(hnh*(uH_1+uH_2+uH_3+uH_4+uH_5+uH_6+uH_7+uH_8+uH_9))))</f>
        <v>#DIV/0!</v>
      </c>
      <c r="AX81" s="103" t="e">
        <f>(TP-uH_1-((TP-uH_1-(uH_1*hnh)-(TP*Co_1*VE))*uH_2/(TP-uH_1-(uH_1*hnh)))-AP79-AQ79-AR79-AS79-AT79-AU79-AV79-AW79-(uH_1*hnh)-((TP-uH_1-(uH_1*hnh)-(TP*Co_1*VE))*uH_2*hnh/(TP-uH_1-(uH_1*hnh)))-AP81-AQ81-AR81-AS81-AT81-AU81-AV81-AW81-(TP*Co_1*VE)-(TP*Co_2*VE)-(TP*Co_3*VE)-(TP*Co_4*VE)-(TP*Co_5*VE)-(TP*Co_6*VE)-(TP*Co_7*VE)-(TP*Co_8*VE)-(TP*Co_9*VE)-(TP*Co_10*VE))*(uH_11*hnh/(TP-uH_1-uH_2-uH_3-uH_4-uH_5-uH_6-uH_7-uH_8-uH_9-uH_10-(hnh*(uH_1+uH_2+uH_3+uH_4+uH_5+uH_6+uH_7+uH_8+uH_9+uH_10))))</f>
        <v>#DIV/0!</v>
      </c>
      <c r="AZ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uH_5*hnh/(TP-uH_1-uH_2-uH_3-uH_4-(hnh*(uH_1+uH_2+uH_3+uH_4))-(TP*VE*(Co_1+Co_2+Co_3+Co_4)))</f>
        <v>#DIV/0!</v>
      </c>
      <c r="BA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uH_6*hnh/(TP-uH_1-uH_2-uH_3-uH_4-uH_5-(hnh*(uH_1+uH_2+uH_3+uH_4+uH_5))-(TP*VE*(Co_1+Co_2+Co_3+Co_4+Co_5)))</f>
        <v>#DIV/0!</v>
      </c>
      <c r="BB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uH_7*hnh/(TP-uH_1-uH_2-uH_3-uH_4-uH_5-uH_6-(hnh*(uH_1+uH_2+uH_3+uH_4+uH_5+uH_6))-(TP*VE*(Co_1+Co_2+Co_3+Co_4+Co_5+Co_6)))</f>
        <v>#DIV/0!</v>
      </c>
      <c r="BC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uH_8*hnh/(TP-uH_1-uH_2-uH_3-uH_4-uH_5-uH_6-uH_7-(hnh*(uH_1+uH_2+uH_3+uH_4+uH_5+uH_6+uH_7))-(TP*VE*(Co_1+Co_2+Co_3+Co_4+Co_5+Co_6+Co_7)))</f>
        <v>#DIV/0!</v>
      </c>
      <c r="BD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uH_9*hnh/(TP-uH_1-uH_2-uH_3-uH_4-uH_5-uH_6-uH_7-uH_8-(hnh*(uH_1+uH_2+uH_3+uH_4+uH_5+uH_6+uH_7+uH_8))-(TP*VE*(Co_1+Co_2+Co_3+Co_4+Co_5+Co_6+Co_7+Co_8)))</f>
        <v>#DIV/0!</v>
      </c>
      <c r="BE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uH_10*hnh/(TP-uH_1-uH_2-uH_3-uH_4-uH_5-uH_6-uH_7-uH_8-uH_9-(hnh*(uH_1+uH_2+uH_3+uH_4+uH_5+uH_6+uH_7+uH_8+uH_9))-(TP*VE*(Co_1+Co_2+Co_3+Co_4+Co_5+Co_6+Co_7+Co_8+Co_9)))</f>
        <v>#DIV/0!</v>
      </c>
      <c r="BF81" s="103" t="e">
        <f>(TP-uH_1-((TP-uH_1-(uH_1*hnh))*uH_2/(TP-uH_1-(uH_1*hnh)-(TP*Co_1*VE)))-((TP-uH_1-((TP-uH_1-(uH_1*hnh))*uH_2/(TP-uH_1-(uH_1*hnh)-(TP*Co_1*VE)))-(uH_1*hnh)-((TP-uH_1-(uH_1*hnh))*uH_2*hnh/(TP-uH_1-(uH_1*hnh)-(TP*Co_1*VE))))*uH_3/(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TP-uH_1-uH_2-uH_3-(hnh*(uH_1+uH_2+uH_3))-(TP*VE*(Co_1+Co_2+Co_3))))-AZ79-BA79-BB79-BC79-BD79-BE79-(uH_1*hnh)-((TP-uH_1-(uH_1*hnh))*uH_2*hnh/(TP-uH_1-(uH_1*hnh)-(TP*Co_1*VE)))-((TP-uH_1-((TP-uH_1-(uH_1*hnh))*uH_2/(TP-uH_1-(uH_1*hnh)-(TP*Co_1*VE)))-(uH_1*hnh)-((TP-uH_1-(uH_1*hnh))*uH_2*hnh/(TP-uH_1-(uH_1*hnh)-(TP*Co_1*VE))))*uH_3*hnh/(TP-uH_1-uH_2-(hnh*(uH_1+uH_2))-(TP*VE*(Co_1+Co_2))))-((TP-uH_1-((TP-uH_1-(uH_1*hnh))*uH_2/(TP-uH_1-(uH_1*hnh)-(TP*Co_1*VE)))-((TP-uH_1-((TP-uH_1-(uH_1*hnh))*uH_2/(TP-uH_1-(uH_1*hnh)-(TP*Co_1*VE)))-(uH_1*hnh)-((TP-uH_1-(uH_1*hnh))*uH_2*hnh/(TP-uH_1-(uH_1*hnh)-(TP*Co_1*VE))))*uH_3/(TP-uH_1-uH_2-(hnh*(uH_1+uH_2))-(TP*VE*(Co_1+Co_2))))-(uH_1*hnh)-((TP-uH_1-(uH_1*hnh))*uH_2*hnh/(TP-uH_1-(uH_1*hnh)-(TP*Co_1*VE)))-((TP-uH_1-((TP-uH_1-(uH_1*hnh))*uH_2/(TP-uH_1-(uH_1*hnh)-(TP*Co_1*VE)))-(uH_1*hnh)-((TP-uH_1-(uH_1*hnh))*uH_2*hnh/(TP-uH_1-(uH_1*hnh)-(TP*Co_1*VE))))*uH_3*hnh/(TP-uH_1-uH_2-(hnh*(uH_1+uH_2))-(TP*VE*(Co_1+Co_2)))))*uH_4*hnh/(TP-uH_1-uH_2-uH_3-(hnh*(uH_1+uH_2+uH_3))-(TP*VE*(Co_1+Co_2+Co_3))))-AZ81-BA81-BB81-BC81-BD81-BE81)*uH_11*hnh/(TP-uH_1-uH_2-uH_3-uH_4-uH_5-uH_6-uH_7-uH_8-uH_9-uH_10-(hnh*(uH_1+uH_2+uH_3+uH_4+uH_5+uH_6+uH_7+uH_8+uH_9+uH_10))-(TP*VE*(Co_1+Co_2+Co_3+Co_4+Co_5+Co_6+Co_7+Co_8+Co_9+Co_10)))</f>
        <v>#DIV/0!</v>
      </c>
    </row>
    <row r="82" spans="6:58" hidden="1" outlineLevel="1" x14ac:dyDescent="0.25"/>
    <row r="83" spans="6:58" hidden="1" outlineLevel="1" x14ac:dyDescent="0.25"/>
    <row r="84" spans="6:58" hidden="1" outlineLevel="1" x14ac:dyDescent="0.25"/>
    <row r="85" spans="6:58" collapsed="1" x14ac:dyDescent="0.25"/>
  </sheetData>
  <mergeCells count="40">
    <mergeCell ref="Q12:AB12"/>
    <mergeCell ref="AC12:AN12"/>
    <mergeCell ref="G13:H13"/>
    <mergeCell ref="I13:J13"/>
    <mergeCell ref="K13:L13"/>
    <mergeCell ref="M13:N13"/>
    <mergeCell ref="Q13:AB13"/>
    <mergeCell ref="AC13:AN13"/>
    <mergeCell ref="Q21:AB21"/>
    <mergeCell ref="AC21:AN21"/>
    <mergeCell ref="G22:H22"/>
    <mergeCell ref="I22:J22"/>
    <mergeCell ref="K22:L22"/>
    <mergeCell ref="M22:N22"/>
    <mergeCell ref="Q22:AB22"/>
    <mergeCell ref="AC22:AN22"/>
    <mergeCell ref="Q31:AB31"/>
    <mergeCell ref="AC31:AN31"/>
    <mergeCell ref="G32:H32"/>
    <mergeCell ref="I32:J32"/>
    <mergeCell ref="K32:L32"/>
    <mergeCell ref="M32:N32"/>
    <mergeCell ref="Q32:AB32"/>
    <mergeCell ref="AC32:AN32"/>
    <mergeCell ref="Q40:AB40"/>
    <mergeCell ref="AC40:AN40"/>
    <mergeCell ref="G41:H41"/>
    <mergeCell ref="I41:J41"/>
    <mergeCell ref="K41:L41"/>
    <mergeCell ref="M41:N41"/>
    <mergeCell ref="Q41:AB41"/>
    <mergeCell ref="AC41:AN41"/>
    <mergeCell ref="Q49:AB49"/>
    <mergeCell ref="AC49:AN49"/>
    <mergeCell ref="G50:H50"/>
    <mergeCell ref="I50:J50"/>
    <mergeCell ref="K50:L50"/>
    <mergeCell ref="M50:N50"/>
    <mergeCell ref="Q50:AB50"/>
    <mergeCell ref="AC50:AN50"/>
  </mergeCells>
  <phoneticPr fontId="8"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12693-2E68-4309-B718-7E30194F3ABE}">
  <sheetPr>
    <tabColor theme="4" tint="-0.249977111117893"/>
  </sheetPr>
  <dimension ref="A1:BF259"/>
  <sheetViews>
    <sheetView zoomScale="80" zoomScaleNormal="80" workbookViewId="0">
      <selection activeCell="E255" sqref="E255"/>
    </sheetView>
  </sheetViews>
  <sheetFormatPr defaultColWidth="10.85546875" defaultRowHeight="15" outlineLevelRow="1" x14ac:dyDescent="0.25"/>
  <cols>
    <col min="3" max="3" width="15" customWidth="1"/>
    <col min="4" max="4" width="14.140625" customWidth="1"/>
    <col min="6" max="7" width="11.42578125" bestFit="1" customWidth="1"/>
    <col min="10" max="10" width="14.28515625" customWidth="1"/>
    <col min="12" max="12" width="13.42578125" customWidth="1"/>
    <col min="13" max="13" width="12.140625" customWidth="1"/>
    <col min="16" max="16" width="18.140625" customWidth="1"/>
    <col min="17" max="17" width="12.140625" bestFit="1" customWidth="1"/>
    <col min="18" max="18" width="15.140625" bestFit="1" customWidth="1"/>
    <col min="19" max="19" width="11.140625" bestFit="1" customWidth="1"/>
    <col min="20" max="20" width="17.28515625" bestFit="1" customWidth="1"/>
    <col min="21" max="28" width="11.140625" bestFit="1" customWidth="1"/>
    <col min="29" max="33" width="10.85546875" customWidth="1"/>
    <col min="34" max="34" width="12.140625" customWidth="1"/>
    <col min="35" max="40" width="10.85546875" customWidth="1"/>
    <col min="42" max="51" width="10.85546875" customWidth="1"/>
    <col min="58" max="58" width="12.85546875" customWidth="1"/>
  </cols>
  <sheetData>
    <row r="1" spans="1:58" s="105" customFormat="1" x14ac:dyDescent="0.25">
      <c r="A1" s="104" t="s">
        <v>108</v>
      </c>
      <c r="B1" s="104"/>
    </row>
    <row r="2" spans="1:58" x14ac:dyDescent="0.25">
      <c r="Q2" s="102" t="s">
        <v>72</v>
      </c>
      <c r="R2" s="102"/>
      <c r="S2" s="102"/>
      <c r="T2" s="102"/>
      <c r="U2" s="102"/>
      <c r="V2" s="102"/>
      <c r="W2" s="102"/>
      <c r="X2" s="102"/>
      <c r="Y2" s="102"/>
      <c r="Z2" s="102"/>
      <c r="AA2" s="102"/>
      <c r="AB2" s="102"/>
      <c r="AC2" s="101" t="s">
        <v>104</v>
      </c>
      <c r="AD2" s="101"/>
      <c r="AE2" s="101"/>
      <c r="AF2" s="101"/>
      <c r="AG2" s="101"/>
      <c r="AH2" s="101"/>
      <c r="AI2" s="101"/>
      <c r="AJ2" s="101"/>
      <c r="AK2" s="101"/>
      <c r="AL2" s="101"/>
      <c r="AM2" s="101"/>
      <c r="AN2" s="101"/>
      <c r="AP2" s="103">
        <v>3</v>
      </c>
      <c r="AQ2" s="103">
        <v>4</v>
      </c>
      <c r="AR2" s="103">
        <v>5</v>
      </c>
      <c r="AS2" s="103">
        <v>6</v>
      </c>
      <c r="AT2" s="103">
        <v>7</v>
      </c>
      <c r="AU2" s="103">
        <v>8</v>
      </c>
      <c r="AV2" s="103">
        <v>9</v>
      </c>
      <c r="AW2" s="103">
        <v>10</v>
      </c>
      <c r="AX2" s="103">
        <v>11</v>
      </c>
      <c r="AZ2" s="103">
        <v>5</v>
      </c>
      <c r="BA2" s="103">
        <v>6</v>
      </c>
      <c r="BB2" s="103">
        <v>7</v>
      </c>
      <c r="BC2" s="103">
        <v>8</v>
      </c>
      <c r="BD2" s="103">
        <v>9</v>
      </c>
      <c r="BE2" s="103">
        <v>10</v>
      </c>
      <c r="BF2" s="103">
        <v>11</v>
      </c>
    </row>
    <row r="3" spans="1:58" ht="28.7" customHeight="1" x14ac:dyDescent="0.25">
      <c r="A3" s="11" t="s">
        <v>47</v>
      </c>
      <c r="B3" s="11"/>
      <c r="C3" s="11"/>
      <c r="D3" s="11"/>
      <c r="E3" s="11"/>
      <c r="F3" s="11"/>
      <c r="G3" s="109" t="s">
        <v>50</v>
      </c>
      <c r="H3" s="109"/>
      <c r="I3" s="110" t="s">
        <v>44</v>
      </c>
      <c r="J3" s="110"/>
      <c r="K3" s="101" t="s">
        <v>58</v>
      </c>
      <c r="L3" s="101"/>
      <c r="M3" s="110" t="s">
        <v>45</v>
      </c>
      <c r="N3" s="110"/>
      <c r="Q3" s="102" t="s">
        <v>1</v>
      </c>
      <c r="R3" s="102"/>
      <c r="S3" s="102"/>
      <c r="T3" s="102"/>
      <c r="U3" s="102"/>
      <c r="V3" s="102"/>
      <c r="W3" s="102"/>
      <c r="X3" s="102"/>
      <c r="Y3" s="102"/>
      <c r="Z3" s="102"/>
      <c r="AA3" s="102"/>
      <c r="AB3" s="102"/>
      <c r="AC3" s="101" t="s">
        <v>71</v>
      </c>
      <c r="AD3" s="101"/>
      <c r="AE3" s="101"/>
      <c r="AF3" s="101"/>
      <c r="AG3" s="101"/>
      <c r="AH3" s="101"/>
      <c r="AI3" s="101"/>
      <c r="AJ3" s="101"/>
      <c r="AK3" s="101"/>
      <c r="AL3" s="101"/>
      <c r="AM3" s="101"/>
      <c r="AN3" s="101"/>
      <c r="AP3" s="103" t="s">
        <v>73</v>
      </c>
      <c r="AQ3" s="103" t="s">
        <v>74</v>
      </c>
      <c r="AR3" s="103" t="s">
        <v>75</v>
      </c>
      <c r="AS3" s="103" t="s">
        <v>76</v>
      </c>
      <c r="AT3" s="103" t="s">
        <v>77</v>
      </c>
      <c r="AU3" s="103" t="s">
        <v>78</v>
      </c>
      <c r="AV3" s="103" t="s">
        <v>79</v>
      </c>
      <c r="AW3" s="103" t="s">
        <v>80</v>
      </c>
      <c r="AX3" s="103" t="s">
        <v>81</v>
      </c>
      <c r="AZ3" s="103" t="s">
        <v>105</v>
      </c>
      <c r="BA3" s="103" t="s">
        <v>91</v>
      </c>
      <c r="BB3" s="103" t="s">
        <v>93</v>
      </c>
      <c r="BC3" s="103" t="s">
        <v>94</v>
      </c>
      <c r="BD3" s="103" t="s">
        <v>95</v>
      </c>
      <c r="BE3" s="103" t="s">
        <v>96</v>
      </c>
      <c r="BF3" s="103" t="s">
        <v>97</v>
      </c>
    </row>
    <row r="4" spans="1:58" ht="45" x14ac:dyDescent="0.25">
      <c r="A4" s="70" t="s">
        <v>40</v>
      </c>
      <c r="B4" s="70" t="s">
        <v>41</v>
      </c>
      <c r="C4" s="70" t="s">
        <v>53</v>
      </c>
      <c r="D4" s="70" t="s">
        <v>48</v>
      </c>
      <c r="E4" s="70" t="s">
        <v>42</v>
      </c>
      <c r="F4" s="76" t="s">
        <v>49</v>
      </c>
      <c r="G4" s="71" t="s">
        <v>51</v>
      </c>
      <c r="H4" s="71" t="s">
        <v>52</v>
      </c>
      <c r="I4" s="72" t="s">
        <v>51</v>
      </c>
      <c r="J4" s="72" t="s">
        <v>52</v>
      </c>
      <c r="K4" s="77" t="s">
        <v>51</v>
      </c>
      <c r="L4" s="77" t="s">
        <v>52</v>
      </c>
      <c r="M4" s="72" t="s">
        <v>51</v>
      </c>
      <c r="N4" s="72" t="s">
        <v>52</v>
      </c>
      <c r="Q4" s="102">
        <v>1</v>
      </c>
      <c r="R4" s="102">
        <v>2</v>
      </c>
      <c r="S4" s="102">
        <v>3</v>
      </c>
      <c r="T4" s="102">
        <v>4</v>
      </c>
      <c r="U4" s="102">
        <v>5</v>
      </c>
      <c r="V4" s="102">
        <v>6</v>
      </c>
      <c r="W4" s="102">
        <v>7</v>
      </c>
      <c r="X4" s="102">
        <v>8</v>
      </c>
      <c r="Y4" s="102">
        <v>9</v>
      </c>
      <c r="Z4" s="102">
        <v>10</v>
      </c>
      <c r="AA4" s="102">
        <v>11</v>
      </c>
      <c r="AB4" s="102">
        <v>12</v>
      </c>
      <c r="AC4" s="101">
        <v>1</v>
      </c>
      <c r="AD4" s="101">
        <v>2</v>
      </c>
      <c r="AE4" s="101">
        <v>3</v>
      </c>
      <c r="AF4" s="101">
        <v>4</v>
      </c>
      <c r="AG4" s="101">
        <v>5</v>
      </c>
      <c r="AH4" s="101">
        <v>6</v>
      </c>
      <c r="AI4" s="101">
        <v>7</v>
      </c>
      <c r="AJ4" s="101">
        <v>8</v>
      </c>
      <c r="AK4" s="101">
        <v>9</v>
      </c>
      <c r="AL4" s="101">
        <v>10</v>
      </c>
      <c r="AM4" s="101">
        <v>11</v>
      </c>
      <c r="AN4" s="101">
        <v>12</v>
      </c>
      <c r="AP4" s="103" t="e">
        <f>((TP-H_1-((TP-H_1-(H_1*hnh)-(TP*Co_1*VE))*H_2/(TP-H_1-(H_1*hnh)))-(H_1*hnh)-((TP-H_1-(H_1*hnh)-(TP*Co_1*VE))*H_2*hnh/(TP-H_1-(H_1*hnh)))-(TP*Co_1*VE)-(TP*Co_2*VE))*(H_3/(TP-H_1-H_2-(hnh*(H_1+H_2)))))</f>
        <v>#DIV/0!</v>
      </c>
      <c r="AQ4" s="103" t="e">
        <f>(TP-H_1-((TP-H_1-(H_1*hnh)-(TP*Co_1*VE))*H_2/(TP-H_1-(H_1*hnh)))-AP4-(H_1*hnh)-((TP-H_1-(H_1*hnh)-(TP*Co_1*VE))*H_2*hnh/(TP-H_1-(H_1*hnh)))-AP6-(TP*Co_1*VE)-(TP*Co_2*VE)-(TP*Co_3*VE))*(H_4/(TP-H_1-H_2-H_3-(hnh*(H_1+H_2+H_3))))</f>
        <v>#DIV/0!</v>
      </c>
      <c r="AR4" s="103" t="e">
        <f>(TP-H_1-((TP-H_1-(H_1*hnh)-(TP*Co_1*VE))*H_2/(TP-H_1-(H_1*hnh)))-AP4-AQ4-(H_1*hnh)-((TP-H_1-(H_1*hnh)-(TP*Co_1*VE))*H_2*hnh/(TP-H_1-(H_1*hnh)))-AP6-AQ6-(TP*Co_1*VE)-(TP*Co_2*VE)-(TP*Co_3*VE)-(TP*Co_4*VE))*(H_5/(TP-H_1-H_2-H_3-H_4-(hnh*(H_1+H_2+H_3+H_4))))</f>
        <v>#DIV/0!</v>
      </c>
      <c r="AS4" s="103" t="e">
        <f>(TP-H_1-((TP-H_1-(H_1*hnh)-(TP*Co_1*VE))*H_2/(TP-H_1-(H_1*hnh)))-AP4-AQ4-AR4-(H_1*hnh)-((TP-H_1-(H_1*hnh)-(TP*Co_1*VE))*H_2*hnh/(TP-H_1-(H_1*hnh)))-AP6-AQ6-AR6-(TP*Co_1*VE)-(TP*Co_2*VE)-(TP*Co_3*VE)-(TP*Co_4*VE)-(TP*Co_5*VE))*(H_6/(TP-H_1-H_2-H_3-H_4-H_5-(hnh*(H_1+H_2+H_3+H_4+H_5))))</f>
        <v>#DIV/0!</v>
      </c>
      <c r="AT4" s="103" t="e">
        <f>(TP-H_1-((TP-H_1-(H_1*hnh)-(TP*Co_1*VE))*H_2/(TP-H_1-(H_1*hnh)))-AP4-AQ4-AR4-AS4-(H_1*hnh)-((TP-H_1-(H_1*hnh)-(TP*Co_1*VE))*H_2*hnh/(TP-H_1-(H_1*hnh)))-AP6-AQ6-AR6-AS6-(TP*Co_1*VE)-(TP*Co_2*VE)-(TP*Co_3*VE)-(TP*Co_4*VE)-(TP*Co_5*VE)-(TP*Co_6*VE))*(H_7/(TP-H_1-H_2-H_3-H_4-H_5-H_6-(hnh*(H_1+H_2+H_3+H_4+H_5+H_6))))</f>
        <v>#DIV/0!</v>
      </c>
      <c r="AU4" s="103" t="e">
        <f>(TP-H_1-((TP-H_1-(H_1*hnh)-(TP*Co_1*VE))*H_2/(TP-H_1-(H_1*hnh)))-AP4-AQ4-AR4-AS4-AT4-(H_1*hnh)-((TP-H_1-(H_1*hnh)-(TP*Co_1*VE))*H_2*hnh/(TP-H_1-(H_1*hnh)))-AP6-AQ6-AR6-AS6-AT6-(TP*Co_1*VE)-(TP*Co_2*VE)-(TP*Co_3*VE)-(TP*Co_4*VE)-(TP*Co_5*VE)-(TP*Co_6*VE)-(TP*Co_7*VE))*(H_8/(TP-H_1-H_2-H_3-H_4-H_5-H_6-H_7-(hnh*(H_1+H_2+H_3+H_4+H_5+H_6+H_7))))</f>
        <v>#DIV/0!</v>
      </c>
      <c r="AV4" s="103" t="e">
        <f>(TP-H_1-((TP-H_1-(H_1*hnh)-(TP*Co_1*VE))*H_2/(TP-H_1-(H_1*hnh)))-AP4-AQ4-AR4-AS4-AT4-AU4-(H_1*hnh)-((TP-H_1-(H_1*hnh)-(TP*Co_1*VE))*H_2*hnh/(TP-H_1-(H_1*hnh)))-AP6-AQ6-AR6-AS6-AT6-AU6-(TP*Co_1*VE)-(TP*Co_2*VE)-(TP*Co_3*VE)-(TP*Co_4*VE)-(TP*Co_5*VE)-(TP*Co_6*VE)-(TP*Co_7*VE)-(TP*Co_8*VE))*(H_9/(TP-H_1-H_2-H_3-H_4-H_5-H_6-H_7-H_8-(hnh*(H_1+H_2+H_3+H_4+H_5+H_6+H_7+H_8))))</f>
        <v>#DIV/0!</v>
      </c>
      <c r="AW4" s="103" t="e">
        <f>(TP-H_1-((TP-H_1-(H_1*hnh)-(TP*Co_1*VE))*H_2/(TP-H_1-(H_1*hnh)))-AP4-AQ4-AR4-AS4-AT4-AU4-AV4-(H_1*hnh)-((TP-H_1-(H_1*hnh)-(TP*Co_1*VE))*H_2*hnh/(TP-H_1-(H_1*hnh)))-AP6-AQ6-AR6-AS6-AT6-AU6-AV6-(TP*Co_1*VE)-(TP*Co_2*VE)-(TP*Co_3*VE)-(TP*Co_4*VE)-(TP*Co_5*VE)-(TP*Co_6*VE)-(TP*Co_7*VE)-(TP*Co_8*VE)-(TP*Co_9*VE))*(H_10/(TP-H_1-H_2-H_3-H_4-H_5-H_6-H_7-H_8-H_9-(hnh*(H_1+H_2+H_3+H_4+H_5+H_6+H_7+H_8+H_9))))</f>
        <v>#DIV/0!</v>
      </c>
      <c r="AX4" s="103" t="e">
        <f>(TP-H_1-((TP-H_1-(H_1*hnh)-(TP*Co_1*VE))*H_2/(TP-H_1-(H_1*hnh)))-AP4-AQ4-AR4-AS4-AT4-AU4-AV4-AW4-(H_1*hnh)-((TP-H_1-(H_1*hnh)-(TP*Co_1*VE))*H_2*hnh/(TP-H_1-(H_1*hnh)))-AP6-AQ6-AR6-AS6-AT6-AU6-AV6-AW6-(TP*Co_1*VE)-(TP*Co_2*VE)-(TP*Co_3*VE)-(TP*Co_4*VE)-(TP*Co_5*VE)-(TP*Co_6*VE)-(TP*Co_7*VE)-(TP*Co_8*VE)-(TP*Co_9*VE)-(TP*Co_10*VE))*(H_11/(TP-H_1-H_2-H_3-H_4-H_5-H_6-H_7-H_8-H_9-H_10-(hnh*(H_1+H_2+H_3+H_4+H_5+H_6+H_7+H_8+H_9+H_10))))</f>
        <v>#DIV/0!</v>
      </c>
      <c r="AZ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TP-H_1-H_2-H_3-H_4-H_5-(hnh*(H_1+H_2+H_3+H_4+H_5))-(TP*VE*(Co_1+Co_2+Co_3+Co_4+Co_5)))</f>
        <v>#DIV/0!</v>
      </c>
      <c r="BB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TP-H_1-H_2-H_3-H_4-H_5-H_6-(hnh*(H_1+H_2+H_3+H_4+H_5+H_6))-(TP*VE*(Co_1+Co_2+Co_3+Co_4+Co_5+Co_6)))</f>
        <v>#DIV/0!</v>
      </c>
      <c r="BC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TP-H_1-H_2-H_3-H_4-H_5-H_6-H_7-(hnh*(H_1+H_2+H_3+H_4+H_5+H_6+H_7))-(TP*VE*(Co_1+Co_2+Co_3+Co_4+Co_5+Co_6+Co_7)))</f>
        <v>#DIV/0!</v>
      </c>
      <c r="BD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TP-H_1-H_2-H_3-H_4-H_5-H_6-H_7-H_8-(hnh*(H_1+H_2+H_3+H_4+H_5+H_6+H_7+H_8))-(TP*VE*(Co_1+Co_2+Co_3+Co_4+Co_5+Co_6+Co_7+Co_8)))</f>
        <v>#DIV/0!</v>
      </c>
      <c r="BE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TP-H_1-H_2-H_3-H_4-H_5-H_6-H_7-H_8-H_9-(hnh*(H_1+H_2+H_3+H_4+H_5+H_6+H_7+H_8+H_9))-(TP*VE*(Co_1+Co_2+Co_3+Co_4+Co_5+Co_6+Co_7+Co_8+Co_9)))</f>
        <v>#DIV/0!</v>
      </c>
      <c r="BF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TP-H_1-H_2-H_3-H_4-H_5-H_6-H_7-H_8-H_9-H_10-(hnh*(H_1+H_2+H_3+H_4+H_5+H_6+H_7+H_8+H_9+H_10))-(TP*VE*(Co_1+Co_2+Co_3+Co_4+Co_5+Co_6+Co_7+Co_8+Co_9+Co_10)))</f>
        <v>#DIV/0!</v>
      </c>
    </row>
    <row r="5" spans="1:58" x14ac:dyDescent="0.25">
      <c r="A5" s="73">
        <f>season</f>
        <v>0</v>
      </c>
      <c r="B5" s="73">
        <f>TG</f>
        <v>0</v>
      </c>
      <c r="C5" s="73">
        <f>TP</f>
        <v>0</v>
      </c>
      <c r="D5" s="74">
        <f>TCv</f>
        <v>0</v>
      </c>
      <c r="E5" s="75">
        <f>VE</f>
        <v>0</v>
      </c>
      <c r="F5" s="78" t="e">
        <f>G5/IF(mb=1,SUM(AC5:AN5),IF(mb=2,SUM(AD5:AN5),IF(mb=3,SUM(AE5:AN5),IF(mb=4,SUM(AF5:AN5),IF(mb=5,SUM(AG5:AN5),IF(mb=6,SUM(AH5:AN5),IF(mb=7,SUM(AI5:AN5),IF(mb=8,SUM(AJ5:AN5),0))))))))</f>
        <v>#DIV/0!</v>
      </c>
      <c r="G5" s="42">
        <f>IF(mb=1,SUM(AC5:AN5)-SUM(Q5:AB5),IF(mb=2,SUM(AD5:AN5)-SUM(R5:AB5),IF(mb=3,SUM(AE5:AN5)-SUM(S5:AB5),IF(mb=4,SUM(AF5:AN5)-SUM(T5:AB5),IF(mb=5,SUM(AG5:AN5)-SUM(U5:AB5),IF(mb=6,SUM(AH5:AN5)-SUM(V5:AB5),IF(mb=7,SUM(AI5:AN5)-SUM(W5:AB5),IF(mb=8,SUM(AJ5:AN5)-SUM(X5:AB5),0))))))))</f>
        <v>0</v>
      </c>
      <c r="H5" s="96" t="e">
        <f>1/(VE*IF(mb=1,SUM(AC5:AN5),IF(mb=2,SUM(AD5:AN5),IF(mb=3,SUM(AE5:AN5),IF(mb=4,SUM(AF5:AN5),IF(mb=5,SUM(AG5:AN5),IF(mb=6,SUM(AH5:AN5),IF(mb=7,SUM(AI5:AN5),IF(mb=8,SUM(AJ5:AN5),0))))))))/TP)</f>
        <v>#DIV/0!</v>
      </c>
      <c r="I5" s="93" t="e">
        <f>G5/hnh</f>
        <v>#DIV/0!</v>
      </c>
      <c r="J5" s="42" t="e">
        <f>1/(VE*IF(mb=1,SUM(AC5:AN5),IF(mb=2,SUM(AD5:AN5),IF(mb=3,SUM(AE5:AN5),IF(mb=4,SUM(AF5:AN5),IF(mb=5,SUM(AG5:AN5),IF(mb=6,SUM(AH5:AN5),IF(mb=7,SUM(AI5:AN5),IF(mb=8,SUM(AJ5:AN5),0))))))))/(TP*hnh))</f>
        <v>#DIV/0!</v>
      </c>
      <c r="K5" s="42" t="e">
        <f>M5*mai</f>
        <v>#DIV/0!</v>
      </c>
      <c r="L5" s="42" t="e">
        <f>1/(VE*((IF(mb=1,SUM(AC5:AN5),IF(mb=2,SUM(AD5:AN5),IF(mb=3,SUM(AE5:AN5),IF(mb=4,SUM(AF5:AN5),IF(mb=5,SUM(AG5:AN5),IF(mb=6,SUM(AH5:AN5),IF(mb=7,SUM(AI5:AN5),IF(mb=8,SUM(AJ5:AN5),0))))))))+(IF(mb=1,SUM(AC5:AN5),IF(mb=2,SUM(AD5:AN5),IF(mb=3,SUM(AE5:AN5),IF(mb=4,SUM(AF5:AN5),IF(mb=5,SUM(AG5:AN5),IF(mb=6,SUM(AH5:AN5),IF(mb=7,SUM(AI5:AN5),IF(mb=8,SUM(AJ5:AN5),0)))))))))/hnh)*mai)/TP)</f>
        <v>#DIV/0!</v>
      </c>
      <c r="M5" s="42" t="e">
        <f>G5+I5</f>
        <v>#DIV/0!</v>
      </c>
      <c r="N5" s="42" t="e">
        <f>1/(VE*(IF(mb=1,SUM(AC5:AN5),IF(mb=2,SUM(AD5:AN5),IF(mb=3,SUM(AE5:AN5),IF(mb=4,SUM(AF5:AN5),IF(mb=5,SUM(AG5:AN5),IF(mb=6,SUM(AH5:AN5),IF(mb=7,SUM(AI5:AN5),IF(mb=8,SUM(AJ5:AN5),0))))))))+(IF(mb=1,SUM(AC5:AN5),IF(mb=2,SUM(AD5:AN5),IF(mb=3,SUM(AE5:AN5),IF(mb=4,SUM(AF5:AN5),IF(mb=5,SUM(AG5:AN5),IF(mb=6,SUM(AH5:AN5),IF(mb=7,SUM(AI5:AN5),IF(mb=8,SUM(AJ5:AN5),0)))))))))/hnh)/TP)</f>
        <v>#DIV/0!</v>
      </c>
      <c r="Q5" s="86" t="e">
        <f>IF(ISc=1,nh1_1,IF(ISc=2,H_1*hnh,0))</f>
        <v>#DIV/0!</v>
      </c>
      <c r="R5" s="111" t="e">
        <f>IF(ScI=1,((nh1_2/(TP-(nh1_1/hnh)-nh1_1))*(TP-(nh1_1/hnh)-nh1_1-(TP*Co_1*VE))),IF(ScI=2,(TP-H_1-(H_1*hnh)-(TP*Co_1*VE))*(H_2*hnh/(TP-H_1-(H_1*hnh))),"fal"))</f>
        <v>#DIV/0!</v>
      </c>
      <c r="S5" s="137" t="e">
        <f>IF(ScI=1,(nh1_3/(TP-((nh1_1+nh1_2)/hnh)-nh1_1-nh1_2))*(TP-(nh1_1/hnh)-(R5/hnh)-nh1_1-R5-(TP*VE*(Co_1+Co_2))),IF(ScI=2,(TP-H_1-((TP-H_1-(H_1*hnh)-(TP*Co_1*VE))*H_2/(TP-H_1-(H_1*hnh)))-(H_1*hnh)-((TP-H_1-(H_1*hnh)-(TP*Co_1*VE))*H_2*hnh/(TP-H_1-(H_1*hnh)))-(TP*Co_1*VE)-(TP*Co_2*VE))*(H_3*hnh/(TP-H_1-H_2-(hnh*(H_1+H_2)))),0))</f>
        <v>#DIV/0!</v>
      </c>
      <c r="T5" s="86" t="e">
        <f>IF(ScI=1,(nh1_4/(TP-(nh1_1/hnh)-(nh1_2/hnh)-(nh1_3/hnh)-nh1_1-nh1_2-nh1_3))*(TP-(nh1_1/hnh)-(R5/hnh)-(S5/hnh)-nh1_1-R5-S5-(TP*VE*(Co_1+Co_2+Co_3))),IF(ScI=2,(TP-H_1-((TP-H_1-(H_1*hnh)-(TP*Co_1*VE))*H_2/(TP-H_1-(H_1*hnh)))-((TP-H_1-(((TP-H_1-(H_1*hnh)-(TP*Co_1*VE))*H_2/(TP-H_1-(H_1*hnh))))-(H_1*hnh)-((TP-H_1-(H_1*hnh)-(TP*Co_1*VE))*H_2*hnh/(TP-H_1-(H_1*hnh)))-(TP*Co_1*VE)-(TP*Co_2*VE))*(H_3/(TP-H_1-H_2-(hnh*(H_1+H_2)))))-(H_1*hnh)-((TP-H_1-(H_1*hnh)-(TP*Co_1*VE))*H_2*hnh/(TP-H_1-(H_1*hnh)))-((TP-H_1-(((TP-H_1-(H_1*hnh)-(TP*Co_1*VE))*H_2/(TP-H_1-(H_1*hnh))))-(H_1*hnh)-(((TP-H_1-(H_1*hnh)-(TP*Co_1*VE))*H_2*hnh/(TP-H_1-(H_1*hnh))))-(TP*Co_1*VE)-(TP*Co_2*VE))*(H_3*hnh/(TP-H_1-H_2-(hnh*(H_1+H_2)))))-(TP*Co_1*VE)-(TP*Co_2*VE)-(TP*Co_3*VE))*(H_4*hnh/(TP-H_1-H_2-H_3-(hnh*(H_1+H_2+H_3)))),0))</f>
        <v>#DIV/0!</v>
      </c>
      <c r="U5" s="86" t="e">
        <f>IF(ScI=1,(nh1_5/(TP-(nh1_1/hnh)-(nh1_2/hnh)-(nh1_3/hnh)-(nh1_4/hnh)-nh1_1-nh1_2-nh1_3-nh1_4))*(TP-(nh1_1/hnh)-(R5/hnh)-(S5/hnh)-(T5/hnh)-nh1_1-R5-S5-T5-(TP*VE*(Co_1+Co_2+Co_3+Co_4))),IF(ScI=2,(TP-H_1-(((TP-H_1-(H_1*hnh)-(TP*Co_1*VE))*H_2/(TP-H_1-(H_1*hnh))))-AP4-AQ4-(H_1*hnh)-((TP-H_1-(H_1*hnh)-(TP*Co_1*VE))*H_2*hnh/(TP-H_1-(H_1*hnh)))-AP6-AQ6-(TP*Co_1*VE)-(TP*Co_2*VE)-(TP*Co_3*VE)-(TP*Co_4*VE))*(H_5*hnh/(TP-H_1-H_2-H_3-H_4-(hnh*(H_1+H_2+H_3+H_4)))),0))</f>
        <v>#DIV/0!</v>
      </c>
      <c r="V5" s="86" t="e">
        <f>IF(ScI=1,(nh1_6/(TP-(nh1_1/hnh)-(nh1_2/hnh)-(nh1_3/hnh)-(nh1_4/hnh)-(nh1_5/hnh)-nh1_1-nh1_2-nh1_3-nh1_4-nh1_5))*(TP-(nh1_1/hnh)-(R5/hnh)-(S5/hnh)-(T5/hnh)-(U5/hnh)-nh1_1-R5-S5-T5-U5-(TP*VE*(Co_1+Co_2+Co_3+Co_4+Co_5))),IF(ScI=2,(TP-H_1-((TP-H_1-(H_1*hnh)-(TP*Co_1*VE))*H_2/(TP-H_1-(H_1*hnh)))-AP4-AQ4-AR4-(H_1*hnh)-((TP-H_1-(H_1*hnh)-(TP*Co_1*VE))*H_2*hnh/(TP-H_1-(H_1*hnh)))-AP6-AQ6-AR6-(TP*Co_1*VE)-(TP*Co_2*VE)-(TP*Co_3*VE)-(TP*Co_4*VE)-(TP*Co_5*VE))*(H_6*hnh/(TP-H_1-H_2-H_3-H_4-H_5-(hnh*(H_1+H_2+H_3+H_4+H_5)))),0))</f>
        <v>#DIV/0!</v>
      </c>
      <c r="W5" s="86" t="e">
        <f>IF(ScI=1,(nh1_7/(TP-(nh1_1/hnh)-(nh1_2/hnh)-(nh1_3/hnh)-(nh1_4/hnh)-(nh1_5/hnh)-(nh1_6/hnh)-nh1_1-nh1_2-nh1_3-nh1_4-nh1_5-nh1_6))*(TP-(nh1_1/hnh)-(R5/hnh)-(S5/hnh)-(T5/hnh)-(U5/hnh)-(V5/hnh)-nh1_1-R5-S5-T5-U5-V5-(TP*VE*(Co_1+Co_2+Co_3+Co_4+Co_5+Co_6))),IF(ScI=2,(TP-H_1-((TP-H_1-(H_1*hnh)-(TP*Co_1*VE))*H_2/(TP-H_1-(H_1*hnh)))-AP4-AQ4-AR4-AS4-(H_1*hnh)-((TP-H_1-(H_1*hnh)-(TP*Co_1*VE))*H_2*hnh/(TP-H_1-(H_1*hnh)))-AP6-AQ6-AR6-AS6-(TP*Co_1*VE)-(TP*Co_2*VE)-(TP*Co_3*VE)-(TP*Co_4*VE)-(TP*Co_5*VE)-(TP*Co_6*VE))*(H_7*hnh/(TP-H_1-H_2-H_3-H_4-H_5-H_6-(hnh*(H_1+H_2+H_3+H_4+H_5+H_6)))),0))</f>
        <v>#DIV/0!</v>
      </c>
      <c r="X5" s="86" t="e">
        <f>IF(ScI=1,(nh1_8/(TP-(nh1_1/hnh)-(nh1_2/hnh)-(nh1_3/hnh)-(nh1_4/hnh)-(nh1_5/hnh)-(nh1_6/hnh)-(nh1_7/hnh)-nh1_1-nh1_2-nh1_3-nh1_4-nh1_5-nh1_6-nh1_7))*(TP-(nh1_1/hnh)-(R5/hnh)-(S5/hnh)-(T5/hnh)-(U5/hnh)-(V5/hnh)-(W5/hnh)-nh1_1-R5-S5-T5-U5-V5-W5-(TP*VE*(Co_1+Co_2+Co_3+Co_4+Co_5+Co_6+Co_7))),IF(ScI=2,(TP-H_1-((TP-H_1-(H_1*hnh)-(TP*Co_1*VE))*H_2/(TP-H_1-(H_1*hnh)))-AP4-AQ4-AR4-AS4-AT4-(H_1*hnh)-((TP-H_1-(H_1*hnh)-(TP*Co_1*VE))*H_2*hnh/(TP-H_1-(H_1*hnh)))-AP6-AQ6-AR6-AS6-AT6-(TP*Co_1*VE)-(TP*Co_2*VE)-(TP*Co_3*VE)-(TP*Co_4*VE)-(TP*Co_5*VE)-(TP*Co_6*VE)-(TP*Co_7*VE))*(H_8*hnh/(TP-H_1-H_2-H_3-H_4-H_5-H_6-H_7-(hnh*(H_1+H_2+H_3+H_4+H_5+H_6+H_7)))),0))</f>
        <v>#DIV/0!</v>
      </c>
      <c r="Y5" s="86" t="e">
        <f>IF(ScI=1,(nh1_9/(TP-(nh1_1/hnh)-(nh1_2/hnh)-(nh1_3/hnh)-(nh1_4/hnh)-(nh1_5/hnh)-(nh1_6/hnh)-(nh1_7/hnh)-(nh1_8/hnh)-nh1_1-nh1_2-nh1_3-nh1_4-nh1_5-nh1_6-nh1_7-nh1_8))*(TP-(nh1_1/hnh)-(R5/hnh)-(S5/hnh)-(T5/hnh)-(U5/hnh)-(V5/hnh)-(W5/hnh)-(X5/hnh)-nh1_1-R5-S5-T5-U5-V5-W5-X5-(TP*VE*(Co_1+Co_2+Co_3+Co_4+Co_5+Co_6+Co_7+Co_8))),IF(ScI=2,(TP-H_1-((TP-H_1-(H_1*hnh)-(TP*Co_1*VE))*H_2/(TP-H_1-(H_1*hnh)))-AP4-AQ4-AR4-AS4-AT4-AU4-(H_1*hnh)-((TP-H_1-(H_1*hnh)-(TP*Co_1*VE))*H_2*hnh/(TP-H_1-(H_1*hnh)))-AP6-AQ6-AR6-AS6-AT6-AU6-(TP*Co_1*VE)-(TP*Co_2*VE)-(TP*Co_3*VE)-(TP*Co_4*VE)-(TP*Co_5*VE)-(TP*Co_6*VE)-(TP*Co_7*VE)-(TP*Co_8*VE))*(H_9*hnh/(TP-H_1-H_2-H_3-H_4-H_5-H_6-H_7-H_8-(hnh*(H_1+H_2+H_3+H_4+H_5+H_6+H_7+H_8)))),0))</f>
        <v>#DIV/0!</v>
      </c>
      <c r="Z5" s="86" t="e">
        <f>IF(ScI=1,(nh1_10/(TP-(nh1_1/hnh)-(nh1_2/hnh)-(nh1_3/hnh)-(nh1_4/hnh)-(nh1_5/hnh)-(nh1_6/hnh)-(nh1_7/hnh)-(nh1_8/hnh)-(nh1_9/hnh)-nh1_1-nh1_2-nh1_3-nh1_4-nh1_5-nh1_6-nh1_7-nh1_8-nh1_9))*(TP-(nh1_1/hnh)-(R5/hnh)-(S5/hnh)-(T5/hnh)-(U5/hnh)-(V5/hnh)-(W5/hnh)-(X5/hnh)-(Y5/hnh)-nh1_1-R5-S5-T5-U5-V5-W5-X5-Y5-(TP*VE*(Co_1+Co_2+Co_3+Co_4+Co_5+Co_6+Co_7+Co_8+Co_9))),IF(ScI=2,(TP-H_1-((TP-H_1-(H_1*hnh)-(TP*Co_1*VE))*H_2/(TP-H_1-(H_1*hnh)))-AP4-AQ4-AR4-AS4-AT4-AU4-AV4-(H_1*hnh)-((TP-H_1-(H_1*hnh)-(TP*Co_1*VE))*H_2*hnh/(TP-H_1-(H_1*hnh)))-AP6-AQ6-AR6-AS6-AT6-AU6-AV6-(TP*Co_1*VE)-(TP*Co_2*VE)-(TP*Co_3*VE)-(TP*Co_4*VE)-(TP*Co_5*VE)-(TP*Co_6*VE)-(TP*Co_7*VE)-(TP*Co_8*VE)-(TP*Co_9*VE))*(H_10*hnh/(TP-H_1-H_2-H_3-H_4-H_5-H_6-H_7-H_8-H_9-(hnh*(H_1+H_2+H_3+H_4+H_5+H_6+H_7+H_8+H_9)))),0))</f>
        <v>#DIV/0!</v>
      </c>
      <c r="AA5" s="86" t="e">
        <f>IF(ScI=1,(nh1_11/(TP-(nh1_1/hnh)-(nh1_2/hnh)-(nh1_3/hnh)-(nh1_4/hnh)-(nh1_5/hnh)-(nh1_6/hnh)-(nh1_7/hnh)-(nh1_8/hnh)-(nh1_9/hnh)-(nh1_10/hnh)-nh1_1-nh1_2-nh1_3-nh1_4-nh1_5-nh1_6-nh1_7-nh1_8-nh1_9-nh1_10))*(TP-(nh1_1/hnh)-(R5/hnh)-(S5/hnh)-(T5/hnh)-(U5/hnh)-(V5/hnh)-(W5/hnh)-(X5/hnh)-(Y5/hnh)-(Z5/hnh)-nh1_1-R5-S5-T5-U5-V5-W5-X5-Y5-Z5-(TP*VE*(Co_1+Co_2+Co_3+Co_4+Co_5+Co_6+Co_7+Co_8+Co_9+Co_10))),IF(ScI=2,(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0))</f>
        <v>#DIV/0!</v>
      </c>
      <c r="AB5" s="86" t="e">
        <f>IF(ScI=1,(nh1_12/(TP-(nh1_1/hnh)-(nh1_2/hnh)-(nh1_3/hnh)-(nh1_4/hnh)-(nh1_5/hnh)-(nh1_6/hnh)-(nh1_7/hnh)-(nh1_8/hnh)-(nh1_9/hnh)-(nh1_10/hnh)-(nh1_11/hnh)-nh1_1-nh1_2-nh1_3-nh1_4-nh1_5-nh1_6-nh1_7-nh1_8-nh1_9-nh1_10-nh1_11))*(TP-(nh1_1/hnh)-(R5/hnh)-(S5/hnh)-(T5/hnh)-(U5/hnh)-(V5/hnh)-(W5/hnh)-(X5/hnh)-(Y5/hnh)-(Z5/hnh)-(AA5/hnh)-nh1_1-R5-S5-T5-U5-V5-W5-X5-Y5-Z5-AA5-(TP*VE*(Co_1+Co_2+Co_3+Co_4+Co_5+Co_6+Co_7+Co_8+Co_9+Co_10+Co_11))),IF(ScI=2,(TP-H_1-((TP-H_1-(H_1*hnh)-(TP*Co_1*VE))*H_2/(TP-H_1-(H_1*hnh)))-AP4-AQ4-AR4-AS4-AT4-AU4-AV4-AW4-AX4-(H_1*hnh)-((TP-H_1-(H_1*hnh)-(TP*Co_1*VE))*H_2*hnh/(TP-H_1-(H_1*hnh)))-AP6-AQ6-AR6-AS6-AT6-AU6-AV6-AW6-AX6-(TP*Co_1*VE)-(TP*Co_2*VE)-(TP*Co_3*VE)-(TP*Co_4*VE)-(TP*Co_5*VE)-(TP*Co_6*VE)-(TP*Co_7*VE)-(TP*Co_8*VE)-(TP*Co_9*VE)-(TP*Co_10*VE)-(TP*Co_11*VE))*(H_12*hnh/(TP-H_1-H_2-H_3-H_4-H_5-H_6-H_7-H_8-H_9-H_10-H_11-(hnh*(H_1+H_2+H_3+H_4+H_5+H_6+H_7+H_8+H_9+H_10+H_11)))),0))</f>
        <v>#DIV/0!</v>
      </c>
      <c r="AC5" s="88">
        <f>IF(ScI=1,H_1*hnh,IF(ScI=2,H_1*hnh,0))</f>
        <v>0</v>
      </c>
      <c r="AD5" s="88" t="e">
        <f>IF(ScI=1,(TP-H_1-(H_1*hnh))*H_2*hnh/(TP-H_1-(H_1*hnh)-(TP*Co_1*VE)),IF(ScI=2,H_2*hnh,0))</f>
        <v>#DIV/0!</v>
      </c>
      <c r="AE5" s="88" t="e">
        <f>IF(ScI=1,(TP-H_1-((TP-H_1-(H_1*hnh))*H_2/(TP-H_1-(H_1*hnh)-(TP*Co_1*VE)))-(H_1*hnh)-((TP-H_1-(H_1*hnh))*H_2*hnh/(TP-H_1-(H_1*hnh)-(TP*Co_1*VE))))*H_3*hnh/(TP-H_1-H_2-(hnh*(H_1+H_2))-(TP*VE*(Co_1+Co_2))),IF(ScI=2,H_3*hnh,0))</f>
        <v>#DIV/0!</v>
      </c>
      <c r="AF5"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IF(ScI=2,H_6*hnh,0))</f>
        <v>#DIV/0!</v>
      </c>
      <c r="AI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IF(ScI=2,H_7*hnh,0))</f>
        <v>#DIV/0!</v>
      </c>
      <c r="AJ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IF(ScI=2,H_8*hnh,0))</f>
        <v>#DIV/0!</v>
      </c>
      <c r="AK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IF(ScI=2,H_9*hnh,0))</f>
        <v>#DIV/0!</v>
      </c>
      <c r="AL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IF(ScI=2,H_10*hnh,0))</f>
        <v>#DIV/0!</v>
      </c>
      <c r="AM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IF(ScI=2,H_11*hnh,0))</f>
        <v>#DIV/0!</v>
      </c>
      <c r="AN5"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BF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BF6)*H_12*hnh/(TP-H_1-H_2-H_3-H_4-H_5-H_6-H_7-H_8-H_9-H_10-H_11-(hnh*(H_1+H_2+H_3+H_4+H_5+H_6+H_7+H_8+H_9+H_10+H_11))-(TP*VE*(Co_1+Co_2+Co_3+Co_4+Co_5+Co_6+Co_7+Co_8+Co_9+Co_10+Co_11))),IF(ScI=2,H_12*hnh,0))</f>
        <v>#DIV/0!</v>
      </c>
      <c r="AP5" s="103" t="s">
        <v>82</v>
      </c>
      <c r="AQ5" s="103" t="s">
        <v>83</v>
      </c>
      <c r="AR5" s="103" t="s">
        <v>84</v>
      </c>
      <c r="AS5" s="103" t="s">
        <v>85</v>
      </c>
      <c r="AT5" s="103" t="s">
        <v>86</v>
      </c>
      <c r="AU5" s="103" t="s">
        <v>87</v>
      </c>
      <c r="AV5" s="103" t="s">
        <v>88</v>
      </c>
      <c r="AW5" s="103" t="s">
        <v>89</v>
      </c>
      <c r="AX5" s="103" t="s">
        <v>90</v>
      </c>
      <c r="AZ5" s="103" t="s">
        <v>106</v>
      </c>
      <c r="BA5" s="103" t="s">
        <v>92</v>
      </c>
      <c r="BB5" s="103" t="s">
        <v>98</v>
      </c>
      <c r="BC5" s="103" t="s">
        <v>99</v>
      </c>
      <c r="BD5" s="103" t="s">
        <v>100</v>
      </c>
      <c r="BE5" s="103" t="s">
        <v>101</v>
      </c>
      <c r="BF5" s="103" t="s">
        <v>102</v>
      </c>
    </row>
    <row r="6" spans="1:58" x14ac:dyDescent="0.25">
      <c r="E6">
        <v>1</v>
      </c>
      <c r="F6" s="113" t="str">
        <f>'3. Model'!AE18</f>
        <v>Fail</v>
      </c>
      <c r="G6" s="31">
        <f>'3. Model'!AB18</f>
        <v>0</v>
      </c>
      <c r="H6" s="31" t="e">
        <f>'3. Model'!AH$18</f>
        <v>#VALUE!</v>
      </c>
      <c r="I6" s="31">
        <f>'3. Model'!AA$18</f>
        <v>0</v>
      </c>
      <c r="J6" s="31" t="e">
        <f>'3. Model'!AG$18</f>
        <v>#VALUE!</v>
      </c>
      <c r="K6" s="31">
        <f>'3. Model'!AC$18</f>
        <v>0</v>
      </c>
      <c r="L6" s="31" t="e">
        <f>'3. Model'!AI$18</f>
        <v>#VALUE!</v>
      </c>
      <c r="M6" s="31">
        <f>'3. Model'!AD$18</f>
        <v>0</v>
      </c>
      <c r="N6" s="31" t="e">
        <f>'3. Model'!AJ$18</f>
        <v>#VALUE!</v>
      </c>
      <c r="P6" t="s">
        <v>107</v>
      </c>
      <c r="Q6" s="31">
        <f>'3. Model'!D6</f>
        <v>0</v>
      </c>
      <c r="R6" s="97">
        <f>'3. Model'!D7</f>
        <v>0</v>
      </c>
      <c r="S6" s="97">
        <f>'3. Model'!D8</f>
        <v>0</v>
      </c>
      <c r="T6" s="97">
        <f>'3. Model'!D9</f>
        <v>0</v>
      </c>
      <c r="U6" s="97">
        <f>'3. Model'!D10</f>
        <v>0</v>
      </c>
      <c r="V6" s="97">
        <f>'3. Model'!D11</f>
        <v>0</v>
      </c>
      <c r="W6" s="97">
        <f>'3. Model'!D12</f>
        <v>0</v>
      </c>
      <c r="X6" s="97">
        <f>'3. Model'!D13</f>
        <v>0</v>
      </c>
      <c r="Y6" s="97">
        <f>'3. Model'!D14</f>
        <v>0</v>
      </c>
      <c r="Z6" s="97">
        <f>'3. Model'!D15</f>
        <v>0</v>
      </c>
      <c r="AA6" s="97">
        <f>'3. Model'!D16</f>
        <v>0</v>
      </c>
      <c r="AB6" s="97">
        <f>'3. Model'!D17</f>
        <v>0</v>
      </c>
      <c r="AC6" s="98" t="e">
        <f>'3. Model'!S6</f>
        <v>#DIV/0!</v>
      </c>
      <c r="AD6" s="98" t="e">
        <f>'3. Model'!S7</f>
        <v>#DIV/0!</v>
      </c>
      <c r="AE6" s="98" t="e">
        <f>'3. Model'!S8</f>
        <v>#DIV/0!</v>
      </c>
      <c r="AF6" s="98" t="e">
        <f>'3. Model'!S9</f>
        <v>#DIV/0!</v>
      </c>
      <c r="AG6" s="98" t="e">
        <f>'3. Model'!S10</f>
        <v>#DIV/0!</v>
      </c>
      <c r="AH6" s="98" t="e">
        <f>'3. Model'!S11</f>
        <v>#DIV/0!</v>
      </c>
      <c r="AI6" s="98" t="e">
        <f>'3. Model'!S12</f>
        <v>#DIV/0!</v>
      </c>
      <c r="AJ6" s="98" t="e">
        <f>'3. Model'!S13</f>
        <v>#DIV/0!</v>
      </c>
      <c r="AK6" s="98" t="e">
        <f>'3. Model'!S14</f>
        <v>#DIV/0!</v>
      </c>
      <c r="AL6" s="98" t="e">
        <f>'3. Model'!S15</f>
        <v>#DIV/0!</v>
      </c>
      <c r="AM6" s="98" t="e">
        <f>'3. Model'!S16</f>
        <v>#DIV/0!</v>
      </c>
      <c r="AN6" s="98" t="e">
        <f>'3. Model'!S17</f>
        <v>#DIV/0!</v>
      </c>
      <c r="AP6" s="103" t="e">
        <f>((TP-H_1-((TP-H_1-(H_1*hnh)-(TP*Co_1*VE))*H_2/(TP-H_1-(H_1*hnh)))-(H_1*hnh)-((TP-H_1-(H_1*hnh)-(TP*Co_1*VE))*H_2*hnh/(TP-H_1-(H_1*hnh)))-(TP*Co_1*VE)-(TP*Co_2*VE))*(H_3*hnh/(TP-H_1-H_2-(hnh*(H_1+H_2)))))</f>
        <v>#DIV/0!</v>
      </c>
      <c r="AQ6" s="103" t="e">
        <f>(TP-H_1-((TP-H_1-(H_1*hnh)-(TP*Co_1*VE))*H_2/(TP-H_1-(H_1*hnh)))-AP4-(H_1*hnh)-((TP-H_1-(H_1*hnh)-(TP*Co_1*VE))*H_2*hnh/(TP-H_1-(H_1*hnh)))-AP6-(TP*Co_1*VE)-(TP*Co_2*VE)-(TP*Co_3*VE))*(H_4*hnh/(TP-H_1-H_2-H_3-(hnh*(H_1+H_2+H_3))))</f>
        <v>#DIV/0!</v>
      </c>
      <c r="AR6" s="103" t="e">
        <f>(TP-H_1-((TP-H_1-(H_1*hnh)-(TP*Co_1*VE))*H_2/(TP-H_1-(H_1*hnh)))-AP4-AQ4-(H_1*hnh)-((TP-H_1-(H_1*hnh)-(TP*Co_1*VE))*H_2*hnh/(TP-H_1-(H_1*hnh)))-AP6-AQ6-(TP*Co_1*VE)-(TP*Co_2*VE)-(TP*Co_3*VE)-(TP*Co_4*VE))*(H_5*hnh/(TP-H_1-H_2-H_3-H_4-(hnh*(H_1+H_2+H_3+H_4))))</f>
        <v>#DIV/0!</v>
      </c>
      <c r="AS6" s="103" t="e">
        <f>(TP-H_1-((TP-H_1-(H_1*hnh)-(TP*Co_1*VE))*H_2/(TP-H_1-(H_1*hnh)))-AP4-AQ4-AR4-(H_1*hnh)-((TP-H_1-(H_1*hnh)-(TP*Co_1*VE))*H_2*hnh/(TP-H_1-(H_1*hnh)))-AP6-AQ6-AR6-(TP*Co_1*VE)-(TP*Co_2*VE)-(TP*Co_3*VE)-(TP*Co_4*VE)-(TP*Co_5*VE))*(H_6*hnh/(TP-H_1-H_2-H_3-H_4-H_5-(hnh*(H_1+H_2+H_3+H_4+H_5))))</f>
        <v>#DIV/0!</v>
      </c>
      <c r="AT6" s="103" t="e">
        <f>(TP-H_1-((TP-H_1-(H_1*hnh)-(TP*Co_1*VE))*H_2/(TP-H_1-(H_1*hnh)))-AP4-AQ4-AR4-AS4-(H_1*hnh)-((TP-H_1-(H_1*hnh)-(TP*Co_1*VE))*H_2*hnh/(TP-H_1-(H_1*hnh)))-AP6-AQ6-AR6-AS6-(TP*Co_1*VE)-(TP*Co_2*VE)-(TP*Co_3*VE)-(TP*Co_4*VE)-(TP*Co_5*VE)-(TP*Co_6*VE))*(H_7*hnh/(TP-H_1-H_2-H_3-H_4-H_5-H_6-(hnh*(H_1+H_2+H_3+H_4+H_5+H_6))))</f>
        <v>#DIV/0!</v>
      </c>
      <c r="AU6" s="103" t="e">
        <f>(TP-H_1-((TP-H_1-(H_1*hnh)-(TP*Co_1*VE))*H_2/(TP-H_1-(H_1*hnh)))-AP4-AQ4-AR4-AS4-AT4-(H_1*hnh)-((TP-H_1-(H_1*hnh)-(TP*Co_1*VE))*H_2*hnh/(TP-H_1-(H_1*hnh)))-AP6-AQ6-AR6-AS6-AT6-(TP*Co_1*VE)-(TP*Co_2*VE)-(TP*Co_3*VE)-(TP*Co_4*VE)-(TP*Co_5*VE)-(TP*Co_6*VE)-(TP*Co_7*VE))*(H_8*hnh/(TP-H_1-H_2-H_3-H_4-H_5-H_6-H_7-(hnh*(H_1+H_2+H_3+H_4+H_5+H_6+H_7))))</f>
        <v>#DIV/0!</v>
      </c>
      <c r="AV6" s="103" t="e">
        <f>(TP-H_1-((TP-H_1-(H_1*hnh)-(TP*Co_1*VE))*H_2/(TP-H_1-(H_1*hnh)))-AP4-AQ4-AR4-AS4-AT4-AU4-(H_1*hnh)-((TP-H_1-(H_1*hnh)-(TP*Co_1*VE))*H_2*hnh/(TP-H_1-(H_1*hnh)))-AP6-AQ6-AR6-AS6-AT6-AU6-(TP*Co_1*VE)-(TP*Co_2*VE)-(TP*Co_3*VE)-(TP*Co_4*VE)-(TP*Co_5*VE)-(TP*Co_6*VE)-(TP*Co_7*VE)-(TP*Co_8*VE))*(H_9*hnh/(TP-H_1-H_2-H_3-H_4-H_5-H_6-H_7-H_8-(hnh*(H_1+H_2+H_3+H_4+H_5+H_6+H_7+H_8))))</f>
        <v>#DIV/0!</v>
      </c>
      <c r="AW6" s="103" t="e">
        <f>(TP-H_1-((TP-H_1-(H_1*hnh)-(TP*Co_1*VE))*H_2/(TP-H_1-(H_1*hnh)))-AP4-AQ4-AR4-AS4-AT4-AU4-AV4-(H_1*hnh)-((TP-H_1-(H_1*hnh)-(TP*Co_1*VE))*H_2*hnh/(TP-H_1-(H_1*hnh)))-AP6-AQ6-AR6-AS6-AT6-AU6-AV6-(TP*Co_1*VE)-(TP*Co_2*VE)-(TP*Co_3*VE)-(TP*Co_4*VE)-(TP*Co_5*VE)-(TP*Co_6*VE)-(TP*Co_7*VE)-(TP*Co_8*VE)-(TP*Co_9*VE))*(H_10*hnh/(TP-H_1-H_2-H_3-H_4-H_5-H_6-H_7-H_8-H_9-(hnh*(H_1+H_2+H_3+H_4+H_5+H_6+H_7+H_8+H_9))))</f>
        <v>#DIV/0!</v>
      </c>
      <c r="AX6" s="103" t="e">
        <f>(TP-H_1-((TP-H_1-(H_1*hnh)-(TP*Co_1*VE))*H_2/(TP-H_1-(H_1*hnh)))-AP4-AQ4-AR4-AS4-AT4-AU4-AV4-AW4-(H_1*hnh)-((TP-H_1-(H_1*hnh)-(TP*Co_1*VE))*H_2*hnh/(TP-H_1-(H_1*hnh)))-AP6-AQ6-AR6-AS6-AT6-AU6-AV6-AW6-(TP*Co_1*VE)-(TP*Co_2*VE)-(TP*Co_3*VE)-(TP*Co_4*VE)-(TP*Co_5*VE)-(TP*Co_6*VE)-(TP*Co_7*VE)-(TP*Co_8*VE)-(TP*Co_9*VE)-(TP*Co_10*VE))*(H_11*hnh/(TP-H_1-H_2-H_3-H_4-H_5-H_6-H_7-H_8-H_9-H_10-(hnh*(H_1+H_2+H_3+H_4+H_5+H_6+H_7+H_8+H_9+H_10))))</f>
        <v>#DIV/0!</v>
      </c>
      <c r="AZ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H_6*hnh/(TP-H_1-H_2-H_3-H_4-H_5-(hnh*(H_1+H_2+H_3+H_4+H_5))-(TP*VE*(Co_1+Co_2+Co_3+Co_4+Co_5)))</f>
        <v>#DIV/0!</v>
      </c>
      <c r="BB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H_7*hnh/(TP-H_1-H_2-H_3-H_4-H_5-H_6-(hnh*(H_1+H_2+H_3+H_4+H_5+H_6))-(TP*VE*(Co_1+Co_2+Co_3+Co_4+Co_5+Co_6)))</f>
        <v>#DIV/0!</v>
      </c>
      <c r="BC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H_8*hnh/(TP-H_1-H_2-H_3-H_4-H_5-H_6-H_7-(hnh*(H_1+H_2+H_3+H_4+H_5+H_6+H_7))-(TP*VE*(Co_1+Co_2+Co_3+Co_4+Co_5+Co_6+Co_7)))</f>
        <v>#DIV/0!</v>
      </c>
      <c r="BD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H_9*hnh/(TP-H_1-H_2-H_3-H_4-H_5-H_6-H_7-H_8-(hnh*(H_1+H_2+H_3+H_4+H_5+H_6+H_7+H_8))-(TP*VE*(Co_1+Co_2+Co_3+Co_4+Co_5+Co_6+Co_7+Co_8)))</f>
        <v>#DIV/0!</v>
      </c>
      <c r="BE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H_10*hnh/(TP-H_1-H_2-H_3-H_4-H_5-H_6-H_7-H_8-H_9-(hnh*(H_1+H_2+H_3+H_4+H_5+H_6+H_7+H_8+H_9))-(TP*VE*(Co_1+Co_2+Co_3+Co_4+Co_5+Co_6+Co_7+Co_8+Co_9)))</f>
        <v>#DIV/0!</v>
      </c>
      <c r="BF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BA4-BB4-BC4-BD4-BE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BA6-BB6-BC6-BD6-BE6)*H_11*hnh/(TP-H_1-H_2-H_3-H_4-H_5-H_6-H_7-H_8-H_9-H_10-(hnh*(H_1+H_2+H_3+H_4+H_5+H_6+H_7+H_8+H_9+H_10))-(TP*VE*(Co_1+Co_2+Co_3+Co_4+Co_5+Co_6+Co_7+Co_8+Co_9+Co_10)))</f>
        <v>#DIV/0!</v>
      </c>
    </row>
    <row r="7" spans="1:58" x14ac:dyDescent="0.25">
      <c r="F7" s="112"/>
    </row>
    <row r="8" spans="1:58" x14ac:dyDescent="0.25">
      <c r="E8" s="89" t="s">
        <v>56</v>
      </c>
      <c r="F8" s="94" t="e">
        <f>F6-F5</f>
        <v>#VALUE!</v>
      </c>
      <c r="G8" s="95">
        <f t="shared" ref="G8:N8" si="0">G5-G6</f>
        <v>0</v>
      </c>
      <c r="H8" s="95" t="e">
        <f t="shared" si="0"/>
        <v>#DIV/0!</v>
      </c>
      <c r="I8" s="95" t="e">
        <f t="shared" si="0"/>
        <v>#DIV/0!</v>
      </c>
      <c r="J8" s="95" t="e">
        <f t="shared" si="0"/>
        <v>#DIV/0!</v>
      </c>
      <c r="K8" s="95" t="e">
        <f t="shared" si="0"/>
        <v>#DIV/0!</v>
      </c>
      <c r="L8" s="95" t="e">
        <f t="shared" si="0"/>
        <v>#DIV/0!</v>
      </c>
      <c r="M8" s="95" t="e">
        <f t="shared" si="0"/>
        <v>#DIV/0!</v>
      </c>
      <c r="N8" s="95" t="e">
        <f t="shared" si="0"/>
        <v>#DIV/0!</v>
      </c>
      <c r="P8" s="89" t="s">
        <v>56</v>
      </c>
      <c r="Q8" s="89" t="e">
        <f>'3. Model'!AS6-Q5</f>
        <v>#DIV/0!</v>
      </c>
      <c r="R8" s="139" t="e">
        <f>'3. Model'!AS7-R5</f>
        <v>#DIV/0!</v>
      </c>
      <c r="S8" s="140" t="e">
        <f>'3. Model'!AS8-S5</f>
        <v>#DIV/0!</v>
      </c>
      <c r="T8" s="138" t="e">
        <f>'3. Model'!AS9-T5</f>
        <v>#DIV/0!</v>
      </c>
      <c r="U8" s="138" t="e">
        <f>'3. Model'!AS10-U5</f>
        <v>#DIV/0!</v>
      </c>
      <c r="V8" s="138" t="e">
        <f>'3. Model'!AS11-V5</f>
        <v>#DIV/0!</v>
      </c>
      <c r="W8" s="138" t="e">
        <f>'3. Model'!AS12-W5</f>
        <v>#DIV/0!</v>
      </c>
      <c r="X8" s="138" t="e">
        <f>'3. Model'!AS13-X5</f>
        <v>#DIV/0!</v>
      </c>
      <c r="Y8" s="138" t="e">
        <f>'3. Model'!AS14-Y5</f>
        <v>#DIV/0!</v>
      </c>
      <c r="Z8" s="138" t="e">
        <f>'3. Model'!AS15-Z5</f>
        <v>#DIV/0!</v>
      </c>
      <c r="AA8" s="138" t="e">
        <f>'3. Model'!AS16-AA5</f>
        <v>#DIV/0!</v>
      </c>
      <c r="AB8" s="138" t="e">
        <f>'3. Model'!AS17-AB5</f>
        <v>#DIV/0!</v>
      </c>
      <c r="AC8" s="90" t="e">
        <f t="shared" ref="AC8:AN8" si="1">AC5-AC6</f>
        <v>#DIV/0!</v>
      </c>
      <c r="AD8" s="90" t="e">
        <f t="shared" si="1"/>
        <v>#DIV/0!</v>
      </c>
      <c r="AE8" s="90" t="e">
        <f t="shared" si="1"/>
        <v>#DIV/0!</v>
      </c>
      <c r="AF8" s="90" t="e">
        <f t="shared" si="1"/>
        <v>#DIV/0!</v>
      </c>
      <c r="AG8" s="90" t="e">
        <f t="shared" si="1"/>
        <v>#DIV/0!</v>
      </c>
      <c r="AH8" s="90" t="e">
        <f t="shared" si="1"/>
        <v>#DIV/0!</v>
      </c>
      <c r="AI8" s="90" t="e">
        <f t="shared" si="1"/>
        <v>#DIV/0!</v>
      </c>
      <c r="AJ8" s="90" t="e">
        <f t="shared" si="1"/>
        <v>#DIV/0!</v>
      </c>
      <c r="AK8" s="90" t="e">
        <f t="shared" si="1"/>
        <v>#DIV/0!</v>
      </c>
      <c r="AL8" s="90" t="e">
        <f t="shared" si="1"/>
        <v>#DIV/0!</v>
      </c>
      <c r="AM8" s="90" t="e">
        <f t="shared" si="1"/>
        <v>#DIV/0!</v>
      </c>
      <c r="AN8" s="90" t="e">
        <f t="shared" si="1"/>
        <v>#DIV/0!</v>
      </c>
    </row>
    <row r="9" spans="1:58" x14ac:dyDescent="0.25">
      <c r="G9" s="25"/>
    </row>
    <row r="11" spans="1:58" x14ac:dyDescent="0.25">
      <c r="C11" s="336" t="s">
        <v>137</v>
      </c>
      <c r="D11" s="336"/>
    </row>
    <row r="12" spans="1:58" x14ac:dyDescent="0.25">
      <c r="C12" t="s">
        <v>142</v>
      </c>
      <c r="D12" t="s">
        <v>143</v>
      </c>
      <c r="E12" t="s">
        <v>138</v>
      </c>
      <c r="F12" t="s">
        <v>139</v>
      </c>
      <c r="G12" t="s">
        <v>140</v>
      </c>
      <c r="H12" t="s">
        <v>141</v>
      </c>
      <c r="J12" t="s">
        <v>151</v>
      </c>
      <c r="K12" t="s">
        <v>152</v>
      </c>
      <c r="L12" t="s">
        <v>153</v>
      </c>
      <c r="M12" t="s">
        <v>154</v>
      </c>
    </row>
    <row r="13" spans="1:58" x14ac:dyDescent="0.25">
      <c r="B13">
        <v>1</v>
      </c>
      <c r="C13" s="113">
        <f>Co_1</f>
        <v>0</v>
      </c>
      <c r="D13" s="118" t="e">
        <f>C13/SUM(C$13:C$24)</f>
        <v>#DIV/0!</v>
      </c>
      <c r="E13" s="113" t="e">
        <f>sCo_1*Cd_1</f>
        <v>#DIV/0!</v>
      </c>
      <c r="F13" s="113" t="e">
        <f>sCo_2*Cd_1</f>
        <v>#DIV/0!</v>
      </c>
      <c r="G13" s="113" t="e">
        <f>sCo_3*Cd_1</f>
        <v>#DIV/0!</v>
      </c>
      <c r="H13" s="113" t="e">
        <f>sCo_4*Cd_1</f>
        <v>#DIV/0!</v>
      </c>
      <c r="J13">
        <f>Scenarios!O22</f>
        <v>0.25</v>
      </c>
      <c r="K13">
        <f>Scenarios!P22</f>
        <v>0.5</v>
      </c>
      <c r="L13">
        <f>Scenarios!Q22</f>
        <v>0.5</v>
      </c>
      <c r="M13">
        <f>Scenarios!R22</f>
        <v>0.75</v>
      </c>
    </row>
    <row r="14" spans="1:58" x14ac:dyDescent="0.25">
      <c r="B14">
        <v>2</v>
      </c>
      <c r="C14" s="113">
        <f>Co_2</f>
        <v>0</v>
      </c>
      <c r="D14" s="118" t="e">
        <f t="shared" ref="D14:D24" si="2">C14/SUM(C$13:C$24)</f>
        <v>#DIV/0!</v>
      </c>
      <c r="E14" s="113" t="e">
        <f>sCo_1*Cd_2</f>
        <v>#DIV/0!</v>
      </c>
      <c r="F14" s="113" t="e">
        <f>sCo_2*Cd_2</f>
        <v>#DIV/0!</v>
      </c>
      <c r="G14" s="113" t="e">
        <f>sCo_3*Cd_2</f>
        <v>#DIV/0!</v>
      </c>
      <c r="H14" s="113" t="e">
        <f>sCo_4*Cd_2</f>
        <v>#DIV/0!</v>
      </c>
      <c r="J14">
        <f>Scenarios!O23</f>
        <v>0.25</v>
      </c>
      <c r="K14">
        <f>Scenarios!P23</f>
        <v>0.25</v>
      </c>
      <c r="L14">
        <f>Scenarios!Q23</f>
        <v>0.5</v>
      </c>
      <c r="M14">
        <f>Scenarios!R23</f>
        <v>0.25</v>
      </c>
    </row>
    <row r="15" spans="1:58" x14ac:dyDescent="0.25">
      <c r="B15">
        <v>3</v>
      </c>
      <c r="C15" s="113">
        <f>Co_3</f>
        <v>0</v>
      </c>
      <c r="D15" s="118" t="e">
        <f t="shared" si="2"/>
        <v>#DIV/0!</v>
      </c>
      <c r="E15" s="113" t="e">
        <f>sCo_1*Cd_3</f>
        <v>#DIV/0!</v>
      </c>
      <c r="F15" s="113" t="e">
        <f>sCo_2*Cd_3</f>
        <v>#DIV/0!</v>
      </c>
      <c r="G15" s="113" t="e">
        <f>sCo_3*Cd_3</f>
        <v>#DIV/0!</v>
      </c>
      <c r="H15" s="113" t="e">
        <f>sCo_4*Cd_3</f>
        <v>#DIV/0!</v>
      </c>
      <c r="J15">
        <f>Scenarios!O24</f>
        <v>0.25</v>
      </c>
      <c r="K15">
        <f>Scenarios!P24</f>
        <v>0.25</v>
      </c>
      <c r="L15">
        <f>Scenarios!Q24</f>
        <v>0</v>
      </c>
      <c r="M15">
        <f>Scenarios!R24</f>
        <v>0</v>
      </c>
    </row>
    <row r="16" spans="1:58" x14ac:dyDescent="0.25">
      <c r="B16">
        <v>4</v>
      </c>
      <c r="C16" s="113">
        <f>Co_4</f>
        <v>0</v>
      </c>
      <c r="D16" s="118" t="e">
        <f t="shared" si="2"/>
        <v>#DIV/0!</v>
      </c>
      <c r="E16" s="113" t="e">
        <f>sCo_1*Cd_4</f>
        <v>#DIV/0!</v>
      </c>
      <c r="F16" s="113" t="e">
        <f>sCo_2*Cd_4</f>
        <v>#DIV/0!</v>
      </c>
      <c r="G16" s="113" t="e">
        <f>sCo_3*Cd_4</f>
        <v>#DIV/0!</v>
      </c>
      <c r="H16" s="113" t="e">
        <f>sCo_4*Cd_4</f>
        <v>#DIV/0!</v>
      </c>
      <c r="J16">
        <f>Scenarios!O25</f>
        <v>0.25</v>
      </c>
      <c r="K16">
        <f>Scenarios!P25</f>
        <v>0</v>
      </c>
      <c r="L16">
        <f>Scenarios!Q25</f>
        <v>0</v>
      </c>
      <c r="M16">
        <f>Scenarios!R25</f>
        <v>0</v>
      </c>
    </row>
    <row r="17" spans="1:58" x14ac:dyDescent="0.25">
      <c r="B17">
        <v>5</v>
      </c>
      <c r="C17" s="113">
        <f>Co_5</f>
        <v>0</v>
      </c>
      <c r="D17" s="118" t="e">
        <f t="shared" si="2"/>
        <v>#DIV/0!</v>
      </c>
      <c r="E17" s="113" t="e">
        <f>sCo_1*Cd_5</f>
        <v>#DIV/0!</v>
      </c>
      <c r="F17" s="113" t="e">
        <f>sCo_2*Cd_5</f>
        <v>#DIV/0!</v>
      </c>
      <c r="G17" s="113" t="e">
        <f>sCo_3*Cd_5</f>
        <v>#DIV/0!</v>
      </c>
      <c r="H17" s="113" t="e">
        <f>sCo_4*Cd_5</f>
        <v>#DIV/0!</v>
      </c>
      <c r="J17">
        <f>Scenarios!O26</f>
        <v>0</v>
      </c>
      <c r="K17">
        <f>Scenarios!P26</f>
        <v>0</v>
      </c>
      <c r="L17">
        <f>Scenarios!Q26</f>
        <v>0</v>
      </c>
      <c r="M17">
        <f>Scenarios!R26</f>
        <v>0</v>
      </c>
    </row>
    <row r="18" spans="1:58" x14ac:dyDescent="0.25">
      <c r="B18">
        <v>6</v>
      </c>
      <c r="C18" s="113">
        <f>Co_6</f>
        <v>0</v>
      </c>
      <c r="D18" s="118" t="e">
        <f t="shared" si="2"/>
        <v>#DIV/0!</v>
      </c>
      <c r="E18" s="113" t="e">
        <f>sCo_1*Cd_6</f>
        <v>#DIV/0!</v>
      </c>
      <c r="F18" s="113" t="e">
        <f>sCo_2*Cd_6</f>
        <v>#DIV/0!</v>
      </c>
      <c r="G18" s="113" t="e">
        <f>sCo_3*Cd_6</f>
        <v>#DIV/0!</v>
      </c>
      <c r="H18" s="113" t="e">
        <f>sCo_4*Cd_6</f>
        <v>#DIV/0!</v>
      </c>
      <c r="J18">
        <f>Scenarios!O27</f>
        <v>0</v>
      </c>
      <c r="K18">
        <f>Scenarios!P27</f>
        <v>0</v>
      </c>
      <c r="L18">
        <f>Scenarios!Q27</f>
        <v>0</v>
      </c>
      <c r="M18">
        <f>Scenarios!R27</f>
        <v>0</v>
      </c>
    </row>
    <row r="19" spans="1:58" x14ac:dyDescent="0.25">
      <c r="B19">
        <v>7</v>
      </c>
      <c r="C19" s="113">
        <f>Co_7</f>
        <v>0</v>
      </c>
      <c r="D19" s="118" t="e">
        <f t="shared" si="2"/>
        <v>#DIV/0!</v>
      </c>
      <c r="E19" s="113" t="e">
        <f>sCo_1*Cd_7</f>
        <v>#DIV/0!</v>
      </c>
      <c r="F19" s="113" t="e">
        <f>sCo_2*Cd_7</f>
        <v>#DIV/0!</v>
      </c>
      <c r="G19" s="113" t="e">
        <f>sCo_3*Cd_7</f>
        <v>#DIV/0!</v>
      </c>
      <c r="H19" s="113" t="e">
        <f>sCo_4*Cd_7</f>
        <v>#DIV/0!</v>
      </c>
      <c r="J19">
        <f>Scenarios!O28</f>
        <v>0</v>
      </c>
      <c r="K19">
        <f>Scenarios!P28</f>
        <v>0</v>
      </c>
      <c r="L19">
        <f>Scenarios!Q28</f>
        <v>0</v>
      </c>
      <c r="M19">
        <f>Scenarios!R28</f>
        <v>0</v>
      </c>
    </row>
    <row r="20" spans="1:58" x14ac:dyDescent="0.25">
      <c r="B20">
        <v>8</v>
      </c>
      <c r="C20" s="113">
        <f>Co_8</f>
        <v>0</v>
      </c>
      <c r="D20" s="118" t="e">
        <f t="shared" si="2"/>
        <v>#DIV/0!</v>
      </c>
      <c r="E20" s="113" t="e">
        <f>sCo_1*Cd_8</f>
        <v>#DIV/0!</v>
      </c>
      <c r="F20" s="113" t="e">
        <f>sCo_2*Cd_8</f>
        <v>#DIV/0!</v>
      </c>
      <c r="G20" s="113" t="e">
        <f>sCo_3*Cd_8</f>
        <v>#DIV/0!</v>
      </c>
      <c r="H20" s="113" t="e">
        <f>sCo_4*Cd_8</f>
        <v>#DIV/0!</v>
      </c>
      <c r="J20">
        <f>Scenarios!O29</f>
        <v>0</v>
      </c>
      <c r="K20">
        <f>Scenarios!P29</f>
        <v>0</v>
      </c>
      <c r="L20">
        <f>Scenarios!Q29</f>
        <v>0</v>
      </c>
      <c r="M20">
        <f>Scenarios!R29</f>
        <v>0</v>
      </c>
    </row>
    <row r="21" spans="1:58" x14ac:dyDescent="0.25">
      <c r="B21">
        <v>9</v>
      </c>
      <c r="C21" s="113">
        <f>Co_9</f>
        <v>0</v>
      </c>
      <c r="D21" s="118" t="e">
        <f t="shared" si="2"/>
        <v>#DIV/0!</v>
      </c>
      <c r="E21" s="113" t="e">
        <f>sCo_1*Cd_9</f>
        <v>#DIV/0!</v>
      </c>
      <c r="F21" s="113" t="e">
        <f>sCo_2*Cd_9</f>
        <v>#DIV/0!</v>
      </c>
      <c r="G21" s="113" t="e">
        <f>sCo_3*Cd_9</f>
        <v>#DIV/0!</v>
      </c>
      <c r="H21" s="113" t="e">
        <f>sCo_4*Cd_9</f>
        <v>#DIV/0!</v>
      </c>
      <c r="J21">
        <f>Scenarios!O30</f>
        <v>0</v>
      </c>
      <c r="K21">
        <f>Scenarios!P30</f>
        <v>0</v>
      </c>
      <c r="L21">
        <f>Scenarios!Q30</f>
        <v>0</v>
      </c>
      <c r="M21">
        <f>Scenarios!R30</f>
        <v>0</v>
      </c>
    </row>
    <row r="22" spans="1:58" x14ac:dyDescent="0.25">
      <c r="B22">
        <v>10</v>
      </c>
      <c r="C22" s="113">
        <f>Co_10</f>
        <v>0</v>
      </c>
      <c r="D22" s="118" t="e">
        <f t="shared" si="2"/>
        <v>#DIV/0!</v>
      </c>
      <c r="E22" s="113" t="e">
        <f>sCo_1*Cd_10</f>
        <v>#DIV/0!</v>
      </c>
      <c r="F22" s="113" t="e">
        <f>sCo_2*Cd_10</f>
        <v>#DIV/0!</v>
      </c>
      <c r="G22" s="113" t="e">
        <f>sCo_3*Cd_10</f>
        <v>#DIV/0!</v>
      </c>
      <c r="H22" s="113" t="e">
        <f>sCo_4*Cd_10</f>
        <v>#DIV/0!</v>
      </c>
      <c r="J22">
        <f>Scenarios!O31</f>
        <v>0</v>
      </c>
      <c r="K22">
        <f>Scenarios!P31</f>
        <v>0</v>
      </c>
      <c r="L22">
        <f>Scenarios!Q31</f>
        <v>0</v>
      </c>
      <c r="M22">
        <f>Scenarios!R31</f>
        <v>0</v>
      </c>
    </row>
    <row r="23" spans="1:58" x14ac:dyDescent="0.25">
      <c r="B23">
        <v>11</v>
      </c>
      <c r="C23" s="113">
        <f>Co_11</f>
        <v>0</v>
      </c>
      <c r="D23" s="118" t="e">
        <f t="shared" si="2"/>
        <v>#DIV/0!</v>
      </c>
      <c r="E23" s="113" t="e">
        <f>sCo_1*Cd_11</f>
        <v>#DIV/0!</v>
      </c>
      <c r="F23" s="113" t="e">
        <f>sCo_2*Cd_11</f>
        <v>#DIV/0!</v>
      </c>
      <c r="G23" s="113" t="e">
        <f>sCo_3*Cd_11</f>
        <v>#DIV/0!</v>
      </c>
      <c r="H23" s="113" t="e">
        <f>sCo_4*Cd_11</f>
        <v>#DIV/0!</v>
      </c>
      <c r="J23">
        <f>Scenarios!O32</f>
        <v>0</v>
      </c>
      <c r="K23">
        <f>Scenarios!P32</f>
        <v>0</v>
      </c>
      <c r="L23">
        <f>Scenarios!Q32</f>
        <v>0</v>
      </c>
      <c r="M23">
        <f>Scenarios!R32</f>
        <v>0</v>
      </c>
    </row>
    <row r="24" spans="1:58" x14ac:dyDescent="0.25">
      <c r="B24">
        <v>12</v>
      </c>
      <c r="C24" s="113">
        <f>Co_12</f>
        <v>0</v>
      </c>
      <c r="D24" s="118" t="e">
        <f t="shared" si="2"/>
        <v>#DIV/0!</v>
      </c>
      <c r="E24" s="113" t="e">
        <f>sCo_1*Cd_12</f>
        <v>#DIV/0!</v>
      </c>
      <c r="F24" s="113" t="e">
        <f>sCo_2*Cd_12</f>
        <v>#DIV/0!</v>
      </c>
      <c r="G24" s="113" t="e">
        <f>sCo_3*Cd_12</f>
        <v>#DIV/0!</v>
      </c>
      <c r="H24" s="113" t="e">
        <f>sCo_4*Cd_12</f>
        <v>#DIV/0!</v>
      </c>
      <c r="J24">
        <f>Scenarios!O33</f>
        <v>0</v>
      </c>
      <c r="K24">
        <f>Scenarios!P33</f>
        <v>0</v>
      </c>
      <c r="L24">
        <f>Scenarios!Q33</f>
        <v>0</v>
      </c>
      <c r="M24">
        <f>Scenarios!R33</f>
        <v>0</v>
      </c>
    </row>
    <row r="25" spans="1:58" x14ac:dyDescent="0.25">
      <c r="B25" t="s">
        <v>131</v>
      </c>
      <c r="C25" s="106">
        <f t="shared" ref="C25:H25" si="3">SUM(C13:C24)</f>
        <v>0</v>
      </c>
      <c r="D25" s="31" t="e">
        <f t="shared" si="3"/>
        <v>#DIV/0!</v>
      </c>
      <c r="E25" s="106" t="e">
        <f t="shared" si="3"/>
        <v>#DIV/0!</v>
      </c>
      <c r="F25" s="106" t="e">
        <f t="shared" si="3"/>
        <v>#DIV/0!</v>
      </c>
      <c r="G25" s="106" t="e">
        <f t="shared" si="3"/>
        <v>#DIV/0!</v>
      </c>
      <c r="H25" s="106" t="e">
        <f t="shared" si="3"/>
        <v>#DIV/0!</v>
      </c>
      <c r="J25">
        <f>SUM(J13:J24)</f>
        <v>1</v>
      </c>
      <c r="K25">
        <f>SUM(K13:K24)</f>
        <v>1</v>
      </c>
      <c r="L25">
        <f>SUM(L13:L24)</f>
        <v>1</v>
      </c>
      <c r="M25">
        <f>SUM(M13:M24)</f>
        <v>1</v>
      </c>
    </row>
    <row r="30" spans="1:58" s="105" customFormat="1" x14ac:dyDescent="0.25">
      <c r="A30" s="104" t="s">
        <v>138</v>
      </c>
      <c r="B30" s="104"/>
    </row>
    <row r="31" spans="1:58" hidden="1" outlineLevel="1" x14ac:dyDescent="0.25">
      <c r="Q31" s="369" t="s">
        <v>72</v>
      </c>
      <c r="R31" s="369"/>
      <c r="S31" s="369"/>
      <c r="T31" s="369"/>
      <c r="U31" s="369"/>
      <c r="V31" s="369"/>
      <c r="W31" s="369"/>
      <c r="X31" s="369"/>
      <c r="Y31" s="369"/>
      <c r="Z31" s="369"/>
      <c r="AA31" s="369"/>
      <c r="AB31" s="369"/>
      <c r="AC31" s="370" t="s">
        <v>104</v>
      </c>
      <c r="AD31" s="370"/>
      <c r="AE31" s="370"/>
      <c r="AF31" s="370"/>
      <c r="AG31" s="370"/>
      <c r="AH31" s="370"/>
      <c r="AI31" s="370"/>
      <c r="AJ31" s="370"/>
      <c r="AK31" s="370"/>
      <c r="AL31" s="370"/>
      <c r="AM31" s="370"/>
      <c r="AN31" s="370"/>
      <c r="AP31" s="103">
        <v>3</v>
      </c>
      <c r="AQ31" s="103">
        <v>4</v>
      </c>
      <c r="AR31" s="103">
        <v>5</v>
      </c>
      <c r="AS31" s="103">
        <v>6</v>
      </c>
      <c r="AT31" s="103">
        <v>7</v>
      </c>
      <c r="AU31" s="103">
        <v>8</v>
      </c>
      <c r="AV31" s="103">
        <v>9</v>
      </c>
      <c r="AW31" s="103">
        <v>10</v>
      </c>
      <c r="AX31" s="103">
        <v>11</v>
      </c>
      <c r="AZ31" s="103">
        <v>5</v>
      </c>
      <c r="BA31" s="103">
        <v>6</v>
      </c>
      <c r="BB31" s="103">
        <v>7</v>
      </c>
      <c r="BC31" s="103">
        <v>8</v>
      </c>
      <c r="BD31" s="103">
        <v>9</v>
      </c>
      <c r="BE31" s="103">
        <v>10</v>
      </c>
      <c r="BF31" s="103">
        <v>11</v>
      </c>
    </row>
    <row r="32" spans="1:58" ht="45" hidden="1" outlineLevel="1" x14ac:dyDescent="0.25">
      <c r="A32" s="11" t="s">
        <v>47</v>
      </c>
      <c r="B32" s="11"/>
      <c r="C32" s="11"/>
      <c r="D32" s="11"/>
      <c r="E32" s="11"/>
      <c r="F32" s="11"/>
      <c r="G32" s="371" t="s">
        <v>50</v>
      </c>
      <c r="H32" s="371"/>
      <c r="I32" s="372" t="s">
        <v>44</v>
      </c>
      <c r="J32" s="372"/>
      <c r="K32" s="370" t="s">
        <v>58</v>
      </c>
      <c r="L32" s="370"/>
      <c r="M32" s="372" t="s">
        <v>45</v>
      </c>
      <c r="N32" s="372"/>
      <c r="Q32" s="369" t="s">
        <v>1</v>
      </c>
      <c r="R32" s="369"/>
      <c r="S32" s="369"/>
      <c r="T32" s="369"/>
      <c r="U32" s="369"/>
      <c r="V32" s="369"/>
      <c r="W32" s="369"/>
      <c r="X32" s="369"/>
      <c r="Y32" s="369"/>
      <c r="Z32" s="369"/>
      <c r="AA32" s="369"/>
      <c r="AB32" s="369"/>
      <c r="AC32" s="370" t="s">
        <v>71</v>
      </c>
      <c r="AD32" s="370"/>
      <c r="AE32" s="370"/>
      <c r="AF32" s="370"/>
      <c r="AG32" s="370"/>
      <c r="AH32" s="370"/>
      <c r="AI32" s="370"/>
      <c r="AJ32" s="370"/>
      <c r="AK32" s="370"/>
      <c r="AL32" s="370"/>
      <c r="AM32" s="370"/>
      <c r="AN32" s="370"/>
      <c r="AP32" s="103" t="s">
        <v>73</v>
      </c>
      <c r="AQ32" s="103" t="s">
        <v>74</v>
      </c>
      <c r="AR32" s="103" t="s">
        <v>75</v>
      </c>
      <c r="AS32" s="103" t="s">
        <v>76</v>
      </c>
      <c r="AT32" s="103" t="s">
        <v>77</v>
      </c>
      <c r="AU32" s="103" t="s">
        <v>78</v>
      </c>
      <c r="AV32" s="103" t="s">
        <v>79</v>
      </c>
      <c r="AW32" s="103" t="s">
        <v>80</v>
      </c>
      <c r="AX32" s="103" t="s">
        <v>81</v>
      </c>
      <c r="AZ32" s="103" t="s">
        <v>105</v>
      </c>
      <c r="BA32" s="103" t="s">
        <v>91</v>
      </c>
      <c r="BB32" s="103" t="s">
        <v>93</v>
      </c>
      <c r="BC32" s="103" t="s">
        <v>94</v>
      </c>
      <c r="BD32" s="103" t="s">
        <v>95</v>
      </c>
      <c r="BE32" s="103" t="s">
        <v>96</v>
      </c>
      <c r="BF32" s="103" t="s">
        <v>97</v>
      </c>
    </row>
    <row r="33" spans="1:58" ht="45" hidden="1" outlineLevel="1" x14ac:dyDescent="0.25">
      <c r="A33" s="70" t="s">
        <v>40</v>
      </c>
      <c r="B33" s="70" t="s">
        <v>41</v>
      </c>
      <c r="C33" s="70" t="s">
        <v>53</v>
      </c>
      <c r="D33" s="70" t="s">
        <v>48</v>
      </c>
      <c r="E33" s="70" t="s">
        <v>42</v>
      </c>
      <c r="F33" s="76" t="s">
        <v>49</v>
      </c>
      <c r="G33" s="71" t="s">
        <v>51</v>
      </c>
      <c r="H33" s="71" t="s">
        <v>52</v>
      </c>
      <c r="I33" s="72" t="s">
        <v>51</v>
      </c>
      <c r="J33" s="72" t="s">
        <v>52</v>
      </c>
      <c r="K33" s="77" t="s">
        <v>51</v>
      </c>
      <c r="L33" s="77" t="s">
        <v>52</v>
      </c>
      <c r="M33" s="72" t="s">
        <v>51</v>
      </c>
      <c r="N33" s="72" t="s">
        <v>52</v>
      </c>
      <c r="Q33" s="102">
        <v>1</v>
      </c>
      <c r="R33" s="102">
        <v>2</v>
      </c>
      <c r="S33" s="102">
        <v>3</v>
      </c>
      <c r="T33" s="102">
        <v>4</v>
      </c>
      <c r="U33" s="102">
        <v>5</v>
      </c>
      <c r="V33" s="102">
        <v>6</v>
      </c>
      <c r="W33" s="102">
        <v>7</v>
      </c>
      <c r="X33" s="102">
        <v>8</v>
      </c>
      <c r="Y33" s="102">
        <v>9</v>
      </c>
      <c r="Z33" s="102">
        <v>10</v>
      </c>
      <c r="AA33" s="102">
        <v>11</v>
      </c>
      <c r="AB33" s="102">
        <v>12</v>
      </c>
      <c r="AC33" s="101">
        <v>1</v>
      </c>
      <c r="AD33" s="101">
        <v>2</v>
      </c>
      <c r="AE33" s="101">
        <v>3</v>
      </c>
      <c r="AF33" s="101">
        <v>4</v>
      </c>
      <c r="AG33" s="101">
        <v>5</v>
      </c>
      <c r="AH33" s="101">
        <v>6</v>
      </c>
      <c r="AI33" s="101">
        <v>7</v>
      </c>
      <c r="AJ33" s="101">
        <v>8</v>
      </c>
      <c r="AK33" s="101">
        <v>9</v>
      </c>
      <c r="AL33" s="101">
        <v>10</v>
      </c>
      <c r="AM33" s="101">
        <v>11</v>
      </c>
      <c r="AN33" s="101">
        <v>12</v>
      </c>
      <c r="AP33" s="103" t="e">
        <f>((TP-H_1-((TP-H_1-(H_1*hnh)-(TP*sCo1_1*VE))*H_2/(TP-H_1-(H_1*hnh)))-(H_1*hnh)-((TP-H_1-(H_1*hnh)-(TP*sCo1_1*VE))*H_2*hnh/(TP-H_1-(H_1*hnh)))-(TP*sCo1_1*VE)-(TP*sCo1_2*VE))*(H_3/(TP-H_1-H_2-(hnh*(H_1+H_2)))))</f>
        <v>#DIV/0!</v>
      </c>
      <c r="AQ33" s="103" t="e">
        <f>(TP-H_1-((TP-H_1-(H_1*hnh)-(TP*sCo1_1*VE))*H_2/(TP-H_1-(H_1*hnh)))-AP33-(H_1*hnh)-((TP-H_1-(H_1*hnh)-(TP*sCo1_1*VE))*H_2*hnh/(TP-H_1-(H_1*hnh)))-AP35-(TP*sCo1_1*VE)-(TP*sCo1_2*VE)-(TP*sCo1_3*VE))*(H_4/(TP-H_1-H_2-H_3-(hnh*(H_1+H_2+H_3))))</f>
        <v>#DIV/0!</v>
      </c>
      <c r="AR33" s="103" t="e">
        <f>(TP-H_1-((TP-H_1-(H_1*hnh)-(TP*sCo1_1*VE))*H_2/(TP-H_1-(H_1*hnh)))-AP33-AQ33-(H_1*hnh)-((TP-H_1-(H_1*hnh)-(TP*sCo1_1*VE))*H_2*hnh/(TP-H_1-(H_1*hnh)))-AP35-AQ35-(TP*sCo1_1*VE)-(TP*sCo1_2*VE)-(TP*sCo1_3*VE)-(TP*sCo1_4*VE))*(H_5/(TP-H_1-H_2-H_3-H_4-(hnh*(H_1+H_2+H_3+H_4))))</f>
        <v>#DIV/0!</v>
      </c>
      <c r="AS33" s="103" t="e">
        <f>(TP-H_1-((TP-H_1-(H_1*hnh)-(TP*sCo1_1*VE))*H_2/(TP-H_1-(H_1*hnh)))-AP33-AQ33-AR33-(H_1*hnh)-((TP-H_1-(H_1*hnh)-(TP*sCo1_1*VE))*H_2*hnh/(TP-H_1-(H_1*hnh)))-AP35-AQ35-AR35-(TP*sCo1_1*VE)-(TP*sCo1_2*VE)-(TP*sCo1_3*VE)-(TP*sCo1_4*VE)-(TP*sCo1_5*VE))*(H_6/(TP-H_1-H_2-H_3-H_4-H_5-(hnh*(H_1+H_2+H_3+H_4+H_5))))</f>
        <v>#DIV/0!</v>
      </c>
      <c r="AT33" s="103" t="e">
        <f>(TP-H_1-((TP-H_1-(H_1*hnh)-(TP*sCo1_1*VE))*H_2/(TP-H_1-(H_1*hnh)))-AP33-AQ33-AR33-AS33-(H_1*hnh)-((TP-H_1-(H_1*hnh)-(TP*sCo1_1*VE))*H_2*hnh/(TP-H_1-(H_1*hnh)))-AP35-AQ35-AR35-AS35-(TP*sCo1_1*VE)-(TP*sCo1_2*VE)-(TP*sCo1_3*VE)-(TP*sCo1_4*VE)-(TP*sCo1_5*VE)-(TP*sCo1_6*VE))*(H_7/(TP-H_1-H_2-H_3-H_4-H_5-H_6-(hnh*(H_1+H_2+H_3+H_4+H_5+H_6))))</f>
        <v>#DIV/0!</v>
      </c>
      <c r="AU33" s="103" t="e">
        <f>(TP-H_1-((TP-H_1-(H_1*hnh)-(TP*sCo1_1*VE))*H_2/(TP-H_1-(H_1*hnh)))-AP33-AQ33-AR33-AS33-AT33-(H_1*hnh)-((TP-H_1-(H_1*hnh)-(TP*sCo1_1*VE))*H_2*hnh/(TP-H_1-(H_1*hnh)))-AP35-AQ35-AR35-AS35-AT35-(TP*sCo1_1*VE)-(TP*sCo1_2*VE)-(TP*sCo1_3*VE)-(TP*sCo1_4*VE)-(TP*sCo1_5*VE)-(TP*sCo1_6*VE)-(TP*sCo1_7*VE))*(H_8/(TP-H_1-H_2-H_3-H_4-H_5-H_6-H_7-(hnh*(H_1+H_2+H_3+H_4+H_5+H_6+H_7))))</f>
        <v>#DIV/0!</v>
      </c>
      <c r="AV33" s="103" t="e">
        <f>(TP-H_1-((TP-H_1-(H_1*hnh)-(TP*sCo1_1*VE))*H_2/(TP-H_1-(H_1*hnh)))-AP33-AQ33-AR33-AS33-AT33-AU33-(H_1*hnh)-((TP-H_1-(H_1*hnh)-(TP*sCo1_1*VE))*H_2*hnh/(TP-H_1-(H_1*hnh)))-AP35-AQ35-AR35-AS35-AT35-AU35-(TP*sCo1_1*VE)-(TP*sCo1_2*VE)-(TP*sCo1_3*VE)-(TP*sCo1_4*VE)-(TP*sCo1_5*VE)-(TP*sCo1_6*VE)-(TP*sCo1_7*VE)-(TP*sCo1_8*VE))*(H_9/(TP-H_1-H_2-H_3-H_4-H_5-H_6-H_7-H_8-(hnh*(H_1+H_2+H_3+H_4+H_5+H_6+H_7+H_8))))</f>
        <v>#DIV/0!</v>
      </c>
      <c r="AW33" s="103" t="e">
        <f>(TP-H_1-((TP-H_1-(H_1*hnh)-(TP*sCo1_1*VE))*H_2/(TP-H_1-(H_1*hnh)))-AP33-AQ33-AR33-AS33-AT33-AU33-AV33-(H_1*hnh)-((TP-H_1-(H_1*hnh)-(TP*sCo1_1*VE))*H_2*hnh/(TP-H_1-(H_1*hnh)))-AP35-AQ35-AR35-AS35-AT35-AU35-AV35-(TP*sCo1_1*VE)-(TP*sCo1_2*VE)-(TP*sCo1_3*VE)-(TP*sCo1_4*VE)-(TP*sCo1_5*VE)-(TP*sCo1_6*VE)-(TP*sCo1_7*VE)-(TP*sCo1_8*VE)-(TP*sCo1_9*VE))*(H_10/(TP-H_1-H_2-H_3-H_4-H_5-H_6-H_7-H_8-H_9-(hnh*(H_1+H_2+H_3+H_4+H_5+H_6+H_7+H_8+H_9))))</f>
        <v>#DIV/0!</v>
      </c>
      <c r="AX33" s="103" t="e">
        <f>(TP-H_1-((TP-H_1-(H_1*hnh)-(TP*sCo1_1*VE))*H_2/(TP-H_1-(H_1*hnh)))-AP33-AQ33-AR33-AS33-AT33-AU33-AV33-AW33-(H_1*hnh)-((TP-H_1-(H_1*hnh)-(TP*sCo1_1*VE))*H_2*hnh/(TP-H_1-(H_1*hnh)))-AP35-AQ35-AR35-AS35-AT35-AU35-AV35-AW35-(TP*sCo1_1*VE)-(TP*sCo1_2*VE)-(TP*sCo1_3*VE)-(TP*sCo1_4*VE)-(TP*sCo1_5*VE)-(TP*sCo1_6*VE)-(TP*sCo1_7*VE)-(TP*sCo1_8*VE)-(TP*sCo1_9*VE)-(TP*sCo1_10*VE))*(H_11/(TP-H_1-H_2-H_3-H_4-H_5-H_6-H_7-H_8-H_9-H_10-(hnh*(H_1+H_2+H_3+H_4+H_5+H_6+H_7+H_8+H_9+H_10))))</f>
        <v>#DIV/0!</v>
      </c>
      <c r="AZ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H_6/(TP-H_1-H_2-H_3-H_4-H_5-(hnh*(H_1+H_2+H_3+H_4+H_5))-(TP*VE*(Co_1+Co_2+Co_3+Co_4+Co_5)))</f>
        <v>#DIV/0!</v>
      </c>
      <c r="BB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H_7/(TP-H_1-H_2-H_3-H_4-H_5-H_6-(hnh*(H_1+H_2+H_3+H_4+H_5+H_6))-(TP*VE*(Co_1+Co_2+Co_3+Co_4+Co_5+Co_6)))</f>
        <v>#DIV/0!</v>
      </c>
      <c r="BC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H_8/(TP-H_1-H_2-H_3-H_4-H_5-H_6-H_7-(hnh*(H_1+H_2+H_3+H_4+H_5+H_6+H_7))-(TP*VE*(Co_1+Co_2+Co_3+Co_4+Co_5+Co_6+Co_7)))</f>
        <v>#DIV/0!</v>
      </c>
      <c r="BD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H_9/(TP-H_1-H_2-H_3-H_4-H_5-H_6-H_7-H_8-(hnh*(H_1+H_2+H_3+H_4+H_5+H_6+H_7+H_8))-(TP*VE*(Co_1+Co_2+Co_3+Co_4+Co_5+Co_6+Co_7+Co_8)))</f>
        <v>#DIV/0!</v>
      </c>
      <c r="BE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H_10/(TP-H_1-H_2-H_3-H_4-H_5-H_6-H_7-H_8-H_9-(hnh*(H_1+H_2+H_3+H_4+H_5+H_6+H_7+H_8+H_9))-(TP*VE*(Co_1+Co_2+Co_3+Co_4+Co_5+Co_6+Co_7+Co_8+Co_9)))</f>
        <v>#DIV/0!</v>
      </c>
      <c r="BF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H_11/(TP-H_1-H_2-H_3-H_4-H_5-H_6-H_7-H_8-H_9-H_10-(hnh*(H_1+H_2+H_3+H_4+H_5+H_6+H_7+H_8+H_9+H_10))-(TP*VE*(Co_1+Co_2+Co_3+Co_4+Co_5+Co_6+Co_7+Co_8+Co_9+Co_10)))</f>
        <v>#DIV/0!</v>
      </c>
    </row>
    <row r="34" spans="1:58" hidden="1" outlineLevel="1" x14ac:dyDescent="0.25">
      <c r="A34" s="73">
        <f>season</f>
        <v>0</v>
      </c>
      <c r="B34" s="73">
        <f>TG</f>
        <v>0</v>
      </c>
      <c r="C34" s="73">
        <f>TP</f>
        <v>0</v>
      </c>
      <c r="D34" s="74">
        <f>sCo_1</f>
        <v>0.05</v>
      </c>
      <c r="E34" s="75">
        <f>VE</f>
        <v>0</v>
      </c>
      <c r="F34" s="78" t="e">
        <f>G34/IF(mb=1,SUM(AC34:AN34),IF(mb=2,SUM(AD34:AN34),IF(mb=3,SUM(AE34:AN34),IF(mb=4,SUM(AF34:AN34),IF(mb=5,SUM(AG34:AN34),IF(mb=6,SUM(AH34:AN34),IF(mb=7,SUM(AI34:AN34),IF(mb=8,SUM(AJ34:AN34),0))))))))</f>
        <v>#DIV/0!</v>
      </c>
      <c r="G34" s="42">
        <f>IF(mb=1,SUM(AC34:AN34)-SUM(Q34:AB34),IF(mb=2,SUM(AD34:AN34)-SUM(R34:AB34),IF(mb=3,SUM(AE34:AN34)-SUM(S34:AB34),IF(mb=4,SUM(AF34:AN34)-SUM(T34:AB34),IF(mb=5,SUM(AG34:AN34)-SUM(U34:AB34),IF(mb=6,SUM(AH34:AN34)-SUM(V34:AB34),IF(mb=7,SUM(AI34:AN34)-SUM(W34:AB34),IF(mb=8,SUM(AJ34:AN34)-SUM(X34:AB34),0))))))))</f>
        <v>0</v>
      </c>
      <c r="H34" s="96" t="e">
        <f>1/(VE*IF(mb=1,SUM(AC34:AN34),IF(mb=2,SUM(AD34:AN34),IF(mb=3,SUM(AE34:AN34),IF(mb=4,SUM(AF34:AN34),IF(mb=5,SUM(AG34:AN34),IF(mb=6,SUM(AH34:AN34),IF(mb=7,SUM(AI34:AN34),IF(mb=8,SUM(AJ34:AN34),0))))))))/TP)</f>
        <v>#DIV/0!</v>
      </c>
      <c r="I34" s="93" t="e">
        <f>G34/hnh</f>
        <v>#DIV/0!</v>
      </c>
      <c r="J34" s="42" t="e">
        <f>1/(VE*IF(mb=1,SUM(AC34:AN34),IF(mb=2,SUM(AD34:AN34),IF(mb=3,SUM(AE34:AN34),IF(mb=4,SUM(AF34:AN34),IF(mb=5,SUM(AG34:AN34),IF(mb=6,SUM(AH34:AN34),IF(mb=7,SUM(AI34:AN34),IF(mb=8,SUM(AJ34:AN34),0))))))))/(TP*hnh))</f>
        <v>#DIV/0!</v>
      </c>
      <c r="K34" s="42" t="e">
        <f>M34*mai</f>
        <v>#DIV/0!</v>
      </c>
      <c r="L34" s="42" t="e">
        <f>1/(VE*((IF(mb=1,SUM(AC34:AN34),IF(mb=2,SUM(AD34:AN34),IF(mb=3,SUM(AE34:AN34),IF(mb=4,SUM(AF34:AN34),IF(mb=5,SUM(AG34:AN34),IF(mb=6,SUM(AH34:AN34),IF(mb=7,SUM(AI34:AN34),IF(mb=8,SUM(AJ34:AN34),0))))))))+(IF(mb=1,SUM(AC34:AN34),IF(mb=2,SUM(AD34:AN34),IF(mb=3,SUM(AE34:AN34),IF(mb=4,SUM(AF34:AN34),IF(mb=5,SUM(AG34:AN34),IF(mb=6,SUM(AH34:AN34),IF(mb=7,SUM(AI34:AN34),IF(mb=8,SUM(AJ34:AN34),0)))))))))/hnh)*mai)/TP)</f>
        <v>#DIV/0!</v>
      </c>
      <c r="M34" s="42" t="e">
        <f>G34+I34</f>
        <v>#DIV/0!</v>
      </c>
      <c r="N34" s="42" t="e">
        <f>1/(VE*(IF(mb=1,SUM(AC34:AN34),IF(mb=2,SUM(AD34:AN34),IF(mb=3,SUM(AE34:AN34),IF(mb=4,SUM(AF34:AN34),IF(mb=5,SUM(AG34:AN34),IF(mb=6,SUM(AH34:AN34),IF(mb=7,SUM(AI34:AN34),IF(mb=8,SUM(AJ34:AN34),0))))))))+(IF(mb=1,SUM(AC34:AN34),IF(mb=2,SUM(AD34:AN34),IF(mb=3,SUM(AE34:AN34),IF(mb=4,SUM(AF34:AN34),IF(mb=5,SUM(AG34:AN34),IF(mb=6,SUM(AH34:AN34),IF(mb=7,SUM(AI34:AN34),IF(mb=8,SUM(AJ34:AN34),0)))))))))/hnh)/TP)</f>
        <v>#DIV/0!</v>
      </c>
      <c r="Q34" s="86" t="e">
        <f>IF(ISc=1,nh1_1,IF(ISc=2,H_1*hnh,0))</f>
        <v>#DIV/0!</v>
      </c>
      <c r="R34" s="111" t="e">
        <f>IF(ScI=1,((nh1_2/(TP-(nh1_1/hnh)-nh1_1))*(TP-(nh1_1/hnh)-nh1_1-(TP*sCo1_1*VE))),IF(ScI=2,(TP-H_1-(H_1*hnh)-(TP*sCo1_1*VE))*(H_2*hnh/(TP-H_1-(H_1*hnh))),0))</f>
        <v>#DIV/0!</v>
      </c>
      <c r="S34" s="86" t="e">
        <f>IF(ScI=1,(nh1_3/(TP-((nh1_1+nh1_2)/hnh)-nh1_1-nh1_2))*(TP-(nh1_1/hnh)-(R34/hnh)-nh1_1-R34-(TP*VE*(sCo1_1+sCo1_2))),IF(ScI=2,(TP-H_1-((TP-H_1-(H_1*hnh)-(TP*sCo1_1*VE))*H_2/(TP-H_1-(H_1*hnh)))-(H_1*hnh)-((TP-H_1-(H_1*hnh)-(TP*sCo1_1*VE))*H_2*hnh/(TP-H_1-(H_1*hnh)))-(TP*sCo1_1*VE)-(TP*sCo1_2*VE))*(H_3*hnh/(TP-H_1-H_2-(hnh*(H_1+H_2)))),0))</f>
        <v>#DIV/0!</v>
      </c>
      <c r="T34" s="86" t="e">
        <f>IF(ScI=1,(nh1_4/(TP-(nh1_1/hnh)-(nh1_2/hnh)-(nh1_3/hnh)-nh1_1-nh1_2-nh1_3))*(TP-(nh1_1/hnh)-(R34/hnh)-(S34/hnh)-nh1_1-R34-S34-(TP*VE*(sCo1_1+sCo1_2+sCo1_3))),IF(ScI=2,(TP-H_1-((TP-H_1-(H_1*hnh)-(TP*sCo1_1*VE))*H_2/(TP-H_1-(H_1*hnh)))-((TP-H_1-(((TP-H_1-(H_1*hnh)-(TP*sCo1_1*VE))*H_2/(TP-H_1-(H_1*hnh))))-(H_1*hnh)-((TP-H_1-(H_1*hnh)-(TP*sCo1_1*VE))*H_2*hnh/(TP-H_1-(H_1*hnh)))-(TP*sCo1_1*VE)-(TP*sCo1_2*VE))*(H_3/(TP-H_1-H_2-(hnh*(H_1+H_2)))))-(H_1*hnh)-((TP-H_1-(H_1*hnh)-(TP*sCo1_1*VE))*H_2*hnh/(TP-H_1-(H_1*hnh)))-((TP-H_1-(((TP-H_1-(H_1*hnh)-(TP*sCo1_1*VE))*H_2/(TP-H_1-(H_1*hnh))))-(H_1*hnh)-(((TP-H_1-(H_1*hnh)-(TP*sCo1_1*VE))*H_2*hnh/(TP-H_1-(H_1*hnh))))-(TP*sCo1_1*VE)-(TP*sCo1_2*VE))*(H_3*hnh/(TP-H_1-H_2-(hnh*(H_1+H_2)))))-(TP*sCo1_1*VE)-(TP*sCo1_2*VE)-(TP*sCo1_3*VE))*(H_4*hnh/(TP-H_1-H_2-H_3-(hnh*(H_1+H_2+H_3)))),0))</f>
        <v>#DIV/0!</v>
      </c>
      <c r="U34" s="86" t="e">
        <f>IF(ScI=1,(nh1_5/(TP-(nh1_1/hnh)-(nh1_2/hnh)-(nh1_3/hnh)-(nh1_4/hnh)-nh1_1-nh1_2-nh1_3-nh1_4))*(TP-(nh1_1/hnh)-(R34/hnh)-(S34/hnh)-(T34/hnh)-nh1_1-R34-S34-T34-(TP*VE*(sCo1_1+sCo1_2+sCo1_3+sCo1_4))),IF(ScI=2,(TP-H_1-(((TP-H_1-(H_1*hnh)-(TP*sCo1_1*VE))*H_2/(TP-H_1-(H_1*hnh))))-AP33-AQ33-(H_1*hnh)-((TP-H_1-(H_1*hnh)-(TP*sCo1_1*VE))*H_2*hnh/(TP-H_1-(H_1*hnh)))-AP35-AQ35-(TP*sCo1_1*VE)-(TP*sCo1_2*VE)-(TP*sCo1_3*VE)-(TP*sCo1_4*VE))*(H_5*hnh/(TP-H_1-H_2-H_3-H_4-(hnh*(H_1+H_2+H_3+H_4)))),0))</f>
        <v>#DIV/0!</v>
      </c>
      <c r="V34" s="86" t="e">
        <f>IF(ScI=1,(nh1_6/(TP-(nh1_1/hnh)-(nh1_2/hnh)-(nh1_3/hnh)-(nh1_4/hnh)-(nh1_5/hnh)-nh1_1-nh1_2-nh1_3-nh1_4-nh1_5))*(TP-(nh1_1/hnh)-(R34/hnh)-(S34/hnh)-(T34/hnh)-(U34/hnh)-nh1_1-R34-S34-T34-U34-(TP*VE*(sCo1_1+sCo1_2+sCo1_3+sCo1_4+sCo1_5))),IF(ScI=2,(TP-H_1-((TP-H_1-(H_1*hnh)-(TP*sCo1_1*VE))*H_2/(TP-H_1-(H_1*hnh)))-AP33-AQ33-AR33-(H_1*hnh)-((TP-H_1-(H_1*hnh)-(TP*sCo1_1*VE))*H_2*hnh/(TP-H_1-(H_1*hnh)))-AP35-AQ35-AR35-(TP*sCo1_1*VE)-(TP*sCo1_2*VE)-(TP*sCo1_3*VE)-(TP*sCo1_4*VE)-(TP*sCo1_5*VE))*(H_6*hnh/(TP-H_1-H_2-H_3-H_4-H_5-(hnh*(H_1+H_2+H_3+H_4+H_5)))),0))</f>
        <v>#DIV/0!</v>
      </c>
      <c r="W34" s="86" t="e">
        <f>IF(ScI=1,(nh1_7/(TP-(nh1_1/hnh)-(nh1_2/hnh)-(nh1_3/hnh)-(nh1_4/hnh)-(nh1_5/hnh)-(nh1_6/hnh)-nh1_1-nh1_2-nh1_3-nh1_4-nh1_5-nh1_6))*(TP-(nh1_1/hnh)-(R34/hnh)-(S34/hnh)-(T34/hnh)-(U34/hnh)-(V34/hnh)-nh1_1-R34-S34-T34-U34-V34-(TP*VE*(sCo1_1+sCo1_2+sCo1_3+sCo1_4+sCo1_5+sCo1_6))),IF(ScI=2,(TP-H_1-((TP-H_1-(H_1*hnh)-(TP*sCo1_1*VE))*H_2/(TP-H_1-(H_1*hnh)))-AP33-AQ33-AR33-AS33-(H_1*hnh)-((TP-H_1-(H_1*hnh)-(TP*sCo1_1*VE))*H_2*hnh/(TP-H_1-(H_1*hnh)))-AP35-AQ35-AR35-AS35-(TP*sCo1_1*VE)-(TP*sCo1_2*VE)-(TP*sCo1_3*VE)-(TP*sCo1_4*VE)-(TP*sCo1_5*VE)-(TP*sCo1_6*VE))*(H_7*hnh/(TP-H_1-H_2-H_3-H_4-H_5-H_6-(hnh*(H_1+H_2+H_3+H_4+H_5+H_6)))),0))</f>
        <v>#DIV/0!</v>
      </c>
      <c r="X34" s="86" t="e">
        <f>IF(ScI=1,(nh1_8/(TP-(nh1_1/hnh)-(nh1_2/hnh)-(nh1_3/hnh)-(nh1_4/hnh)-(nh1_5/hnh)-(nh1_6/hnh)-(nh1_7/hnh)-nh1_1-nh1_2-nh1_3-nh1_4-nh1_5-nh1_6-nh1_7))*(TP-(nh1_1/hnh)-(R34/hnh)-(S34/hnh)-(T34/hnh)-(U34/hnh)-(V34/hnh)-(W34/hnh)-nh1_1-R34-S34-T34-U34-V34-W34-(TP*VE*(sCo1_1+sCo1_2+sCo1_3+sCo1_4+sCo1_5+sCo1_6+sCo1_7))),IF(ScI=2,(TP-H_1-((TP-H_1-(H_1*hnh)-(TP*sCo1_1*VE))*H_2/(TP-H_1-(H_1*hnh)))-AP33-AQ33-AR33-AS33-AT33-(H_1*hnh)-((TP-H_1-(H_1*hnh)-(TP*sCo1_1*VE))*H_2*hnh/(TP-H_1-(H_1*hnh)))-AP35-AQ35-AR35-AS35-AT35-(TP*sCo1_1*VE)-(TP*sCo1_2*VE)-(TP*sCo1_3*VE)-(TP*sCo1_4*VE)-(TP*sCo1_5*VE)-(TP*sCo1_6*VE)-(TP*sCo1_7*VE))*(H_8*hnh/(TP-H_1-H_2-H_3-H_4-H_5-H_6-H_7-(hnh*(H_1+H_2+H_3+H_4+H_5+H_6+H_7)))),0))</f>
        <v>#DIV/0!</v>
      </c>
      <c r="Y34" s="86" t="e">
        <f>IF(ScI=1,(nh1_9/(TP-(nh1_1/hnh)-(nh1_2/hnh)-(nh1_3/hnh)-(nh1_4/hnh)-(nh1_5/hnh)-(nh1_6/hnh)-(nh1_7/hnh)-(nh1_8/hnh)-nh1_1-nh1_2-nh1_3-nh1_4-nh1_5-nh1_6-nh1_7-nh1_8))*(TP-(nh1_1/hnh)-(R34/hnh)-(S34/hnh)-(T34/hnh)-(U34/hnh)-(V34/hnh)-(W34/hnh)-(X34/hnh)-nh1_1-R34-S34-T34-U34-V34-W34-X34-(TP*VE*(sCo1_1+sCo1_2+sCo1_3+sCo1_4+sCo1_5+sCo1_6+sCo1_7+sCo1_8))),IF(ScI=2,(TP-H_1-((TP-H_1-(H_1*hnh)-(TP*sCo1_1*VE))*H_2/(TP-H_1-(H_1*hnh)))-AP33-AQ33-AR33-AS33-AT33-AU33-(H_1*hnh)-((TP-H_1-(H_1*hnh)-(TP*sCo1_1*VE))*H_2*hnh/(TP-H_1-(H_1*hnh)))-AP35-AQ35-AR35-AS35-AT35-AU35-(TP*sCo1_1*VE)-(TP*sCo1_2*VE)-(TP*sCo1_3*VE)-(TP*sCo1_4*VE)-(TP*sCo1_5*VE)-(TP*sCo1_6*VE)-(TP*sCo1_7*VE)-(TP*sCo1_8*VE))*(H_9*hnh/(TP-H_1-H_2-H_3-H_4-H_5-H_6-H_7-H_8-(hnh*(H_1+H_2+H_3+H_4+H_5+H_6+H_7+H_8)))),0))</f>
        <v>#DIV/0!</v>
      </c>
      <c r="Z34" s="86" t="e">
        <f>IF(ScI=1,(nh1_10/(TP-(nh1_1/hnh)-(nh1_2/hnh)-(nh1_3/hnh)-(nh1_4/hnh)-(nh1_5/hnh)-(nh1_6/hnh)-(nh1_7/hnh)-(nh1_8/hnh)-(nh1_9/hnh)-nh1_1-nh1_2-nh1_3-nh1_4-nh1_5-nh1_6-nh1_7-nh1_8-nh1_9))*(TP-(nh1_1/hnh)-(R34/hnh)-(S34/hnh)-(T34/hnh)-(U34/hnh)-(V34/hnh)-(W34/hnh)-(X34/hnh)-(Y34/hnh)-nh1_1-R34-S34-T34-U34-V34-W34-X34-Y34-(TP*VE*(sCo1_1+sCo1_2+sCo1_3+sCo1_4+sCo1_5+sCo1_6+sCo1_7+sCo1_8+sCo1_9))),IF(ScI=2,(TP-H_1-((TP-H_1-(H_1*hnh)-(TP*sCo1_1*VE))*H_2/(TP-H_1-(H_1*hnh)))-AP33-AQ33-AR33-AS33-AT33-AU33-AV33-(H_1*hnh)-((TP-H_1-(H_1*hnh)-(TP*sCo1_1*VE))*H_2*hnh/(TP-H_1-(H_1*hnh)))-AP35-AQ35-AR35-AS35-AT35-AU35-AV35-(TP*sCo1_1*VE)-(TP*sCo1_2*VE)-(TP*sCo1_3*VE)-(TP*sCo1_4*VE)-(TP*sCo1_5*VE)-(TP*sCo1_6*VE)-(TP*sCo1_7*VE)-(TP*sCo1_8*VE)-(TP*sCo1_9*VE))*(H_10*hnh/(TP-H_1-H_2-H_3-H_4-H_5-H_6-H_7-H_8-H_9-(hnh*(H_1+H_2+H_3+H_4+H_5+H_6+H_7+H_8+H_9)))),0))</f>
        <v>#DIV/0!</v>
      </c>
      <c r="AA34" s="86" t="e">
        <f>IF(ScI=1,(nh1_11/(TP-(nh1_1/hnh)-(nh1_2/hnh)-(nh1_3/hnh)-(nh1_4/hnh)-(nh1_5/hnh)-(nh1_6/hnh)-(nh1_7/hnh)-(nh1_8/hnh)-(nh1_9/hnh)-(nh1_10/hnh)-nh1_1-nh1_2-nh1_3-nh1_4-nh1_5-nh1_6-nh1_7-nh1_8-nh1_9-nh1_10))*(TP-(nh1_1/hnh)-(R34/hnh)-(S34/hnh)-(T34/hnh)-(U34/hnh)-(V34/hnh)-(W34/hnh)-(X34/hnh)-(Y34/hnh)-(Z34/hnh)-nh1_1-R34-S34-T34-U34-V34-W34-X34-Y34-Z34-(TP*VE*(sCo1_1+sCo1_2+sCo1_3+sCo1_4+sCo1_5+sCo1_6+sCo1_7+sCo1_8+sCo1_9+sCo1_10))),IF(ScI=2,(TP-H_1-((TP-H_1-(H_1*hnh)-(TP*sCo1_1*VE))*H_2/(TP-H_1-(H_1*hnh)))-AP33-AQ33-AR33-AS33-AT33-AU33-AV33-AW33-(H_1*hnh)-((TP-H_1-(H_1*hnh)-(TP*sCo1_1*VE))*H_2*hnh/(TP-H_1-(H_1*hnh)))-AP35-AQ35-AR35-AS35-AT35-AU35-AV35-AW35-(TP*sCo1_1*VE)-(TP*sCo1_2*VE)-(TP*sCo1_3*VE)-(TP*sCo1_4*VE)-(TP*sCo1_5*VE)-(TP*sCo1_6*VE)-(TP*sCo1_7*VE)-(TP*sCo1_8*VE)-(TP*sCo1_9*VE)-(TP*sCo1_10*VE))*(H_11*hnh/(TP-H_1-H_2-H_3-H_4-H_5-H_6-H_7-H_8-H_9-H_10-(hnh*(H_1+H_2+H_3+H_4+H_5+H_6+H_7+H_8+H_9+H_10)))),0))</f>
        <v>#DIV/0!</v>
      </c>
      <c r="AB34" s="86" t="e">
        <f>IF(ScI=1,(nh1_12/(TP-(nh1_1/hnh)-(nh1_2/hnh)-(nh1_3/hnh)-(nh1_4/hnh)-(nh1_5/hnh)-(nh1_6/hnh)-(nh1_7/hnh)-(nh1_8/hnh)-(nh1_9/hnh)-(nh1_10/hnh)-(nh1_11/hnh)-nh1_1-nh1_2-nh1_3-nh1_4-nh1_5-nh1_6-nh1_7-nh1_8-nh1_9-nh1_10-nh1_11))*(TP-(nh1_1/hnh)-(R34/hnh)-(S34/hnh)-(T34/hnh)-(U34/hnh)-(V34/hnh)-(W34/hnh)-(X34/hnh)-(Y34/hnh)-(Z34/hnh)-(AA34/hnh)-nh1_1-R34-S34-T34-U34-V34-W34-X34-Y34-Z34-AA34-(TP*VE*(sCo1_1+sCo1_2+sCo1_3+sCo1_4+sCo1_5+sCo1_6+sCo1_7+sCo1_8+sCo1_9+sCo1_10+sCo1_11))),IF(ScI=2,(TP-H_1-((TP-H_1-(H_1*hnh)-(TP*sCo1_1*VE))*H_2/(TP-H_1-(H_1*hnh)))-AP33-AQ33-AR33-AS33-AT33-AU33-AV33-AW33-AX33-(H_1*hnh)-((TP-H_1-(H_1*hnh)-(TP*sCo1_1*VE))*H_2*hnh/(TP-H_1-(H_1*hnh)))-AP35-AQ35-AR35-AS35-AT35-AU35-AV35-AW35-AX35-(TP*sCo1_1*VE)-(TP*sCo1_2*VE)-(TP*sCo1_3*VE)-(TP*sCo1_4*VE)-(TP*sCo1_5*VE)-(TP*sCo1_6*VE)-(TP*sCo1_7*VE)-(TP*sCo1_8*VE)-(TP*sCo1_9*VE)-(TP*sCo1_10*VE)-(TP*sCo1_11*VE))*(H_12*hnh/(TP-H_1-H_2-H_3-H_4-H_5-H_6-H_7-H_8-H_9-H_10-H_11-(hnh*(H_1+H_2+H_3+H_4+H_5+H_6+H_7+H_8+H_9+H_10+H_11)))),0))</f>
        <v>#DIV/0!</v>
      </c>
      <c r="AC34" s="88">
        <f>IF(ScI=1,H_1*hnh,IF(ScI=2,H_1*hnh,0))</f>
        <v>0</v>
      </c>
      <c r="AD34" s="88" t="e">
        <f>IF(ScI=1,(TP-H_1-(H_1*hnh))*H_2*hnh/(TP-H_1-(H_1*hnh)-(TP*Co_1*VE)),IF(ScI=2,H_2*hnh,0))</f>
        <v>#DIV/0!</v>
      </c>
      <c r="AE34" s="88" t="e">
        <f>IF(ScI=1,(TP-H_1-((TP-H_1-(H_1*hnh))*H_2/(TP-H_1-(H_1*hnh)-(TP*Co_1*VE)))-(H_1*hnh)-((TP-H_1-(H_1*hnh))*H_2*hnh/(TP-H_1-(H_1*hnh)-(TP*Co_1*VE))))*H_3*hnh/(TP-H_1-H_2-(hnh*(H_1+H_2))-(TP*VE*(Co_1+Co_2))),IF(ScI=2,H_3*hnh,0))</f>
        <v>#DIV/0!</v>
      </c>
      <c r="AF34"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H_6*hnh/(TP-H_1-H_2-H_3-H_4-H_5-(hnh*(H_1+H_2+H_3+H_4+H_5))-(TP*VE*(Co_1+Co_2+Co_3+Co_4+Co_5))),IF(ScI=2,H_6*hnh,0))</f>
        <v>#DIV/0!</v>
      </c>
      <c r="AI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H_7*hnh/(TP-H_1-H_2-H_3-H_4-H_5-H_6-(hnh*(H_1+H_2+H_3+H_4+H_5+H_6))-(TP*VE*(Co_1+Co_2+Co_3+Co_4+Co_5+Co_6))),IF(ScI=2,H_7*hnh,0))</f>
        <v>#DIV/0!</v>
      </c>
      <c r="AJ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H_8*hnh/(TP-H_1-H_2-H_3-H_4-H_5-H_6-H_7-(hnh*(H_1+H_2+H_3+H_4+H_5+H_6+H_7))-(TP*VE*(Co_1+Co_2+Co_3+Co_4+Co_5+Co_6+Co_7))),IF(ScI=2,H_8*hnh,0))</f>
        <v>#DIV/0!</v>
      </c>
      <c r="AK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H_9*hnh/(TP-H_1-H_2-H_3-H_4-H_5-H_6-H_7-H_8-(hnh*(H_1+H_2+H_3+H_4+H_5+H_6+H_7+H_8))-(TP*VE*(Co_1+Co_2+Co_3+Co_4+Co_5+Co_6+Co_7+Co_8))),IF(ScI=2,H_9*hnh,0))</f>
        <v>#DIV/0!</v>
      </c>
      <c r="AL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H_10*hnh/(TP-H_1-H_2-H_3-H_4-H_5-H_6-H_7-H_8-H_9-(hnh*(H_1+H_2+H_3+H_4+H_5+H_6+H_7+H_8+H_9))-(TP*VE*(Co_1+Co_2+Co_3+Co_4+Co_5+Co_6+Co_7+Co_8+Co_9))),IF(ScI=2,H_10*hnh,0))</f>
        <v>#DIV/0!</v>
      </c>
      <c r="AM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H_11*hnh/(TP-H_1-H_2-H_3-H_4-H_5-H_6-H_7-H_8-H_9-H_10-(hnh*(H_1+H_2+H_3+H_4+H_5+H_6+H_7+H_8+H_9+H_10))-(TP*VE*(Co_1+Co_2+Co_3+Co_4+Co_5+Co_6+Co_7+Co_8+Co_9+Co_10))),IF(ScI=2,H_11*hnh,0))</f>
        <v>#DIV/0!</v>
      </c>
      <c r="AN34"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BF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BF35)*H_12*hnh/(TP-H_1-H_2-H_3-H_4-H_5-H_6-H_7-H_8-H_9-H_10-H_11-(hnh*(H_1+H_2+H_3+H_4+H_5+H_6+H_7+H_8+H_9+H_10+H_11))-(TP*VE*(Co_1+Co_2+Co_3+Co_4+Co_5+Co_6+Co_7+Co_8+Co_9+Co_10+Co_11))),IF(ScI=2,H_12*hnh,0))</f>
        <v>#DIV/0!</v>
      </c>
      <c r="AP34" s="103" t="s">
        <v>82</v>
      </c>
      <c r="AQ34" s="103" t="s">
        <v>83</v>
      </c>
      <c r="AR34" s="103" t="s">
        <v>84</v>
      </c>
      <c r="AS34" s="103" t="s">
        <v>85</v>
      </c>
      <c r="AT34" s="103" t="s">
        <v>86</v>
      </c>
      <c r="AU34" s="103" t="s">
        <v>87</v>
      </c>
      <c r="AV34" s="103" t="s">
        <v>88</v>
      </c>
      <c r="AW34" s="103" t="s">
        <v>89</v>
      </c>
      <c r="AX34" s="103" t="s">
        <v>90</v>
      </c>
      <c r="AZ34" s="103" t="s">
        <v>106</v>
      </c>
      <c r="BA34" s="103" t="s">
        <v>92</v>
      </c>
      <c r="BB34" s="103" t="s">
        <v>98</v>
      </c>
      <c r="BC34" s="103" t="s">
        <v>99</v>
      </c>
      <c r="BD34" s="103" t="s">
        <v>100</v>
      </c>
      <c r="BE34" s="103" t="s">
        <v>101</v>
      </c>
      <c r="BF34" s="103" t="s">
        <v>102</v>
      </c>
    </row>
    <row r="35" spans="1:58" hidden="1" outlineLevel="1" x14ac:dyDescent="0.25">
      <c r="F35" s="113"/>
      <c r="G35" s="31"/>
      <c r="H35" s="31"/>
      <c r="I35" s="31"/>
      <c r="J35" s="31"/>
      <c r="K35" s="31"/>
      <c r="L35" s="31"/>
      <c r="M35" s="31"/>
      <c r="N35" s="31"/>
      <c r="Q35" s="118" t="e">
        <f>Q34-Q5</f>
        <v>#DIV/0!</v>
      </c>
      <c r="R35" s="118" t="e">
        <f t="shared" ref="R35:AA35" si="4">R34-R5</f>
        <v>#DIV/0!</v>
      </c>
      <c r="S35" s="118" t="e">
        <f t="shared" si="4"/>
        <v>#DIV/0!</v>
      </c>
      <c r="T35" s="118" t="e">
        <f t="shared" si="4"/>
        <v>#DIV/0!</v>
      </c>
      <c r="U35" s="118" t="e">
        <f t="shared" si="4"/>
        <v>#DIV/0!</v>
      </c>
      <c r="V35" s="118" t="e">
        <f t="shared" si="4"/>
        <v>#DIV/0!</v>
      </c>
      <c r="W35" s="118" t="e">
        <f t="shared" si="4"/>
        <v>#DIV/0!</v>
      </c>
      <c r="X35" s="118" t="e">
        <f t="shared" si="4"/>
        <v>#DIV/0!</v>
      </c>
      <c r="Y35" s="118" t="e">
        <f t="shared" si="4"/>
        <v>#DIV/0!</v>
      </c>
      <c r="Z35" s="118" t="e">
        <f t="shared" si="4"/>
        <v>#DIV/0!</v>
      </c>
      <c r="AA35" s="118" t="e">
        <f t="shared" si="4"/>
        <v>#DIV/0!</v>
      </c>
      <c r="AB35" s="118" t="e">
        <f>AB34-AB5</f>
        <v>#DIV/0!</v>
      </c>
      <c r="AC35" s="118">
        <f t="shared" ref="AC35:AN35" si="5">AC34-AC5</f>
        <v>0</v>
      </c>
      <c r="AD35" s="118" t="e">
        <f t="shared" si="5"/>
        <v>#DIV/0!</v>
      </c>
      <c r="AE35" s="118" t="e">
        <f t="shared" si="5"/>
        <v>#DIV/0!</v>
      </c>
      <c r="AF35" s="118" t="e">
        <f t="shared" si="5"/>
        <v>#DIV/0!</v>
      </c>
      <c r="AG35" s="118" t="e">
        <f t="shared" si="5"/>
        <v>#DIV/0!</v>
      </c>
      <c r="AH35" s="118" t="e">
        <f t="shared" si="5"/>
        <v>#DIV/0!</v>
      </c>
      <c r="AI35" s="118" t="e">
        <f t="shared" si="5"/>
        <v>#DIV/0!</v>
      </c>
      <c r="AJ35" s="118" t="e">
        <f t="shared" si="5"/>
        <v>#DIV/0!</v>
      </c>
      <c r="AK35" s="118" t="e">
        <f t="shared" si="5"/>
        <v>#DIV/0!</v>
      </c>
      <c r="AL35" s="118" t="e">
        <f t="shared" si="5"/>
        <v>#DIV/0!</v>
      </c>
      <c r="AM35" s="118" t="e">
        <f t="shared" si="5"/>
        <v>#DIV/0!</v>
      </c>
      <c r="AN35" s="118" t="e">
        <f t="shared" si="5"/>
        <v>#DIV/0!</v>
      </c>
      <c r="AP35" s="103" t="e">
        <f>((TP-H_1-((TP-H_1-(H_1*hnh)-(TP*sCo1_1*VE))*H_2/(TP-H_1-(H_1*hnh)))-(H_1*hnh)-((TP-H_1-(H_1*hnh)-(TP*sCo1_1*VE))*H_2*hnh/(TP-H_1-(H_1*hnh)))-(TP*sCo1_1*VE)-(TP*sCo1_2*VE))*(H_3*hnh/(TP-H_1-H_2-(hnh*(H_1+H_2)))))</f>
        <v>#DIV/0!</v>
      </c>
      <c r="AQ35" s="103" t="e">
        <f>(TP-H_1-((TP-H_1-(H_1*hnh)-(TP*sCo1_1*VE))*H_2/(TP-H_1-(H_1*hnh)))-AP33-(H_1*hnh)-((TP-H_1-(H_1*hnh)-(TP*sCo1_1*VE))*H_2*hnh/(TP-H_1-(H_1*hnh)))-AP35-(TP*sCo1_1*VE)-(TP*sCo1_2*VE)-(TP*sCo1_3*VE))*(H_4*hnh/(TP-H_1-H_2-H_3-(hnh*(H_1+H_2+H_3))))</f>
        <v>#DIV/0!</v>
      </c>
      <c r="AR35" s="103" t="e">
        <f>(TP-H_1-((TP-H_1-(H_1*hnh)-(TP*sCo1_1*VE))*H_2/(TP-H_1-(H_1*hnh)))-AP33-AQ33-(H_1*hnh)-((TP-H_1-(H_1*hnh)-(TP*sCo1_1*VE))*H_2*hnh/(TP-H_1-(H_1*hnh)))-AP35-AQ35-(TP*sCo1_1*VE)-(TP*sCo1_2*VE)-(TP*sCo1_3*VE)-(TP*sCo1_4*VE))*(H_5*hnh/(TP-H_1-H_2-H_3-H_4-(hnh*(H_1+H_2+H_3+H_4))))</f>
        <v>#DIV/0!</v>
      </c>
      <c r="AS35" s="103" t="e">
        <f>(TP-H_1-((TP-H_1-(H_1*hnh)-(TP*sCo1_1*VE))*H_2/(TP-H_1-(H_1*hnh)))-AP33-AQ33-AR33-(H_1*hnh)-((TP-H_1-(H_1*hnh)-(TP*sCo1_1*VE))*H_2*hnh/(TP-H_1-(H_1*hnh)))-AP35-AQ35-AR35-(TP*sCo1_1*VE)-(TP*sCo1_2*VE)-(TP*sCo1_3*VE)-(TP*sCo1_4*VE)-(TP*sCo1_5*VE))*(H_6*hnh/(TP-H_1-H_2-H_3-H_4-H_5-(hnh*(H_1+H_2+H_3+H_4+H_5))))</f>
        <v>#DIV/0!</v>
      </c>
      <c r="AT35" s="103" t="e">
        <f>(TP-H_1-((TP-H_1-(H_1*hnh)-(TP*sCo1_1*VE))*H_2/(TP-H_1-(H_1*hnh)))-AP33-AQ33-AR33-AS33-(H_1*hnh)-((TP-H_1-(H_1*hnh)-(TP*sCo1_1*VE))*H_2*hnh/(TP-H_1-(H_1*hnh)))-AP35-AQ35-AR35-AS35-(TP*sCo1_1*VE)-(TP*sCo1_2*VE)-(TP*sCo1_3*VE)-(TP*sCo1_4*VE)-(TP*sCo1_5*VE)-(TP*sCo1_6*VE))*(H_7*hnh/(TP-H_1-H_2-H_3-H_4-H_5-H_6-(hnh*(H_1+H_2+H_3+H_4+H_5+H_6))))</f>
        <v>#DIV/0!</v>
      </c>
      <c r="AU35" s="103" t="e">
        <f>(TP-H_1-((TP-H_1-(H_1*hnh)-(TP*sCo1_1*VE))*H_2/(TP-H_1-(H_1*hnh)))-AP33-AQ33-AR33-AS33-AT33-(H_1*hnh)-((TP-H_1-(H_1*hnh)-(TP*sCo1_1*VE))*H_2*hnh/(TP-H_1-(H_1*hnh)))-AP35-AQ35-AR35-AS35-AT35-(TP*sCo1_1*VE)-(TP*sCo1_2*VE)-(TP*sCo1_3*VE)-(TP*sCo1_4*VE)-(TP*sCo1_5*VE)-(TP*sCo1_6*VE)-(TP*sCo1_7*VE))*(H_8*hnh/(TP-H_1-H_2-H_3-H_4-H_5-H_6-H_7-(hnh*(H_1+H_2+H_3+H_4+H_5+H_6+H_7))))</f>
        <v>#DIV/0!</v>
      </c>
      <c r="AV35" s="103" t="e">
        <f>(TP-H_1-((TP-H_1-(H_1*hnh)-(TP*sCo1_1*VE))*H_2/(TP-H_1-(H_1*hnh)))-AP33-AQ33-AR33-AS33-AT33-AU33-(H_1*hnh)-((TP-H_1-(H_1*hnh)-(TP*sCo1_1*VE))*H_2*hnh/(TP-H_1-(H_1*hnh)))-AP35-AQ35-AR35-AS35-AT35-AU35-(TP*sCo1_1*VE)-(TP*sCo1_2*VE)-(TP*sCo1_3*VE)-(TP*sCo1_4*VE)-(TP*sCo1_5*VE)-(TP*sCo1_6*VE)-(TP*sCo1_7*VE)-(TP*sCo1_8*VE))*(H_9*hnh/(TP-H_1-H_2-H_3-H_4-H_5-H_6-H_7-H_8-(hnh*(H_1+H_2+H_3+H_4+H_5+H_6+H_7+H_8))))</f>
        <v>#DIV/0!</v>
      </c>
      <c r="AW35" s="103" t="e">
        <f>(TP-H_1-((TP-H_1-(H_1*hnh)-(TP*sCo1_1*VE))*H_2/(TP-H_1-(H_1*hnh)))-AP33-AQ33-AR33-AS33-AT33-AU33-AV33-(H_1*hnh)-((TP-H_1-(H_1*hnh)-(TP*sCo1_1*VE))*H_2*hnh/(TP-H_1-(H_1*hnh)))-AP35-AQ35-AR35-AS35-AT35-AU35-AV35-(TP*sCo1_1*VE)-(TP*sCo1_2*VE)-(TP*sCo1_3*VE)-(TP*sCo1_4*VE)-(TP*sCo1_5*VE)-(TP*sCo1_6*VE)-(TP*sCo1_7*VE)-(TP*sCo1_8*VE)-(TP*sCo1_9*VE))*(H_10*hnh/(TP-H_1-H_2-H_3-H_4-H_5-H_6-H_7-H_8-H_9-(hnh*(H_1+H_2+H_3+H_4+H_5+H_6+H_7+H_8+H_9))))</f>
        <v>#DIV/0!</v>
      </c>
      <c r="AX35" s="103" t="e">
        <f>(TP-H_1-((TP-H_1-(H_1*hnh)-(TP*sCo1_1*VE))*H_2/(TP-H_1-(H_1*hnh)))-AP33-AQ33-AR33-AS33-AT33-AU33-AV33-AW33-(H_1*hnh)-((TP-H_1-(H_1*hnh)-(TP*sCo1_1*VE))*H_2*hnh/(TP-H_1-(H_1*hnh)))-AP35-AQ35-AR35-AS35-AT35-AU35-AV35-AW35-(TP*sCo1_1*VE)-(TP*sCo1_2*VE)-(TP*sCo1_3*VE)-(TP*sCo1_4*VE)-(TP*sCo1_5*VE)-(TP*sCo1_6*VE)-(TP*sCo1_7*VE)-(TP*sCo1_8*VE)-(TP*sCo1_9*VE)-(TP*sCo1_10*VE))*(H_11*hnh/(TP-H_1-H_2-H_3-H_4-H_5-H_6-H_7-H_8-H_9-H_10-(hnh*(H_1+H_2+H_3+H_4+H_5+H_6+H_7+H_8+H_9+H_10))))</f>
        <v>#DIV/0!</v>
      </c>
      <c r="AZ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H_6*hnh/(TP-H_1-H_2-H_3-H_4-H_5-(hnh*(H_1+H_2+H_3+H_4+H_5))-(TP*VE*(Co_1+Co_2+Co_3+Co_4+Co_5)))</f>
        <v>#DIV/0!</v>
      </c>
      <c r="BB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H_7*hnh/(TP-H_1-H_2-H_3-H_4-H_5-H_6-(hnh*(H_1+H_2+H_3+H_4+H_5+H_6))-(TP*VE*(Co_1+Co_2+Co_3+Co_4+Co_5+Co_6)))</f>
        <v>#DIV/0!</v>
      </c>
      <c r="BC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H_8*hnh/(TP-H_1-H_2-H_3-H_4-H_5-H_6-H_7-(hnh*(H_1+H_2+H_3+H_4+H_5+H_6+H_7))-(TP*VE*(Co_1+Co_2+Co_3+Co_4+Co_5+Co_6+Co_7)))</f>
        <v>#DIV/0!</v>
      </c>
      <c r="BD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H_9*hnh/(TP-H_1-H_2-H_3-H_4-H_5-H_6-H_7-H_8-(hnh*(H_1+H_2+H_3+H_4+H_5+H_6+H_7+H_8))-(TP*VE*(Co_1+Co_2+Co_3+Co_4+Co_5+Co_6+Co_7+Co_8)))</f>
        <v>#DIV/0!</v>
      </c>
      <c r="BE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H_10*hnh/(TP-H_1-H_2-H_3-H_4-H_5-H_6-H_7-H_8-H_9-(hnh*(H_1+H_2+H_3+H_4+H_5+H_6+H_7+H_8+H_9))-(TP*VE*(Co_1+Co_2+Co_3+Co_4+Co_5+Co_6+Co_7+Co_8+Co_9)))</f>
        <v>#DIV/0!</v>
      </c>
      <c r="BF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33-BA33-BB33-BC33-BD33-BE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35-BA35-BB35-BC35-BD35-BE35)*H_11*hnh/(TP-H_1-H_2-H_3-H_4-H_5-H_6-H_7-H_8-H_9-H_10-(hnh*(H_1+H_2+H_3+H_4+H_5+H_6+H_7+H_8+H_9+H_10))-(TP*VE*(Co_1+Co_2+Co_3+Co_4+Co_5+Co_6+Co_7+Co_8+Co_9+Co_10)))</f>
        <v>#DIV/0!</v>
      </c>
    </row>
    <row r="36" spans="1:58" hidden="1" outlineLevel="1" x14ac:dyDescent="0.25">
      <c r="F36" s="112"/>
    </row>
    <row r="37" spans="1:58" hidden="1" outlineLevel="1" x14ac:dyDescent="0.25">
      <c r="T37" s="115"/>
      <c r="U37" s="115"/>
      <c r="V37" s="115"/>
      <c r="W37" s="115"/>
      <c r="X37" s="115"/>
      <c r="Y37" s="115"/>
      <c r="Z37" s="115"/>
      <c r="AA37" s="115"/>
      <c r="AB37" s="115"/>
    </row>
    <row r="38" spans="1:58" collapsed="1" x14ac:dyDescent="0.25">
      <c r="T38" s="116"/>
      <c r="U38" s="116"/>
      <c r="V38" s="116"/>
      <c r="W38" s="116"/>
      <c r="X38" s="116"/>
      <c r="Y38" s="116"/>
      <c r="Z38" s="116"/>
      <c r="AA38" s="116"/>
      <c r="AB38" s="116"/>
    </row>
    <row r="39" spans="1:58" s="105" customFormat="1" x14ac:dyDescent="0.25">
      <c r="A39" s="104" t="s">
        <v>139</v>
      </c>
      <c r="B39" s="104"/>
    </row>
    <row r="40" spans="1:58" hidden="1" outlineLevel="1" x14ac:dyDescent="0.25">
      <c r="Q40" s="102" t="s">
        <v>72</v>
      </c>
      <c r="R40" s="102"/>
      <c r="S40" s="102"/>
      <c r="T40" s="102"/>
      <c r="U40" s="102"/>
      <c r="V40" s="102"/>
      <c r="W40" s="102"/>
      <c r="X40" s="102"/>
      <c r="Y40" s="102"/>
      <c r="Z40" s="102"/>
      <c r="AA40" s="102"/>
      <c r="AB40" s="102"/>
      <c r="AC40" s="101" t="s">
        <v>104</v>
      </c>
      <c r="AD40" s="101"/>
      <c r="AE40" s="101"/>
      <c r="AF40" s="101"/>
      <c r="AG40" s="101"/>
      <c r="AH40" s="101"/>
      <c r="AI40" s="101"/>
      <c r="AJ40" s="101"/>
      <c r="AK40" s="101"/>
      <c r="AL40" s="101"/>
      <c r="AM40" s="101"/>
      <c r="AN40" s="101"/>
      <c r="AP40" s="103">
        <v>3</v>
      </c>
      <c r="AQ40" s="103">
        <v>4</v>
      </c>
      <c r="AR40" s="103">
        <v>5</v>
      </c>
      <c r="AS40" s="103">
        <v>6</v>
      </c>
      <c r="AT40" s="103">
        <v>7</v>
      </c>
      <c r="AU40" s="103">
        <v>8</v>
      </c>
      <c r="AV40" s="103">
        <v>9</v>
      </c>
      <c r="AW40" s="103">
        <v>10</v>
      </c>
      <c r="AX40" s="103">
        <v>11</v>
      </c>
      <c r="AZ40" s="103">
        <v>5</v>
      </c>
      <c r="BA40" s="103">
        <v>6</v>
      </c>
      <c r="BB40" s="103">
        <v>7</v>
      </c>
      <c r="BC40" s="103">
        <v>8</v>
      </c>
      <c r="BD40" s="103">
        <v>9</v>
      </c>
      <c r="BE40" s="103">
        <v>10</v>
      </c>
      <c r="BF40" s="103">
        <v>11</v>
      </c>
    </row>
    <row r="41" spans="1:58" ht="28.7" hidden="1" customHeight="1" outlineLevel="1" x14ac:dyDescent="0.25">
      <c r="A41" s="11" t="s">
        <v>47</v>
      </c>
      <c r="B41" s="11"/>
      <c r="C41" s="11"/>
      <c r="D41" s="11"/>
      <c r="E41" s="11"/>
      <c r="F41" s="11"/>
      <c r="G41" s="109" t="s">
        <v>50</v>
      </c>
      <c r="H41" s="109"/>
      <c r="I41" s="110" t="s">
        <v>44</v>
      </c>
      <c r="J41" s="110"/>
      <c r="K41" s="101" t="s">
        <v>58</v>
      </c>
      <c r="L41" s="101"/>
      <c r="M41" s="110" t="s">
        <v>45</v>
      </c>
      <c r="N41" s="110"/>
      <c r="Q41" s="102" t="s">
        <v>1</v>
      </c>
      <c r="R41" s="102"/>
      <c r="S41" s="102"/>
      <c r="T41" s="102"/>
      <c r="U41" s="102"/>
      <c r="V41" s="102"/>
      <c r="W41" s="102"/>
      <c r="X41" s="102"/>
      <c r="Y41" s="102"/>
      <c r="Z41" s="102"/>
      <c r="AA41" s="102"/>
      <c r="AB41" s="102"/>
      <c r="AC41" s="101" t="s">
        <v>71</v>
      </c>
      <c r="AD41" s="101"/>
      <c r="AE41" s="101"/>
      <c r="AF41" s="101"/>
      <c r="AG41" s="101"/>
      <c r="AH41" s="101"/>
      <c r="AI41" s="101"/>
      <c r="AJ41" s="101"/>
      <c r="AK41" s="101"/>
      <c r="AL41" s="101"/>
      <c r="AM41" s="101"/>
      <c r="AN41" s="101"/>
      <c r="AP41" s="103" t="s">
        <v>73</v>
      </c>
      <c r="AQ41" s="103" t="s">
        <v>74</v>
      </c>
      <c r="AR41" s="103" t="s">
        <v>75</v>
      </c>
      <c r="AS41" s="103" t="s">
        <v>76</v>
      </c>
      <c r="AT41" s="103" t="s">
        <v>77</v>
      </c>
      <c r="AU41" s="103" t="s">
        <v>78</v>
      </c>
      <c r="AV41" s="103" t="s">
        <v>79</v>
      </c>
      <c r="AW41" s="103" t="s">
        <v>80</v>
      </c>
      <c r="AX41" s="103" t="s">
        <v>81</v>
      </c>
      <c r="AZ41" s="103" t="s">
        <v>105</v>
      </c>
      <c r="BA41" s="103" t="s">
        <v>91</v>
      </c>
      <c r="BB41" s="103" t="s">
        <v>93</v>
      </c>
      <c r="BC41" s="103" t="s">
        <v>94</v>
      </c>
      <c r="BD41" s="103" t="s">
        <v>95</v>
      </c>
      <c r="BE41" s="103" t="s">
        <v>96</v>
      </c>
      <c r="BF41" s="103" t="s">
        <v>97</v>
      </c>
    </row>
    <row r="42" spans="1:58" ht="45" hidden="1" outlineLevel="1" x14ac:dyDescent="0.25">
      <c r="A42" s="70" t="s">
        <v>40</v>
      </c>
      <c r="B42" s="70" t="s">
        <v>41</v>
      </c>
      <c r="C42" s="70" t="s">
        <v>53</v>
      </c>
      <c r="D42" s="70" t="s">
        <v>48</v>
      </c>
      <c r="E42" s="70" t="s">
        <v>42</v>
      </c>
      <c r="F42" s="76" t="s">
        <v>49</v>
      </c>
      <c r="G42" s="71" t="s">
        <v>51</v>
      </c>
      <c r="H42" s="71" t="s">
        <v>52</v>
      </c>
      <c r="I42" s="72" t="s">
        <v>51</v>
      </c>
      <c r="J42" s="72" t="s">
        <v>52</v>
      </c>
      <c r="K42" s="77" t="s">
        <v>51</v>
      </c>
      <c r="L42" s="77" t="s">
        <v>52</v>
      </c>
      <c r="M42" s="72" t="s">
        <v>51</v>
      </c>
      <c r="N42" s="72" t="s">
        <v>52</v>
      </c>
      <c r="Q42" s="102">
        <v>1</v>
      </c>
      <c r="R42" s="102">
        <v>2</v>
      </c>
      <c r="S42" s="102">
        <v>3</v>
      </c>
      <c r="T42" s="102">
        <v>4</v>
      </c>
      <c r="U42" s="102">
        <v>5</v>
      </c>
      <c r="V42" s="102">
        <v>6</v>
      </c>
      <c r="W42" s="102">
        <v>7</v>
      </c>
      <c r="X42" s="102">
        <v>8</v>
      </c>
      <c r="Y42" s="102">
        <v>9</v>
      </c>
      <c r="Z42" s="102">
        <v>10</v>
      </c>
      <c r="AA42" s="102">
        <v>11</v>
      </c>
      <c r="AB42" s="102">
        <v>12</v>
      </c>
      <c r="AC42" s="101">
        <v>1</v>
      </c>
      <c r="AD42" s="101">
        <v>2</v>
      </c>
      <c r="AE42" s="101">
        <v>3</v>
      </c>
      <c r="AF42" s="101">
        <v>4</v>
      </c>
      <c r="AG42" s="101">
        <v>5</v>
      </c>
      <c r="AH42" s="101">
        <v>6</v>
      </c>
      <c r="AI42" s="101">
        <v>7</v>
      </c>
      <c r="AJ42" s="101">
        <v>8</v>
      </c>
      <c r="AK42" s="101">
        <v>9</v>
      </c>
      <c r="AL42" s="101">
        <v>10</v>
      </c>
      <c r="AM42" s="101">
        <v>11</v>
      </c>
      <c r="AN42" s="101">
        <v>12</v>
      </c>
      <c r="AP42" s="103" t="e">
        <f>((TP-H_1-((TP-H_1-(H_1*hnh)-(TP*sCo2_1*VE))*H_2/(TP-H_1-(H_1*hnh)))-(H_1*hnh)-((TP-H_1-(H_1*hnh)-(TP*sCo2_1*VE))*H_2*hnh/(TP-H_1-(H_1*hnh)))-(TP*sCo2_1*VE)-(TP*sCo2_2*VE))*(H_3/(TP-H_1-H_2-(hnh*(H_1+H_2)))))</f>
        <v>#DIV/0!</v>
      </c>
      <c r="AQ42" s="103" t="e">
        <f>(TP-H_1-((TP-H_1-(H_1*hnh)-(TP*sCo2_1*VE))*H_2/(TP-H_1-(H_1*hnh)))-AP42-(H_1*hnh)-((TP-H_1-(H_1*hnh)-(TP*sCo2_1*VE))*H_2*hnh/(TP-H_1-(H_1*hnh)))-AP44-(TP*sCo2_1*VE)-(TP*sCo2_2*VE)-(TP*sCo2_3*VE))*(H_4/(TP-H_1-H_2-H_3-(hnh*(H_1+H_2+H_3))))</f>
        <v>#DIV/0!</v>
      </c>
      <c r="AR42" s="103" t="e">
        <f>(TP-H_1-((TP-H_1-(H_1*hnh)-(TP*sCo2_1*VE))*H_2/(TP-H_1-(H_1*hnh)))-AP42-AQ42-(H_1*hnh)-((TP-H_1-(H_1*hnh)-(TP*sCo2_1*VE))*H_2*hnh/(TP-H_1-(H_1*hnh)))-AP44-AQ44-(TP*sCo2_1*VE)-(TP*sCo2_2*VE)-(TP*sCo2_3*VE)-(TP*sCo2_4*VE))*(H_5/(TP-H_1-H_2-H_3-H_4-(hnh*(H_1+H_2+H_3+H_4))))</f>
        <v>#DIV/0!</v>
      </c>
      <c r="AS42" s="103" t="e">
        <f>(TP-H_1-((TP-H_1-(H_1*hnh)-(TP*sCo2_1*VE))*H_2/(TP-H_1-(H_1*hnh)))-AP42-AQ42-AR42-(H_1*hnh)-((TP-H_1-(H_1*hnh)-(TP*sCo2_1*VE))*H_2*hnh/(TP-H_1-(H_1*hnh)))-AP44-AQ44-AR44-(TP*sCo2_1*VE)-(TP*sCo2_2*VE)-(TP*sCo2_3*VE)-(TP*sCo2_4*VE)-(TP*sCo2_5*VE))*(H_6/(TP-H_1-H_2-H_3-H_4-H_5-(hnh*(H_1+H_2+H_3+H_4+H_5))))</f>
        <v>#DIV/0!</v>
      </c>
      <c r="AT42" s="103" t="e">
        <f>(TP-H_1-((TP-H_1-(H_1*hnh)-(TP*sCo2_1*VE))*H_2/(TP-H_1-(H_1*hnh)))-AP42-AQ42-AR42-AS42-(H_1*hnh)-((TP-H_1-(H_1*hnh)-(TP*sCo2_1*VE))*H_2*hnh/(TP-H_1-(H_1*hnh)))-AP44-AQ44-AR44-AS44-(TP*sCo2_1*VE)-(TP*sCo2_2*VE)-(TP*sCo2_3*VE)-(TP*sCo2_4*VE)-(TP*sCo2_5*VE)-(TP*sCo2_6*VE))*(H_7/(TP-H_1-H_2-H_3-H_4-H_5-H_6-(hnh*(H_1+H_2+H_3+H_4+H_5+H_6))))</f>
        <v>#DIV/0!</v>
      </c>
      <c r="AU42" s="103" t="e">
        <f>(TP-H_1-((TP-H_1-(H_1*hnh)-(TP*sCo2_1*VE))*H_2/(TP-H_1-(H_1*hnh)))-AP42-AQ42-AR42-AS42-AT42-(H_1*hnh)-((TP-H_1-(H_1*hnh)-(TP*sCo2_1*VE))*H_2*hnh/(TP-H_1-(H_1*hnh)))-AP44-AQ44-AR44-AS44-AT44-(TP*sCo2_1*VE)-(TP*sCo2_2*VE)-(TP*sCo2_3*VE)-(TP*sCo2_4*VE)-(TP*sCo2_5*VE)-(TP*sCo2_6*VE)-(TP*sCo2_7*VE))*(H_8/(TP-H_1-H_2-H_3-H_4-H_5-H_6-H_7-(hnh*(H_1+H_2+H_3+H_4+H_5+H_6+H_7))))</f>
        <v>#DIV/0!</v>
      </c>
      <c r="AV42" s="103" t="e">
        <f>(TP-H_1-((TP-H_1-(H_1*hnh)-(TP*sCo2_1*VE))*H_2/(TP-H_1-(H_1*hnh)))-AP42-AQ42-AR42-AS42-AT42-AU42-(H_1*hnh)-((TP-H_1-(H_1*hnh)-(TP*sCo2_1*VE))*H_2*hnh/(TP-H_1-(H_1*hnh)))-AP44-AQ44-AR44-AS44-AT44-AU44-(TP*sCo2_1*VE)-(TP*sCo2_2*VE)-(TP*sCo2_3*VE)-(TP*sCo2_4*VE)-(TP*sCo2_5*VE)-(TP*sCo2_6*VE)-(TP*sCo2_7*VE)-(TP*sCo2_8*VE))*(H_9/(TP-H_1-H_2-H_3-H_4-H_5-H_6-H_7-H_8-(hnh*(H_1+H_2+H_3+H_4+H_5+H_6+H_7+H_8))))</f>
        <v>#DIV/0!</v>
      </c>
      <c r="AW42" s="103" t="e">
        <f>(TP-H_1-((TP-H_1-(H_1*hnh)-(TP*sCo2_1*VE))*H_2/(TP-H_1-(H_1*hnh)))-AP42-AQ42-AR42-AS42-AT42-AU42-AV42-(H_1*hnh)-((TP-H_1-(H_1*hnh)-(TP*sCo2_1*VE))*H_2*hnh/(TP-H_1-(H_1*hnh)))-AP44-AQ44-AR44-AS44-AT44-AU44-AV44-(TP*sCo2_1*VE)-(TP*sCo2_2*VE)-(TP*sCo2_3*VE)-(TP*sCo2_4*VE)-(TP*sCo2_5*VE)-(TP*sCo2_6*VE)-(TP*sCo2_7*VE)-(TP*sCo2_8*VE)-(TP*sCo2_9*VE))*(H_10/(TP-H_1-H_2-H_3-H_4-H_5-H_6-H_7-H_8-H_9-(hnh*(H_1+H_2+H_3+H_4+H_5+H_6+H_7+H_8+H_9))))</f>
        <v>#DIV/0!</v>
      </c>
      <c r="AX42" s="103" t="e">
        <f>(TP-H_1-((TP-H_1-(H_1*hnh)-(TP*sCo2_1*VE))*H_2/(TP-H_1-(H_1*hnh)))-AP42-AQ42-AR42-AS42-AT42-AU42-AV42-AW42-(H_1*hnh)-((TP-H_1-(H_1*hnh)-(TP*sCo2_1*VE))*H_2*hnh/(TP-H_1-(H_1*hnh)))-AP44-AQ44-AR44-AS44-AT44-AU44-AV44-AW44-(TP*sCo2_1*VE)-(TP*sCo2_2*VE)-(TP*sCo2_3*VE)-(TP*sCo2_4*VE)-(TP*sCo2_5*VE)-(TP*sCo2_6*VE)-(TP*sCo2_7*VE)-(TP*sCo2_8*VE)-(TP*sCo2_9*VE)-(TP*sCo2_10*VE))*(H_11/(TP-H_1-H_2-H_3-H_4-H_5-H_6-H_7-H_8-H_9-H_10-(hnh*(H_1+H_2+H_3+H_4+H_5+H_6+H_7+H_8+H_9+H_10))))</f>
        <v>#DIV/0!</v>
      </c>
      <c r="AZ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H_6/(TP-H_1-H_2-H_3-H_4-H_5-(hnh*(H_1+H_2+H_3+H_4+H_5))-(TP*VE*(Co_1+Co_2+Co_3+Co_4+Co_5)))</f>
        <v>#DIV/0!</v>
      </c>
      <c r="BB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H_7/(TP-H_1-H_2-H_3-H_4-H_5-H_6-(hnh*(H_1+H_2+H_3+H_4+H_5+H_6))-(TP*VE*(Co_1+Co_2+Co_3+Co_4+Co_5+Co_6)))</f>
        <v>#DIV/0!</v>
      </c>
      <c r="BC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H_8/(TP-H_1-H_2-H_3-H_4-H_5-H_6-H_7-(hnh*(H_1+H_2+H_3+H_4+H_5+H_6+H_7))-(TP*VE*(Co_1+Co_2+Co_3+Co_4+Co_5+Co_6+Co_7)))</f>
        <v>#DIV/0!</v>
      </c>
      <c r="BD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H_9/(TP-H_1-H_2-H_3-H_4-H_5-H_6-H_7-H_8-(hnh*(H_1+H_2+H_3+H_4+H_5+H_6+H_7+H_8))-(TP*VE*(Co_1+Co_2+Co_3+Co_4+Co_5+Co_6+Co_7+Co_8)))</f>
        <v>#DIV/0!</v>
      </c>
      <c r="BE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H_10/(TP-H_1-H_2-H_3-H_4-H_5-H_6-H_7-H_8-H_9-(hnh*(H_1+H_2+H_3+H_4+H_5+H_6+H_7+H_8+H_9))-(TP*VE*(Co_1+Co_2+Co_3+Co_4+Co_5+Co_6+Co_7+Co_8+Co_9)))</f>
        <v>#DIV/0!</v>
      </c>
      <c r="BF4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H_11/(TP-H_1-H_2-H_3-H_4-H_5-H_6-H_7-H_8-H_9-H_10-(hnh*(H_1+H_2+H_3+H_4+H_5+H_6+H_7+H_8+H_9+H_10))-(TP*VE*(Co_1+Co_2+Co_3+Co_4+Co_5+Co_6+Co_7+Co_8+Co_9+Co_10)))</f>
        <v>#DIV/0!</v>
      </c>
    </row>
    <row r="43" spans="1:58" hidden="1" outlineLevel="1" x14ac:dyDescent="0.25">
      <c r="A43" s="73">
        <f>season</f>
        <v>0</v>
      </c>
      <c r="B43" s="73">
        <f>TG</f>
        <v>0</v>
      </c>
      <c r="C43" s="73">
        <f>TP</f>
        <v>0</v>
      </c>
      <c r="D43" s="74" t="e">
        <f>F25</f>
        <v>#DIV/0!</v>
      </c>
      <c r="E43" s="75">
        <f>VE</f>
        <v>0</v>
      </c>
      <c r="F43" s="78" t="e">
        <f>G43/IF(mb=1,SUM(AC43:AN43),IF(mb=2,SUM(AD43:AN43),IF(mb=3,SUM(AE43:AN43),IF(mb=4,SUM(AF43:AN43),IF(mb=5,SUM(AG43:AN43),IF(mb=6,SUM(AH43:AN43),IF(mb=7,SUM(AI43:AN43),IF(mb=8,SUM(AJ43:AN43),0))))))))</f>
        <v>#DIV/0!</v>
      </c>
      <c r="G43" s="42">
        <f>IF(mb=1,SUM(AC43:AN43)-SUM(Q43:AB43),IF(mb=2,SUM(AD43:AN43)-SUM(R43:AB43),IF(mb=3,SUM(AE43:AN43)-SUM(S43:AB43),IF(mb=4,SUM(AF43:AN43)-SUM(T43:AB43),IF(mb=5,SUM(AG43:AN43)-SUM(U43:AB43),IF(mb=6,SUM(AH43:AN43)-SUM(V43:AB43),IF(mb=7,SUM(AI43:AN43)-SUM(W43:AB43),IF(mb=8,SUM(AJ43:AN43)-SUM(X43:AB43),0))))))))</f>
        <v>0</v>
      </c>
      <c r="H43" s="96" t="e">
        <f>1/(VE*IF(mb=1,SUM(AC43:AN43),IF(mb=2,SUM(AD43:AN43),IF(mb=3,SUM(AE43:AN43),IF(mb=4,SUM(AF43:AN43),IF(mb=5,SUM(AG43:AN43),IF(mb=6,SUM(AH43:AN43),IF(mb=7,SUM(AI43:AN43),IF(mb=8,SUM(AJ43:AN43),0))))))))/TP)</f>
        <v>#DIV/0!</v>
      </c>
      <c r="I43" s="93" t="e">
        <f>G43/hnh</f>
        <v>#DIV/0!</v>
      </c>
      <c r="J43" s="42" t="e">
        <f>1/(VE*IF(mb=1,SUM(AC43:AN43),IF(mb=2,SUM(AD43:AN43),IF(mb=3,SUM(AE43:AN43),IF(mb=4,SUM(AF43:AN43),IF(mb=5,SUM(AG43:AN43),IF(mb=6,SUM(AH43:AN43),IF(mb=7,SUM(AI43:AN43),IF(mb=8,SUM(AJ43:AN43),0))))))))/(TP*hnh))</f>
        <v>#DIV/0!</v>
      </c>
      <c r="K43" s="42" t="e">
        <f>M43*mai</f>
        <v>#DIV/0!</v>
      </c>
      <c r="L43" s="42" t="e">
        <f>1/(VE*((IF(mb=1,SUM(AC43:AN43),IF(mb=2,SUM(AD43:AN43),IF(mb=3,SUM(AE43:AN43),IF(mb=4,SUM(AF43:AN43),IF(mb=5,SUM(AG43:AN43),IF(mb=6,SUM(AH43:AN43),IF(mb=7,SUM(AI43:AN43),IF(mb=8,SUM(AJ43:AN43),0))))))))+(IF(mb=1,SUM(AC43:AN43),IF(mb=2,SUM(AD43:AN43),IF(mb=3,SUM(AE43:AN43),IF(mb=4,SUM(AF43:AN43),IF(mb=5,SUM(AG43:AN43),IF(mb=6,SUM(AH43:AN43),IF(mb=7,SUM(AI43:AN43),IF(mb=8,SUM(AJ43:AN43),0)))))))))/hnh)*mai)/TP)</f>
        <v>#DIV/0!</v>
      </c>
      <c r="M43" s="42" t="e">
        <f>G43+I43</f>
        <v>#DIV/0!</v>
      </c>
      <c r="N43" s="42" t="e">
        <f>1/(VE*(IF(mb=1,SUM(AC43:AN43),IF(mb=2,SUM(AD43:AN43),IF(mb=3,SUM(AE43:AN43),IF(mb=4,SUM(AF43:AN43),IF(mb=5,SUM(AG43:AN43),IF(mb=6,SUM(AH43:AN43),IF(mb=7,SUM(AI43:AN43),IF(mb=8,SUM(AJ43:AN43),0))))))))+(IF(mb=1,SUM(AC43:AN43),IF(mb=2,SUM(AD43:AN43),IF(mb=3,SUM(AE43:AN43),IF(mb=4,SUM(AF43:AN43),IF(mb=5,SUM(AG43:AN43),IF(mb=6,SUM(AH43:AN43),IF(mb=7,SUM(AI43:AN43),IF(mb=8,SUM(AJ43:AN43),0)))))))))/hnh)/TP)</f>
        <v>#DIV/0!</v>
      </c>
      <c r="Q43" s="86" t="e">
        <f>IF(ISc=1,nh1_1,IF(ISc=2,H_1*hnh,0))</f>
        <v>#DIV/0!</v>
      </c>
      <c r="R43" s="111" t="e">
        <f>IF(ScI=1,((nh1_2/(TP-(nh1_1/hnh)-nh1_1))*(TP-(nh1_1/hnh)-nh1_1-(TP*sCo2_1*VE))),IF(ScI=2,(TP-H_1-(H_1*hnh)-(TP*sCo2_1*VE))*(H_2*hnh/(TP-H_1-(H_1*hnh))),0))</f>
        <v>#DIV/0!</v>
      </c>
      <c r="S43" s="86" t="e">
        <f>IF(ScI=1,(nh1_3/(TP-((nh1_1+nh1_2)/hnh)-nh1_1-nh1_2))*(TP-(nh1_1/hnh)-(R43/hnh)-nh1_1-R43-(TP*VE*(sCo2_1+sCo2_2))),IF(ScI=2,(TP-H_1-((TP-H_1-(H_1*hnh)-(TP*sCo2_1*VE))*H_2/(TP-H_1-(H_1*hnh)))-(H_1*hnh)-((TP-H_1-(H_1*hnh)-(TP*sCo2_1*VE))*H_2*hnh/(TP-H_1-(H_1*hnh)))-(TP*sCo2_1*VE)-(TP*sCo2_2*VE))*(H_3*hnh/(TP-H_1-H_2-(hnh*(H_1+H_2)))),0))</f>
        <v>#DIV/0!</v>
      </c>
      <c r="T43" s="86" t="e">
        <f>IF(ScI=1,(nh1_4/(TP-(nh1_1/hnh)-(nh1_2/hnh)-(nh1_3/hnh)-nh1_1-nh1_2-nh1_3))*(TP-(nh1_1/hnh)-(R43/hnh)-(S43/hnh)-nh1_1-R43-S43-(TP*VE*(sCo2_1+sCo2_2+sCo2_3))),IF(ScI=2,(TP-H_1-((TP-H_1-(H_1*hnh)-(TP*sCo2_1*VE))*H_2/(TP-H_1-(H_1*hnh)))-((TP-H_1-(((TP-H_1-(H_1*hnh)-(TP*sCo2_1*VE))*H_2/(TP-H_1-(H_1*hnh))))-(H_1*hnh)-((TP-H_1-(H_1*hnh)-(TP*sCo2_1*VE))*H_2*hnh/(TP-H_1-(H_1*hnh)))-(TP*sCo2_1*VE)-(TP*sCo2_2*VE))*(H_3/(TP-H_1-H_2-(hnh*(H_1+H_2)))))-(H_1*hnh)-((TP-H_1-(H_1*hnh)-(TP*sCo2_1*VE))*H_2*hnh/(TP-H_1-(H_1*hnh)))-((TP-H_1-(((TP-H_1-(H_1*hnh)-(TP*sCo2_1*VE))*H_2/(TP-H_1-(H_1*hnh))))-(H_1*hnh)-(((TP-H_1-(H_1*hnh)-(TP*sCo2_1*VE))*H_2*hnh/(TP-H_1-(H_1*hnh))))-(TP*sCo2_1*VE)-(TP*sCo2_2*VE))*(H_3*hnh/(TP-H_1-H_2-(hnh*(H_1+H_2)))))-(TP*sCo2_1*VE)-(TP*sCo2_2*VE)-(TP*sCo2_3*VE))*(H_4*hnh/(TP-H_1-H_2-H_3-(hnh*(H_1+H_2+H_3)))),0))</f>
        <v>#DIV/0!</v>
      </c>
      <c r="U43" s="86" t="e">
        <f>IF(ScI=1,(nh1_5/(TP-(nh1_1/hnh)-(nh1_2/hnh)-(nh1_3/hnh)-(nh1_4/hnh)-nh1_1-nh1_2-nh1_3-nh1_4))*(TP-(nh1_1/hnh)-(R43/hnh)-(S43/hnh)-(T43/hnh)-nh1_1-R43-S43-T43-(TP*VE*(sCo2_1+sCo2_2+sCo2_3+sCo2_4))),IF(ScI=2,(TP-H_1-(((TP-H_1-(H_1*hnh)-(TP*sCo2_1*VE))*H_2/(TP-H_1-(H_1*hnh))))-AP42-AQ44-(H_1*hnh)-((TP-H_1-(H_1*hnh)-(TP*sCo2_1*VE))*H_2*hnh/(TP-H_1-(H_1*hnh)))-AP44-AQ42-(TP*sCo2_1*VE)-(TP*sCo2_2*VE)-(TP*sCo2_3*VE)-(TP*sCo2_4*VE))*(H_5*hnh/(TP-H_1-H_2-H_3-H_4-(hnh*(H_1+H_2+H_3+H_4)))),0))</f>
        <v>#DIV/0!</v>
      </c>
      <c r="V43" s="86" t="e">
        <f>IF(ScI=1,(nh1_6/(TP-(nh1_1/hnh)-(nh1_2/hnh)-(nh1_3/hnh)-(nh1_4/hnh)-(nh1_5/hnh)-nh1_1-nh1_2-nh1_3-nh1_4-nh1_5))*(TP-(nh1_1/hnh)-(R43/hnh)-(S43/hnh)-(T43/hnh)-(U43/hnh)-nh1_1-R43-S43-T43-U43-(TP*VE*(sCo2_1+sCo2_2+sCo2_3+sCo2_4+sCo2_5))),IF(ScI=2,(TP-H_1-((TP-H_1-(H_1*hnh)-(TP*sCo2_1*VE))*H_2/(TP-H_1-(H_1*hnh)))-AP42-AQ42-AR42-(H_1*hnh)-((TP-H_1-(H_1*hnh)-(TP*sCo2_1*VE))*H_2*hnh/(TP-H_1-(H_1*hnh)))-AP44-AQ44-AR44-(TP*sCo2_1*VE)-(TP*sCo2_2*VE)-(TP*sCo2_3*VE)-(TP*sCo2_4*VE)-(TP*sCo2_5*VE))*(H_6*hnh/(TP-H_1-H_2-H_3-H_4-H_5-(hnh*(H_1+H_2+H_3+H_4+H_5)))),0))</f>
        <v>#DIV/0!</v>
      </c>
      <c r="W43" s="86" t="e">
        <f>IF(ScI=1,(nh1_7/(TP-(nh1_1/hnh)-(nh1_2/hnh)-(nh1_3/hnh)-(nh1_4/hnh)-(nh1_5/hnh)-(nh1_6/hnh)-nh1_1-nh1_2-nh1_3-nh1_4-nh1_5-nh1_6))*(TP-(nh1_1/hnh)-(R43/hnh)-(S43/hnh)-(T43/hnh)-(U43/hnh)-(V43/hnh)-nh1_1-R43-S43-T43-U43-V43-(TP*VE*(sCo2_1+sCo2_2+sCo2_3+sCo2_4+sCo2_5+sCo2_6))),IF(ScI=2,(TP-H_1-((TP-H_1-(H_1*hnh)-(TP*sCo2_1*VE))*H_2/(TP-H_1-(H_1*hnh)))-AP42-AQ42-AR42-AS42-(H_1*hnh)-((TP-H_1-(H_1*hnh)-(TP*sCo2_1*VE))*H_2*hnh/(TP-H_1-(H_1*hnh)))-AP44-AQ44-AR44-AS44-(TP*sCo2_1*VE)-(TP*sCo2_2*VE)-(TP*sCo2_3*VE)-(TP*sCo2_4*VE)-(TP*sCo2_5*VE)-(TP*sCo2_6*VE))*(H_7*hnh/(TP-H_1-H_2-H_3-H_4-H_5-H_6-(hnh*(H_1+H_2+H_3+H_4+H_5+H_6)))),0))</f>
        <v>#DIV/0!</v>
      </c>
      <c r="X43" s="86" t="e">
        <f>IF(ScI=1,(nh1_8/(TP-(nh1_1/hnh)-(nh1_2/hnh)-(nh1_3/hnh)-(nh1_4/hnh)-(nh1_5/hnh)-(nh1_6/hnh)-(nh1_7/hnh)-nh1_1-nh1_2-nh1_3-nh1_4-nh1_5-nh1_6-nh1_7))*(TP-(nh1_1/hnh)-(R43/hnh)-(S43/hnh)-(T43/hnh)-(U43/hnh)-(V43/hnh)-(W43/hnh)-nh1_1-R43-S43-T43-U43-V43-W43-(TP*VE*(sCo2_1+sCo2_2+sCo2_3+sCo2_4+sCo2_5+sCo2_6+sCo2_7))),IF(ScI=2,(TP-H_1-((TP-H_1-(H_1*hnh)-(TP*sCo2_1*VE))*H_2/(TP-H_1-(H_1*hnh)))-AP42-AQ42-AR42-AS42-AT42-(H_1*hnh)-((TP-H_1-(H_1*hnh)-(TP*sCo2_1*VE))*H_2*hnh/(TP-H_1-(H_1*hnh)))-AP44-AQ44-AR44-AS44-AT44-(TP*sCo2_1*VE)-(TP*sCo2_2*VE)-(TP*sCo2_3*VE)-(TP*sCo2_4*VE)-(TP*sCo2_5*VE)-(TP*sCo2_6*VE)-(TP*sCo2_7*VE))*(H_8*hnh/(TP-H_1-H_2-H_3-H_4-H_5-H_6-H_7-(hnh*(H_1+H_2+H_3+H_4+H_5+H_6+H_7)))),0))</f>
        <v>#DIV/0!</v>
      </c>
      <c r="Y43" s="86" t="e">
        <f>IF(ScI=1,(nh1_9/(TP-(nh1_1/hnh)-(nh1_2/hnh)-(nh1_3/hnh)-(nh1_4/hnh)-(nh1_5/hnh)-(nh1_6/hnh)-(nh1_7/hnh)-(nh1_8/hnh)-nh1_1-nh1_2-nh1_3-nh1_4-nh1_5-nh1_6-nh1_7-nh1_8))*(TP-(nh1_1/hnh)-(R43/hnh)-(S43/hnh)-(T43/hnh)-(U43/hnh)-(V43/hnh)-(W43/hnh)-(X43/hnh)-nh1_1-R43-S43-T43-U43-V43-W43-X43-(TP*VE*(sCo2_1+sCo2_2+sCo2_3+sCo2_4+sCo2_5+sCo2_6+sCo2_7+sCo2_8))),IF(ScI=2,(TP-H_1-((TP-H_1-(H_1*hnh)-(TP*sCo2_1*VE))*H_2/(TP-H_1-(H_1*hnh)))-AP42-AQ42-AR42-AS42-AT42-AU42-(H_1*hnh)-((TP-H_1-(H_1*hnh)-(TP*sCo2_1*VE))*H_2*hnh/(TP-H_1-(H_1*hnh)))-AP44-AQ44-AR44-AS44-AT44-AU44-(TP*sCo2_1*VE)-(TP*sCo2_2*VE)-(TP*sCo2_3*VE)-(TP*sCo2_4*VE)-(TP*sCo2_5*VE)-(TP*sCo2_6*VE)-(TP*sCo2_7*VE)-(TP*sCo2_8*VE))*(H_9*hnh/(TP-H_1-H_2-H_3-H_4-H_5-H_6-H_7-H_8-(hnh*(H_1+H_2+H_3+H_4+H_5+H_6+H_7+H_8)))),0))</f>
        <v>#DIV/0!</v>
      </c>
      <c r="Z43" s="86" t="e">
        <f>IF(ScI=1,(nh1_10/(TP-(nh1_1/hnh)-(nh1_2/hnh)-(nh1_3/hnh)-(nh1_4/hnh)-(nh1_5/hnh)-(nh1_6/hnh)-(nh1_7/hnh)-(nh1_8/hnh)-(nh1_9/hnh)-nh1_1-nh1_2-nh1_3-nh1_4-nh1_5-nh1_6-nh1_7-nh1_8-nh1_9))*(TP-(nh1_1/hnh)-(R43/hnh)-(S43/hnh)-(T43/hnh)-(U43/hnh)-(V43/hnh)-(W43/hnh)-(X43/hnh)-(Y43/hnh)-nh1_1-R43-S43-T43-U43-V43-W43-X43-Y43-(TP*VE*(sCo2_1+sCo2_2+sCo2_3+sCo2_4+sCo2_5+sCo2_6+sCo2_7+sCo2_8+sCo2_9))),IF(ScI=2,(TP-H_1-((TP-H_1-(H_1*hnh)-(TP*sCo2_1*VE))*H_2/(TP-H_1-(H_1*hnh)))-AP42-AQ42-AR42-AS42-AT42-AU42-AV42-(H_1*hnh)-((TP-H_1-(H_1*hnh)-(TP*sCo2_1*VE))*H_2*hnh/(TP-H_1-(H_1*hnh)))-AP44-AQ44-AR44-AS44-AT44-AU44-AV44-(TP*sCo2_1*VE)-(TP*sCo2_2*VE)-(TP*sCo2_3*VE)-(TP*sCo2_4*VE)-(TP*sCo2_5*VE)-(TP*sCo2_6*VE)-(TP*sCo2_7*VE)-(TP*sCo2_8*VE)-(TP*sCo2_9*VE))*(H_10*hnh/(TP-H_1-H_2-H_3-H_4-H_5-H_6-H_7-H_8-H_9-(hnh*(H_1+H_2+H_3+H_4+H_5+H_6+H_7+H_8+H_9)))),0))</f>
        <v>#DIV/0!</v>
      </c>
      <c r="AA43" s="86" t="e">
        <f>IF(ScI=1,(nh1_11/(TP-(nh1_1/hnh)-(nh1_2/hnh)-(nh1_3/hnh)-(nh1_4/hnh)-(nh1_5/hnh)-(nh1_6/hnh)-(nh1_7/hnh)-(nh1_8/hnh)-(nh1_9/hnh)-(nh1_10/hnh)-nh1_1-nh1_2-nh1_3-nh1_4-nh1_5-nh1_6-nh1_7-nh1_8-nh1_9-nh1_10))*(TP-(nh1_1/hnh)-(R43/hnh)-(S43/hnh)-(T43/hnh)-(U43/hnh)-(V43/hnh)-(W43/hnh)-(X43/hnh)-(Y43/hnh)-(Z43/hnh)-nh1_1-R43-S43-T43-U43-V43-W43-X43-Y43-Z43-(TP*VE*(sCo2_1+sCo2_2+sCo2_3+sCo2_4+sCo2_5+sCo2_6+sCo2_7+sCo2_8+sCo2_9+sCo2_10))),IF(ScI=2,(TP-H_1-((TP-H_1-(H_1*hnh)-(TP*sCo2_1*VE))*H_2/(TP-H_1-(H_1*hnh)))-AP42-AQ42-AR42-AS42-AT42-AU42-AV42-AW42-(H_1*hnh)-((TP-H_1-(H_1*hnh)-(TP*sCo2_1*VE))*H_2*hnh/(TP-H_1-(H_1*hnh)))-AP44-AQ44-AR44-AS44-AT44-AU44-AV44-AW44-(TP*sCo2_1*VE)-(TP*sCo2_2*VE)-(TP*sCo2_3*VE)-(TP*sCo2_4*VE)-(TP*sCo2_5*VE)-(TP*sCo2_6*VE)-(TP*sCo2_7*VE)-(TP*sCo2_8*VE)-(TP*sCo2_9*VE)-(TP*sCo2_10*VE))*(H_11*hnh/(TP-H_1-H_2-H_3-H_4-H_5-H_6-H_7-H_8-H_9-H_10-(hnh*(H_1+H_2+H_3+H_4+H_5+H_6+H_7+H_8+H_9+H_10)))),0))</f>
        <v>#DIV/0!</v>
      </c>
      <c r="AB43" s="86" t="e">
        <f>IF(ScI=1,(nh1_12/(TP-(nh1_1/hnh)-(nh1_2/hnh)-(nh1_3/hnh)-(nh1_4/hnh)-(nh1_5/hnh)-(nh1_6/hnh)-(nh1_7/hnh)-(nh1_8/hnh)-(nh1_9/hnh)-(nh1_10/hnh)-(nh1_11/hnh)-nh1_1-nh1_2-nh1_3-nh1_4-nh1_5-nh1_6-nh1_7-nh1_8-nh1_9-nh1_10-nh1_11))*(TP-(nh1_1/hnh)-(R43/hnh)-(S43/hnh)-(T43/hnh)-(U43/hnh)-(V43/hnh)-(W43/hnh)-(X43/hnh)-(Y43/hnh)-(Z43/hnh)-(AA43/hnh)-nh1_1-R43-S43-T43-U43-V43-W43-X43-Y43-Z43-AA43-(TP*VE*(sCo2_1+sCo2_2+sCo2_3+sCo2_4+sCo2_5+sCo2_6+sCo2_7+sCo2_8+sCo2_9+sCo2_10+sCo2_11))),IF(ScI=2,(TP-H_1-((TP-H_1-(H_1*hnh)-(TP*sCo2_1*VE))*H_2/(TP-H_1-(H_1*hnh)))-AP42-AQ42-AR42-AS42-AT42-AU42-AV42-AW42-AX42-(H_1*hnh)-((TP-H_1-(H_1*hnh)-(TP*sCo2_1*VE))*H_2*hnh/(TP-H_1-(H_1*hnh)))-AP44-AQ44-AR44-AS44-AT44-AU44-AV44-AW44-AX44-(TP*sCo2_1*VE)-(TP*sCo2_2*VE)-(TP*sCo2_3*VE)-(TP*sCo2_4*VE)-(TP*sCo2_5*VE)-(TP*sCo2_6*VE)-(TP*sCo2_7*VE)-(TP*sCo2_8*VE)-(TP*sCo2_9*VE)-(TP*sCo2_10*VE)-(TP*sCo2_11*VE))*(H_12*hnh/(TP-H_1-H_2-H_3-H_4-H_5-H_6-H_7-H_8-H_9-H_10-H_11-(hnh*(H_1+H_2+H_3+H_4+H_5+H_6+H_7+H_8+H_9+H_10+H_11)))),0))</f>
        <v>#DIV/0!</v>
      </c>
      <c r="AC43" s="88">
        <f>IF(ScI=1,H_1*hnh,IF(ScI=2,H_1*hnh,0))</f>
        <v>0</v>
      </c>
      <c r="AD43" s="88" t="e">
        <f>IF(ScI=1,(TP-H_1-(H_1*hnh))*H_2*hnh/(TP-H_1-(H_1*hnh)-(TP*Co_1*VE)),IF(ScI=2,H_2*hnh,0))</f>
        <v>#DIV/0!</v>
      </c>
      <c r="AE43" s="88" t="e">
        <f>IF(ScI=1,(TP-H_1-((TP-H_1-(H_1*hnh))*H_2/(TP-H_1-(H_1*hnh)-(TP*Co_1*VE)))-(H_1*hnh)-((TP-H_1-(H_1*hnh))*H_2*hnh/(TP-H_1-(H_1*hnh)-(TP*Co_1*VE))))*H_3*hnh/(TP-H_1-H_2-(hnh*(H_1+H_2))-(TP*VE*(Co_1+Co_2))),IF(ScI=2,H_3*hnh,0))</f>
        <v>#DIV/0!</v>
      </c>
      <c r="AF43"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H_6*hnh/(TP-H_1-H_2-H_3-H_4-H_5-(hnh*(H_1+H_2+H_3+H_4+H_5))-(TP*VE*(Co_1+Co_2+Co_3+Co_4+Co_5))),IF(ScI=2,H_6*hnh,0))</f>
        <v>#DIV/0!</v>
      </c>
      <c r="AI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H_7*hnh/(TP-H_1-H_2-H_3-H_4-H_5-H_6-(hnh*(H_1+H_2+H_3+H_4+H_5+H_6))-(TP*VE*(Co_1+Co_2+Co_3+Co_4+Co_5+Co_6))),IF(ScI=2,H_7*hnh,0))</f>
        <v>#DIV/0!</v>
      </c>
      <c r="AJ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H_8*hnh/(TP-H_1-H_2-H_3-H_4-H_5-H_6-H_7-(hnh*(H_1+H_2+H_3+H_4+H_5+H_6+H_7))-(TP*VE*(Co_1+Co_2+Co_3+Co_4+Co_5+Co_6+Co_7))),IF(ScI=2,H_8*hnh,0))</f>
        <v>#DIV/0!</v>
      </c>
      <c r="AK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H_9*hnh/(TP-H_1-H_2-H_3-H_4-H_5-H_6-H_7-H_8-(hnh*(H_1+H_2+H_3+H_4+H_5+H_6+H_7+H_8))-(TP*VE*(Co_1+Co_2+Co_3+Co_4+Co_5+Co_6+Co_7+Co_8))),IF(ScI=2,H_9*hnh,0))</f>
        <v>#DIV/0!</v>
      </c>
      <c r="AL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H_10*hnh/(TP-H_1-H_2-H_3-H_4-H_5-H_6-H_7-H_8-H_9-(hnh*(H_1+H_2+H_3+H_4+H_5+H_6+H_7+H_8+H_9))-(TP*VE*(Co_1+Co_2+Co_3+Co_4+Co_5+Co_6+Co_7+Co_8+Co_9))),IF(ScI=2,H_10*hnh,0))</f>
        <v>#DIV/0!</v>
      </c>
      <c r="AM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H_11*hnh/(TP-H_1-H_2-H_3-H_4-H_5-H_6-H_7-H_8-H_9-H_10-(hnh*(H_1+H_2+H_3+H_4+H_5+H_6+H_7+H_8+H_9+H_10))-(TP*VE*(Co_1+Co_2+Co_3+Co_4+Co_5+Co_6+Co_7+Co_8+Co_9+Co_10))),IF(ScI=2,H_11*hnh,0))</f>
        <v>#DIV/0!</v>
      </c>
      <c r="AN4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BF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BF44)*H_12*hnh/(TP-H_1-H_2-H_3-H_4-H_5-H_6-H_7-H_8-H_9-H_10-H_11-(hnh*(H_1+H_2+H_3+H_4+H_5+H_6+H_7+H_8+H_9+H_10+H_11))-(TP*VE*(Co_1+Co_2+Co_3+Co_4+Co_5+Co_6+Co_7+Co_8+Co_9+Co_10+Co_11))),IF(ScI=2,H_12*hnh,0))</f>
        <v>#DIV/0!</v>
      </c>
      <c r="AP43" s="103" t="s">
        <v>82</v>
      </c>
      <c r="AQ43" s="103" t="s">
        <v>83</v>
      </c>
      <c r="AR43" s="103" t="s">
        <v>84</v>
      </c>
      <c r="AS43" s="103" t="s">
        <v>85</v>
      </c>
      <c r="AT43" s="103" t="s">
        <v>86</v>
      </c>
      <c r="AU43" s="103" t="s">
        <v>87</v>
      </c>
      <c r="AV43" s="103" t="s">
        <v>88</v>
      </c>
      <c r="AW43" s="103" t="s">
        <v>89</v>
      </c>
      <c r="AX43" s="103" t="s">
        <v>90</v>
      </c>
      <c r="AZ43" s="103" t="s">
        <v>106</v>
      </c>
      <c r="BA43" s="103" t="s">
        <v>92</v>
      </c>
      <c r="BB43" s="103" t="s">
        <v>98</v>
      </c>
      <c r="BC43" s="103" t="s">
        <v>99</v>
      </c>
      <c r="BD43" s="103" t="s">
        <v>100</v>
      </c>
      <c r="BE43" s="103" t="s">
        <v>101</v>
      </c>
      <c r="BF43" s="103" t="s">
        <v>102</v>
      </c>
    </row>
    <row r="44" spans="1:58" hidden="1" outlineLevel="1" x14ac:dyDescent="0.25">
      <c r="F44" s="113"/>
      <c r="G44" s="31"/>
      <c r="H44" s="31"/>
      <c r="I44" s="31"/>
      <c r="J44" s="31"/>
      <c r="K44" s="31"/>
      <c r="L44" s="31"/>
      <c r="M44" s="31"/>
      <c r="N44" s="31"/>
      <c r="Q44" s="31" t="e">
        <f>Q43-Q5</f>
        <v>#DIV/0!</v>
      </c>
      <c r="R44" s="31" t="e">
        <f t="shared" ref="R44:AB44" si="6">R43-R5</f>
        <v>#DIV/0!</v>
      </c>
      <c r="S44" s="31" t="e">
        <f t="shared" si="6"/>
        <v>#DIV/0!</v>
      </c>
      <c r="T44" s="31" t="e">
        <f t="shared" si="6"/>
        <v>#DIV/0!</v>
      </c>
      <c r="U44" s="31" t="e">
        <f t="shared" si="6"/>
        <v>#DIV/0!</v>
      </c>
      <c r="V44" s="31" t="e">
        <f t="shared" si="6"/>
        <v>#DIV/0!</v>
      </c>
      <c r="W44" s="31" t="e">
        <f t="shared" si="6"/>
        <v>#DIV/0!</v>
      </c>
      <c r="X44" s="31" t="e">
        <f t="shared" si="6"/>
        <v>#DIV/0!</v>
      </c>
      <c r="Y44" s="31" t="e">
        <f t="shared" si="6"/>
        <v>#DIV/0!</v>
      </c>
      <c r="Z44" s="31" t="e">
        <f>Z43-Z5</f>
        <v>#DIV/0!</v>
      </c>
      <c r="AA44" s="31" t="e">
        <f t="shared" si="6"/>
        <v>#DIV/0!</v>
      </c>
      <c r="AB44" s="31" t="e">
        <f t="shared" si="6"/>
        <v>#DIV/0!</v>
      </c>
      <c r="AC44" s="31">
        <f t="shared" ref="AC44:AN44" si="7">AC43-AC5</f>
        <v>0</v>
      </c>
      <c r="AD44" s="31" t="e">
        <f t="shared" si="7"/>
        <v>#DIV/0!</v>
      </c>
      <c r="AE44" s="31" t="e">
        <f t="shared" si="7"/>
        <v>#DIV/0!</v>
      </c>
      <c r="AF44" s="31" t="e">
        <f t="shared" si="7"/>
        <v>#DIV/0!</v>
      </c>
      <c r="AG44" s="31" t="e">
        <f t="shared" si="7"/>
        <v>#DIV/0!</v>
      </c>
      <c r="AH44" s="31" t="e">
        <f t="shared" si="7"/>
        <v>#DIV/0!</v>
      </c>
      <c r="AI44" s="31" t="e">
        <f t="shared" si="7"/>
        <v>#DIV/0!</v>
      </c>
      <c r="AJ44" s="31" t="e">
        <f t="shared" si="7"/>
        <v>#DIV/0!</v>
      </c>
      <c r="AK44" s="31" t="e">
        <f t="shared" si="7"/>
        <v>#DIV/0!</v>
      </c>
      <c r="AL44" s="31" t="e">
        <f t="shared" si="7"/>
        <v>#DIV/0!</v>
      </c>
      <c r="AM44" s="31" t="e">
        <f t="shared" si="7"/>
        <v>#DIV/0!</v>
      </c>
      <c r="AN44" s="31" t="e">
        <f t="shared" si="7"/>
        <v>#DIV/0!</v>
      </c>
      <c r="AP44" s="103" t="e">
        <f>((TP-H_1-((TP-H_1-(H_1*hnh)-(TP*sCo2_1*VE))*H_2/(TP-H_1-(H_1*hnh)))-(H_1*hnh)-((TP-H_1-(H_1*hnh)-(TP*sCo2_1*VE))*H_2*hnh/(TP-H_1-(H_1*hnh)))-(TP*sCo2_1*VE)-(TP*sCo2_2*VE))*(H_3*hnh/(TP-H_1-H_2-(hnh*(H_1+H_2)))))</f>
        <v>#DIV/0!</v>
      </c>
      <c r="AQ44" s="103" t="e">
        <f>(TP-H_1-((TP-H_1-(H_1*hnh)-(TP*sCo2_1*VE))*H_2/(TP-H_1-(H_1*hnh)))-AP42-(H_1*hnh)-((TP-H_1-(H_1*hnh)-(TP*sCo2_1*VE))*H_2*hnh/(TP-H_1-(H_1*hnh)))-AP44-(TP*sCo2_1*VE)-(TP*sCo2_2*VE)-(TP*sCo2_3*VE))*(H_4*hnh/(TP-H_1-H_2-H_3-(hnh*(H_1+H_2+H_3))))</f>
        <v>#DIV/0!</v>
      </c>
      <c r="AR44" s="103" t="e">
        <f>(TP-H_1-((TP-H_1-(H_1*hnh)-(TP*sCo2_1*VE))*H_2/(TP-H_1-(H_1*hnh)))-AP42-AQ42-(H_1*hnh)-((TP-H_1-(H_1*hnh)-(TP*sCo2_1*VE))*H_2*hnh/(TP-H_1-(H_1*hnh)))-AP44-AQ44-(TP*sCo2_1*VE)-(TP*sCo2_2*VE)-(TP*sCo2_3*VE)-(TP*sCo2_4*VE))*(H_5*hnh/(TP-H_1-H_2-H_3-H_4-(hnh*(H_1+H_2+H_3+H_4))))</f>
        <v>#DIV/0!</v>
      </c>
      <c r="AS44" s="103" t="e">
        <f>(TP-H_1-((TP-H_1-(H_1*hnh)-(TP*sCo2_1*VE))*H_2/(TP-H_1-(H_1*hnh)))-AP42-AQ42-AR42-(H_1*hnh)-((TP-H_1-(H_1*hnh)-(TP*sCo2_1*VE))*H_2*hnh/(TP-H_1-(H_1*hnh)))-AP44-AQ44-AR44-(TP*sCo2_1*VE)-(TP*sCo2_2*VE)-(TP*sCo2_3*VE)-(TP*sCo2_4*VE)-(TP*sCo2_5*VE))*(H_6*hnh/(TP-H_1-H_2-H_3-H_4-H_5-(hnh*(H_1+H_2+H_3+H_4+H_5))))</f>
        <v>#DIV/0!</v>
      </c>
      <c r="AT44" s="103" t="e">
        <f>(TP-H_1-((TP-H_1-(H_1*hnh)-(TP*sCo2_1*VE))*H_2/(TP-H_1-(H_1*hnh)))-AP42-AQ42-AR42-AS42-(H_1*hnh)-((TP-H_1-(H_1*hnh)-(TP*sCo2_1*VE))*H_2*hnh/(TP-H_1-(H_1*hnh)))-AP44-AQ44-AR44-AS44-(TP*sCo2_1*VE)-(TP*sCo2_2*VE)-(TP*sCo2_3*VE)-(TP*sCo2_4*VE)-(TP*sCo2_5*VE)-(TP*sCo2_6*VE))*(H_7*hnh/(TP-H_1-H_2-H_3-H_4-H_5-H_6-(hnh*(H_1+H_2+H_3+H_4+H_5+H_6))))</f>
        <v>#DIV/0!</v>
      </c>
      <c r="AU44" s="103" t="e">
        <f>(TP-H_1-((TP-H_1-(H_1*hnh)-(TP*sCo2_1*VE))*H_2/(TP-H_1-(H_1*hnh)))-AP42-AQ42-AR42-AS42-AT42-(H_1*hnh)-((TP-H_1-(H_1*hnh)-(TP*sCo2_1*VE))*H_2*hnh/(TP-H_1-(H_1*hnh)))-AP44-AQ44-AR44-AS44-AT44-(TP*sCo2_1*VE)-(TP*sCo2_2*VE)-(TP*sCo2_3*VE)-(TP*sCo2_4*VE)-(TP*sCo2_5*VE)-(TP*sCo2_6*VE)-(TP*sCo2_7*VE))*(H_8*hnh/(TP-H_1-H_2-H_3-H_4-H_5-H_6-H_7-(hnh*(H_1+H_2+H_3+H_4+H_5+H_6+H_7))))</f>
        <v>#DIV/0!</v>
      </c>
      <c r="AV44" s="103" t="e">
        <f>(TP-H_1-((TP-H_1-(H_1*hnh)-(TP*sCo2_1*VE))*H_2/(TP-H_1-(H_1*hnh)))-AP42-AQ42-AR42-AS42-AT42-AU42-(H_1*hnh)-((TP-H_1-(H_1*hnh)-(TP*sCo2_1*VE))*H_2*hnh/(TP-H_1-(H_1*hnh)))-AP44-AQ44-AR44-AS44-AT44-AU44-(TP*sCo2_1*VE)-(TP*sCo2_2*VE)-(TP*sCo2_3*VE)-(TP*sCo2_4*VE)-(TP*sCo2_5*VE)-(TP*sCo2_6*VE)-(TP*sCo2_7*VE)-(TP*sCo2_8*VE))*(H_9*hnh/(TP-H_1-H_2-H_3-H_4-H_5-H_6-H_7-H_8-(hnh*(H_1+H_2+H_3+H_4+H_5+H_6+H_7+H_8))))</f>
        <v>#DIV/0!</v>
      </c>
      <c r="AW44" s="103" t="e">
        <f>(TP-H_1-((TP-H_1-(H_1*hnh)-(TP*sCo2_1*VE))*H_2/(TP-H_1-(H_1*hnh)))-AP42-AQ42-AR42-AS42-AT42-AU42-AV42-(H_1*hnh)-((TP-H_1-(H_1*hnh)-(TP*sCo2_1*VE))*H_2*hnh/(TP-H_1-(H_1*hnh)))-AP44-AQ44-AR44-AS44-AT44-AU44-AV44-(TP*sCo2_1*VE)-(TP*sCo2_2*VE)-(TP*sCo2_3*VE)-(TP*sCo2_4*VE)-(TP*sCo2_5*VE)-(TP*sCo2_6*VE)-(TP*sCo2_7*VE)-(TP*sCo2_8*VE)-(TP*sCo2_9*VE))*(H_10*hnh/(TP-H_1-H_2-H_3-H_4-H_5-H_6-H_7-H_8-H_9-(hnh*(H_1+H_2+H_3+H_4+H_5+H_6+H_7+H_8+H_9))))</f>
        <v>#DIV/0!</v>
      </c>
      <c r="AX44" s="103" t="e">
        <f>(TP-H_1-((TP-H_1-(H_1*hnh)-(TP*sCo2_1*VE))*H_2/(TP-H_1-(H_1*hnh)))-AP42-AQ42-AR42-AS42-AT42-AU42-AV42-AW42-(H_1*hnh)-((TP-H_1-(H_1*hnh)-(TP*sCo2_1*VE))*H_2*hnh/(TP-H_1-(H_1*hnh)))-AP44-AQ44-AR44-AS44-AT44-AU44-AV44-AW44-(TP*sCo2_1*VE)-(TP*sCo2_2*VE)-(TP*sCo2_3*VE)-(TP*sCo2_4*VE)-(TP*sCo2_5*VE)-(TP*sCo2_6*VE)-(TP*sCo2_7*VE)-(TP*sCo2_8*VE)-(TP*sCo2_9*VE)-(TP*sCo2_10*VE))*(H_11*hnh/(TP-H_1-H_2-H_3-H_4-H_5-H_6-H_7-H_8-H_9-H_10-(hnh*(H_1+H_2+H_3+H_4+H_5+H_6+H_7+H_8+H_9+H_10))))</f>
        <v>#DIV/0!</v>
      </c>
      <c r="AZ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H_6*hnh/(TP-H_1-H_2-H_3-H_4-H_5-(hnh*(H_1+H_2+H_3+H_4+H_5))-(TP*VE*(Co_1+Co_2+Co_3+Co_4+Co_5)))</f>
        <v>#DIV/0!</v>
      </c>
      <c r="BB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H_7*hnh/(TP-H_1-H_2-H_3-H_4-H_5-H_6-(hnh*(H_1+H_2+H_3+H_4+H_5+H_6))-(TP*VE*(Co_1+Co_2+Co_3+Co_4+Co_5+Co_6)))</f>
        <v>#DIV/0!</v>
      </c>
      <c r="BC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H_8*hnh/(TP-H_1-H_2-H_3-H_4-H_5-H_6-H_7-(hnh*(H_1+H_2+H_3+H_4+H_5+H_6+H_7))-(TP*VE*(Co_1+Co_2+Co_3+Co_4+Co_5+Co_6+Co_7)))</f>
        <v>#DIV/0!</v>
      </c>
      <c r="BD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H_9*hnh/(TP-H_1-H_2-H_3-H_4-H_5-H_6-H_7-H_8-(hnh*(H_1+H_2+H_3+H_4+H_5+H_6+H_7+H_8))-(TP*VE*(Co_1+Co_2+Co_3+Co_4+Co_5+Co_6+Co_7+Co_8)))</f>
        <v>#DIV/0!</v>
      </c>
      <c r="BE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H_10*hnh/(TP-H_1-H_2-H_3-H_4-H_5-H_6-H_7-H_8-H_9-(hnh*(H_1+H_2+H_3+H_4+H_5+H_6+H_7+H_8+H_9))-(TP*VE*(Co_1+Co_2+Co_3+Co_4+Co_5+Co_6+Co_7+Co_8+Co_9)))</f>
        <v>#DIV/0!</v>
      </c>
      <c r="BF4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42-BA42-BB42-BC42-BD42-BE42-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44-BA44-BB44-BC44-BD44-BE44)*H_11*hnh/(TP-H_1-H_2-H_3-H_4-H_5-H_6-H_7-H_8-H_9-H_10-(hnh*(H_1+H_2+H_3+H_4+H_5+H_6+H_7+H_8+H_9+H_10))-(TP*VE*(Co_1+Co_2+Co_3+Co_4+Co_5+Co_6+Co_7+Co_8+Co_9+Co_10)))</f>
        <v>#DIV/0!</v>
      </c>
    </row>
    <row r="45" spans="1:58" hidden="1" outlineLevel="1" x14ac:dyDescent="0.25">
      <c r="F45" s="112"/>
      <c r="Q45" s="118" t="e">
        <f>Q44-Q35</f>
        <v>#DIV/0!</v>
      </c>
      <c r="R45" s="118" t="e">
        <f t="shared" ref="R45:AB45" si="8">R44-R35</f>
        <v>#DIV/0!</v>
      </c>
      <c r="S45" s="118" t="e">
        <f t="shared" si="8"/>
        <v>#DIV/0!</v>
      </c>
      <c r="T45" s="118" t="e">
        <f t="shared" si="8"/>
        <v>#DIV/0!</v>
      </c>
      <c r="U45" s="118" t="e">
        <f t="shared" si="8"/>
        <v>#DIV/0!</v>
      </c>
      <c r="V45" s="118" t="e">
        <f t="shared" si="8"/>
        <v>#DIV/0!</v>
      </c>
      <c r="W45" s="118" t="e">
        <f t="shared" si="8"/>
        <v>#DIV/0!</v>
      </c>
      <c r="X45" s="118" t="e">
        <f t="shared" si="8"/>
        <v>#DIV/0!</v>
      </c>
      <c r="Y45" s="118" t="e">
        <f t="shared" si="8"/>
        <v>#DIV/0!</v>
      </c>
      <c r="Z45" s="118" t="e">
        <f t="shared" si="8"/>
        <v>#DIV/0!</v>
      </c>
      <c r="AA45" s="118" t="e">
        <f t="shared" si="8"/>
        <v>#DIV/0!</v>
      </c>
      <c r="AB45" s="118" t="e">
        <f t="shared" si="8"/>
        <v>#DIV/0!</v>
      </c>
      <c r="AC45" s="118">
        <f t="shared" ref="AC45:AN45" si="9">AC44-AC35</f>
        <v>0</v>
      </c>
      <c r="AD45" s="118" t="e">
        <f t="shared" si="9"/>
        <v>#DIV/0!</v>
      </c>
      <c r="AE45" s="118" t="e">
        <f t="shared" si="9"/>
        <v>#DIV/0!</v>
      </c>
      <c r="AF45" s="118" t="e">
        <f t="shared" si="9"/>
        <v>#DIV/0!</v>
      </c>
      <c r="AG45" s="118" t="e">
        <f t="shared" si="9"/>
        <v>#DIV/0!</v>
      </c>
      <c r="AH45" s="118" t="e">
        <f t="shared" si="9"/>
        <v>#DIV/0!</v>
      </c>
      <c r="AI45" s="118" t="e">
        <f t="shared" si="9"/>
        <v>#DIV/0!</v>
      </c>
      <c r="AJ45" s="118" t="e">
        <f t="shared" si="9"/>
        <v>#DIV/0!</v>
      </c>
      <c r="AK45" s="118" t="e">
        <f t="shared" si="9"/>
        <v>#DIV/0!</v>
      </c>
      <c r="AL45" s="118" t="e">
        <f t="shared" si="9"/>
        <v>#DIV/0!</v>
      </c>
      <c r="AM45" s="118" t="e">
        <f t="shared" si="9"/>
        <v>#DIV/0!</v>
      </c>
      <c r="AN45" s="118" t="e">
        <f t="shared" si="9"/>
        <v>#DIV/0!</v>
      </c>
    </row>
    <row r="46" spans="1:58" hidden="1" outlineLevel="1" x14ac:dyDescent="0.25"/>
    <row r="47" spans="1:58" hidden="1" outlineLevel="1" x14ac:dyDescent="0.25"/>
    <row r="48" spans="1:58" collapsed="1" x14ac:dyDescent="0.25"/>
    <row r="49" spans="1:58" s="105" customFormat="1" x14ac:dyDescent="0.25">
      <c r="A49" s="104" t="s">
        <v>140</v>
      </c>
      <c r="B49" s="104"/>
    </row>
    <row r="50" spans="1:58" hidden="1" outlineLevel="1" x14ac:dyDescent="0.25">
      <c r="Q50" s="369" t="s">
        <v>72</v>
      </c>
      <c r="R50" s="369"/>
      <c r="S50" s="369"/>
      <c r="T50" s="369"/>
      <c r="U50" s="369"/>
      <c r="V50" s="369"/>
      <c r="W50" s="369"/>
      <c r="X50" s="369"/>
      <c r="Y50" s="369"/>
      <c r="Z50" s="369"/>
      <c r="AA50" s="369"/>
      <c r="AB50" s="369"/>
      <c r="AC50" s="370" t="s">
        <v>104</v>
      </c>
      <c r="AD50" s="370"/>
      <c r="AE50" s="370"/>
      <c r="AF50" s="370"/>
      <c r="AG50" s="370"/>
      <c r="AH50" s="370"/>
      <c r="AI50" s="370"/>
      <c r="AJ50" s="370"/>
      <c r="AK50" s="370"/>
      <c r="AL50" s="370"/>
      <c r="AM50" s="370"/>
      <c r="AN50" s="370"/>
      <c r="AP50" s="103">
        <v>3</v>
      </c>
      <c r="AQ50" s="103">
        <v>4</v>
      </c>
      <c r="AR50" s="103">
        <v>5</v>
      </c>
      <c r="AS50" s="103">
        <v>6</v>
      </c>
      <c r="AT50" s="103">
        <v>7</v>
      </c>
      <c r="AU50" s="103">
        <v>8</v>
      </c>
      <c r="AV50" s="103">
        <v>9</v>
      </c>
      <c r="AW50" s="103">
        <v>10</v>
      </c>
      <c r="AX50" s="103">
        <v>11</v>
      </c>
      <c r="AZ50" s="103">
        <v>5</v>
      </c>
      <c r="BA50" s="103">
        <v>6</v>
      </c>
      <c r="BB50" s="103">
        <v>7</v>
      </c>
      <c r="BC50" s="103">
        <v>8</v>
      </c>
      <c r="BD50" s="103">
        <v>9</v>
      </c>
      <c r="BE50" s="103">
        <v>10</v>
      </c>
      <c r="BF50" s="103">
        <v>11</v>
      </c>
    </row>
    <row r="51" spans="1:58" ht="45" hidden="1" outlineLevel="1" x14ac:dyDescent="0.25">
      <c r="A51" s="11" t="s">
        <v>47</v>
      </c>
      <c r="B51" s="11"/>
      <c r="C51" s="11"/>
      <c r="D51" s="11"/>
      <c r="E51" s="11"/>
      <c r="F51" s="11"/>
      <c r="G51" s="371" t="s">
        <v>50</v>
      </c>
      <c r="H51" s="371"/>
      <c r="I51" s="372" t="s">
        <v>44</v>
      </c>
      <c r="J51" s="372"/>
      <c r="K51" s="370" t="s">
        <v>58</v>
      </c>
      <c r="L51" s="370"/>
      <c r="M51" s="372" t="s">
        <v>45</v>
      </c>
      <c r="N51" s="372"/>
      <c r="Q51" s="369" t="s">
        <v>1</v>
      </c>
      <c r="R51" s="369"/>
      <c r="S51" s="369"/>
      <c r="T51" s="369"/>
      <c r="U51" s="369"/>
      <c r="V51" s="369"/>
      <c r="W51" s="369"/>
      <c r="X51" s="369"/>
      <c r="Y51" s="369"/>
      <c r="Z51" s="369"/>
      <c r="AA51" s="369"/>
      <c r="AB51" s="369"/>
      <c r="AC51" s="370" t="s">
        <v>71</v>
      </c>
      <c r="AD51" s="370"/>
      <c r="AE51" s="370"/>
      <c r="AF51" s="370"/>
      <c r="AG51" s="370"/>
      <c r="AH51" s="370"/>
      <c r="AI51" s="370"/>
      <c r="AJ51" s="370"/>
      <c r="AK51" s="370"/>
      <c r="AL51" s="370"/>
      <c r="AM51" s="370"/>
      <c r="AN51" s="370"/>
      <c r="AP51" s="103" t="s">
        <v>73</v>
      </c>
      <c r="AQ51" s="103" t="s">
        <v>74</v>
      </c>
      <c r="AR51" s="103" t="s">
        <v>75</v>
      </c>
      <c r="AS51" s="103" t="s">
        <v>76</v>
      </c>
      <c r="AT51" s="103" t="s">
        <v>77</v>
      </c>
      <c r="AU51" s="103" t="s">
        <v>78</v>
      </c>
      <c r="AV51" s="103" t="s">
        <v>79</v>
      </c>
      <c r="AW51" s="103" t="s">
        <v>80</v>
      </c>
      <c r="AX51" s="103" t="s">
        <v>81</v>
      </c>
      <c r="AZ51" s="103" t="s">
        <v>105</v>
      </c>
      <c r="BA51" s="103" t="s">
        <v>91</v>
      </c>
      <c r="BB51" s="103" t="s">
        <v>93</v>
      </c>
      <c r="BC51" s="103" t="s">
        <v>94</v>
      </c>
      <c r="BD51" s="103" t="s">
        <v>95</v>
      </c>
      <c r="BE51" s="103" t="s">
        <v>96</v>
      </c>
      <c r="BF51" s="103" t="s">
        <v>97</v>
      </c>
    </row>
    <row r="52" spans="1:58" ht="45" hidden="1" outlineLevel="1" x14ac:dyDescent="0.25">
      <c r="A52" s="70" t="s">
        <v>40</v>
      </c>
      <c r="B52" s="70" t="s">
        <v>41</v>
      </c>
      <c r="C52" s="70" t="s">
        <v>53</v>
      </c>
      <c r="D52" s="70" t="s">
        <v>48</v>
      </c>
      <c r="E52" s="70" t="s">
        <v>42</v>
      </c>
      <c r="F52" s="76" t="s">
        <v>49</v>
      </c>
      <c r="G52" s="71" t="s">
        <v>51</v>
      </c>
      <c r="H52" s="71" t="s">
        <v>52</v>
      </c>
      <c r="I52" s="72" t="s">
        <v>51</v>
      </c>
      <c r="J52" s="72" t="s">
        <v>52</v>
      </c>
      <c r="K52" s="77" t="s">
        <v>51</v>
      </c>
      <c r="L52" s="77" t="s">
        <v>52</v>
      </c>
      <c r="M52" s="72" t="s">
        <v>51</v>
      </c>
      <c r="N52" s="72" t="s">
        <v>52</v>
      </c>
      <c r="Q52" s="102">
        <v>1</v>
      </c>
      <c r="R52" s="102">
        <v>2</v>
      </c>
      <c r="S52" s="102">
        <v>3</v>
      </c>
      <c r="T52" s="102">
        <v>4</v>
      </c>
      <c r="U52" s="102">
        <v>5</v>
      </c>
      <c r="V52" s="102">
        <v>6</v>
      </c>
      <c r="W52" s="102">
        <v>7</v>
      </c>
      <c r="X52" s="102">
        <v>8</v>
      </c>
      <c r="Y52" s="102">
        <v>9</v>
      </c>
      <c r="Z52" s="102">
        <v>10</v>
      </c>
      <c r="AA52" s="102">
        <v>11</v>
      </c>
      <c r="AB52" s="102">
        <v>12</v>
      </c>
      <c r="AC52" s="101">
        <v>1</v>
      </c>
      <c r="AD52" s="101">
        <v>2</v>
      </c>
      <c r="AE52" s="101">
        <v>3</v>
      </c>
      <c r="AF52" s="101">
        <v>4</v>
      </c>
      <c r="AG52" s="101">
        <v>5</v>
      </c>
      <c r="AH52" s="101">
        <v>6</v>
      </c>
      <c r="AI52" s="101">
        <v>7</v>
      </c>
      <c r="AJ52" s="101">
        <v>8</v>
      </c>
      <c r="AK52" s="101">
        <v>9</v>
      </c>
      <c r="AL52" s="101">
        <v>10</v>
      </c>
      <c r="AM52" s="101">
        <v>11</v>
      </c>
      <c r="AN52" s="101">
        <v>12</v>
      </c>
      <c r="AP52" s="103" t="e">
        <f>((TP-H_1-((TP-H_1-(H_1*hnh)-(TP*sCo3_1*VE))*H_2/(TP-H_1-(H_1*hnh)))-(H_1*hnh)-((TP-H_1-(H_1*hnh)-(TP*sCo3_1*VE))*H_2*hnh/(TP-H_1-(H_1*hnh)))-(TP*sCo3_1*VE)-(TP*sCo3_2*VE))*(H_3/(TP-H_1-H_2-(hnh*(H_1+H_2)))))</f>
        <v>#DIV/0!</v>
      </c>
      <c r="AQ52" s="103" t="e">
        <f>(TP-H_1-((TP-H_1-(H_1*hnh)-(TP*sCo3_1*VE))*H_2/(TP-H_1-(H_1*hnh)))-AP52-(H_1*hnh)-((TP-H_1-(H_1*hnh)-(TP*sCo3_1*VE))*H_2*hnh/(TP-H_1-(H_1*hnh)))-AP54-(TP*sCo3_1*VE)-(TP*sCo3_2*VE)-(TP*sCo3_3*VE))*(H_4/(TP-H_1-H_2-H_3-(hnh*(H_1+H_2+H_3))))</f>
        <v>#DIV/0!</v>
      </c>
      <c r="AR52" s="103" t="e">
        <f>(TP-H_1-((TP-H_1-(H_1*hnh)-(TP*sCo3_1*VE))*H_2/(TP-H_1-(H_1*hnh)))-AP52-AQ52-(H_1*hnh)-((TP-H_1-(H_1*hnh)-(TP*sCo3_1*VE))*H_2*hnh/(TP-H_1-(H_1*hnh)))-AP54-AQ54-(TP*sCo3_1*VE)-(TP*sCo3_2*VE)-(TP*sCo3_3*VE)-(TP*sCo3_4*VE))*(H_5/(TP-H_1-H_2-H_3-H_4-(hnh*(H_1+H_2+H_3+H_4))))</f>
        <v>#DIV/0!</v>
      </c>
      <c r="AS52" s="103" t="e">
        <f>(TP-H_1-((TP-H_1-(H_1*hnh)-(TP*sCo3_1*VE))*H_2/(TP-H_1-(H_1*hnh)))-AP52-AQ52-AR52-(H_1*hnh)-((TP-H_1-(H_1*hnh)-(TP*sCo3_1*VE))*H_2*hnh/(TP-H_1-(H_1*hnh)))-AP54-AQ54-AR54-(TP*sCo3_1*VE)-(TP*sCo3_2*VE)-(TP*sCo3_3*VE)-(TP*sCo3_4*VE)-(TP*sCo3_5*VE))*(H_6/(TP-H_1-H_2-H_3-H_4-H_5-(hnh*(H_1+H_2+H_3+H_4+H_5))))</f>
        <v>#DIV/0!</v>
      </c>
      <c r="AT52" s="103" t="e">
        <f>(TP-H_1-((TP-H_1-(H_1*hnh)-(TP*sCo3_1*VE))*H_2/(TP-H_1-(H_1*hnh)))-AP52-AQ52-AR52-AS52-(H_1*hnh)-((TP-H_1-(H_1*hnh)-(TP*sCo3_1*VE))*H_2*hnh/(TP-H_1-(H_1*hnh)))-AP54-AQ54-AR54-AS54-(TP*sCo3_1*VE)-(TP*sCo3_2*VE)-(TP*sCo3_3*VE)-(TP*sCo3_4*VE)-(TP*sCo3_5*VE)-(TP*sCo3_6*VE))*(H_7/(TP-H_1-H_2-H_3-H_4-H_5-H_6-(hnh*(H_1+H_2+H_3+H_4+H_5+H_6))))</f>
        <v>#DIV/0!</v>
      </c>
      <c r="AU52" s="103" t="e">
        <f>(TP-H_1-((TP-H_1-(H_1*hnh)-(TP*sCo3_1*VE))*H_2/(TP-H_1-(H_1*hnh)))-AP52-AQ52-AR52-AS52-AT52-(H_1*hnh)-((TP-H_1-(H_1*hnh)-(TP*sCo3_1*VE))*H_2*hnh/(TP-H_1-(H_1*hnh)))-AP54-AQ54-AR54-AS54-AT54-(TP*sCo3_1*VE)-(TP*sCo3_2*VE)-(TP*sCo3_3*VE)-(TP*sCo3_4*VE)-(TP*sCo3_5*VE)-(TP*sCo3_6*VE)-(TP*sCo3_7*VE))*(H_8/(TP-H_1-H_2-H_3-H_4-H_5-H_6-H_7-(hnh*(H_1+H_2+H_3+H_4+H_5+H_6+H_7))))</f>
        <v>#DIV/0!</v>
      </c>
      <c r="AV52" s="103" t="e">
        <f>(TP-H_1-((TP-H_1-(H_1*hnh)-(TP*sCo3_1*VE))*H_2/(TP-H_1-(H_1*hnh)))-AP52-AQ52-AR52-AS52-AT52-AU52-(H_1*hnh)-((TP-H_1-(H_1*hnh)-(TP*sCo3_1*VE))*H_2*hnh/(TP-H_1-(H_1*hnh)))-AP54-AQ54-AR54-AS54-AT54-AU54-(TP*sCo3_1*VE)-(TP*sCo3_2*VE)-(TP*sCo3_3*VE)-(TP*sCo3_4*VE)-(TP*sCo3_5*VE)-(TP*sCo3_6*VE)-(TP*sCo3_7*VE)-(TP*sCo3_8*VE))*(H_9/(TP-H_1-H_2-H_3-H_4-H_5-H_6-H_7-H_8-(hnh*(H_1+H_2+H_3+H_4+H_5+H_6+H_7+H_8))))</f>
        <v>#DIV/0!</v>
      </c>
      <c r="AW52" s="103" t="e">
        <f>(TP-H_1-((TP-H_1-(H_1*hnh)-(TP*sCo3_1*VE))*H_2/(TP-H_1-(H_1*hnh)))-AP52-AQ52-AR52-AS52-AT52-AU52-AV52-(H_1*hnh)-((TP-H_1-(H_1*hnh)-(TP*sCo3_1*VE))*H_2*hnh/(TP-H_1-(H_1*hnh)))-AP54-AQ54-AR54-AS54-AT54-AU54-AV54-(TP*sCo3_1*VE)-(TP*sCo3_2*VE)-(TP*sCo3_3*VE)-(TP*sCo3_4*VE)-(TP*sCo3_5*VE)-(TP*sCo3_6*VE)-(TP*sCo3_7*VE)-(TP*sCo3_8*VE)-(TP*sCo3_9*VE))*(H_10/(TP-H_1-H_2-H_3-H_4-H_5-H_6-H_7-H_8-H_9-(hnh*(H_1+H_2+H_3+H_4+H_5+H_6+H_7+H_8+H_9))))</f>
        <v>#DIV/0!</v>
      </c>
      <c r="AX52" s="103" t="e">
        <f>(TP-H_1-((TP-H_1-(H_1*hnh)-(TP*sCo3_1*VE))*H_2/(TP-H_1-(H_1*hnh)))-AP52-AQ52-AR52-AS52-AT52-AU52-AV52-AW52-(H_1*hnh)-((TP-H_1-(H_1*hnh)-(TP*sCo3_1*VE))*H_2*hnh/(TP-H_1-(H_1*hnh)))-AP54-AQ54-AR54-AS54-AT54-AU54-AV54-AW54-(TP*sCo3_1*VE)-(TP*sCo3_2*VE)-(TP*sCo3_3*VE)-(TP*sCo3_4*VE)-(TP*sCo3_5*VE)-(TP*sCo3_6*VE)-(TP*sCo3_7*VE)-(TP*sCo3_8*VE)-(TP*sCo3_9*VE)-(TP*sCo3_10*VE))*(H_11/(TP-H_1-H_2-H_3-H_4-H_5-H_6-H_7-H_8-H_9-H_10-(hnh*(H_1+H_2+H_3+H_4+H_5+H_6+H_7+H_8+H_9+H_10))))</f>
        <v>#DIV/0!</v>
      </c>
      <c r="AZ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H_6/(TP-H_1-H_2-H_3-H_4-H_5-(hnh*(H_1+H_2+H_3+H_4+H_5))-(TP*VE*(Co_1+Co_2+Co_3+Co_4+Co_5)))</f>
        <v>#DIV/0!</v>
      </c>
      <c r="BB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H_7/(TP-H_1-H_2-H_3-H_4-H_5-H_6-(hnh*(H_1+H_2+H_3+H_4+H_5+H_6))-(TP*VE*(Co_1+Co_2+Co_3+Co_4+Co_5+Co_6)))</f>
        <v>#DIV/0!</v>
      </c>
      <c r="BC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H_8/(TP-H_1-H_2-H_3-H_4-H_5-H_6-H_7-(hnh*(H_1+H_2+H_3+H_4+H_5+H_6+H_7))-(TP*VE*(Co_1+Co_2+Co_3+Co_4+Co_5+Co_6+Co_7)))</f>
        <v>#DIV/0!</v>
      </c>
      <c r="BD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H_9/(TP-H_1-H_2-H_3-H_4-H_5-H_6-H_7-H_8-(hnh*(H_1+H_2+H_3+H_4+H_5+H_6+H_7+H_8))-(TP*VE*(Co_1+Co_2+Co_3+Co_4+Co_5+Co_6+Co_7+Co_8)))</f>
        <v>#DIV/0!</v>
      </c>
      <c r="BE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H_10/(TP-H_1-H_2-H_3-H_4-H_5-H_6-H_7-H_8-H_9-(hnh*(H_1+H_2+H_3+H_4+H_5+H_6+H_7+H_8+H_9))-(TP*VE*(Co_1+Co_2+Co_3+Co_4+Co_5+Co_6+Co_7+Co_8+Co_9)))</f>
        <v>#DIV/0!</v>
      </c>
      <c r="BF52"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H_11/(TP-H_1-H_2-H_3-H_4-H_5-H_6-H_7-H_8-H_9-H_10-(hnh*(H_1+H_2+H_3+H_4+H_5+H_6+H_7+H_8+H_9+H_10))-(TP*VE*(Co_1+Co_2+Co_3+Co_4+Co_5+Co_6+Co_7+Co_8+Co_9+Co_10)))</f>
        <v>#DIV/0!</v>
      </c>
    </row>
    <row r="53" spans="1:58" hidden="1" outlineLevel="1" x14ac:dyDescent="0.25">
      <c r="A53" s="73">
        <f>season</f>
        <v>0</v>
      </c>
      <c r="B53" s="73">
        <f>TG</f>
        <v>0</v>
      </c>
      <c r="C53" s="73">
        <f>TP</f>
        <v>0</v>
      </c>
      <c r="D53" s="74" t="e">
        <f>G25</f>
        <v>#DIV/0!</v>
      </c>
      <c r="E53" s="75">
        <f>VE</f>
        <v>0</v>
      </c>
      <c r="F53" s="78" t="e">
        <f>G53/IF(mb=1,SUM(AC53:AN53),IF(mb=2,SUM(AD53:AN53),IF(mb=3,SUM(AE53:AN53),IF(mb=4,SUM(AF53:AN53),IF(mb=5,SUM(AG53:AN53),IF(mb=6,SUM(AH53:AN53),IF(mb=7,SUM(AI53:AN53),IF(mb=8,SUM(AJ53:AN53),0))))))))</f>
        <v>#DIV/0!</v>
      </c>
      <c r="G53" s="42">
        <f>IF(mb=1,SUM(AC53:AN53)-SUM(Q53:AB53),IF(mb=2,SUM(AD53:AN53)-SUM(R53:AB53),IF(mb=3,SUM(AE53:AN53)-SUM(S53:AB53),IF(mb=4,SUM(AF53:AN53)-SUM(T53:AB53),IF(mb=5,SUM(AG53:AN53)-SUM(U53:AB53),IF(mb=6,SUM(AH53:AN53)-SUM(V53:AB53),IF(mb=7,SUM(AI53:AN53)-SUM(W53:AB53),IF(mb=8,SUM(AJ53:AN53)-SUM(X53:AB53),0))))))))</f>
        <v>0</v>
      </c>
      <c r="H53" s="96" t="e">
        <f>1/(VE*IF(mb=1,SUM(AC53:AN53),IF(mb=2,SUM(AD53:AN53),IF(mb=3,SUM(AE53:AN53),IF(mb=4,SUM(AF53:AN53),IF(mb=5,SUM(AG53:AN53),IF(mb=6,SUM(AH53:AN53),IF(mb=7,SUM(AI53:AN53),IF(mb=8,SUM(AJ53:AN53),0))))))))/TP)</f>
        <v>#DIV/0!</v>
      </c>
      <c r="I53" s="93" t="e">
        <f>G53/hnh</f>
        <v>#DIV/0!</v>
      </c>
      <c r="J53" s="42" t="e">
        <f>1/(VE*IF(mb=1,SUM(AC53:AN53),IF(mb=2,SUM(AD53:AN53),IF(mb=3,SUM(AE53:AN53),IF(mb=4,SUM(AF53:AN53),IF(mb=5,SUM(AG53:AN53),IF(mb=6,SUM(AH53:AN53),IF(mb=7,SUM(AI53:AN53),IF(mb=8,SUM(AJ53:AN53),0))))))))/(TP*hnh))</f>
        <v>#DIV/0!</v>
      </c>
      <c r="K53" s="42" t="e">
        <f>M53*mai</f>
        <v>#DIV/0!</v>
      </c>
      <c r="L53" s="42" t="e">
        <f>1/(VE*((IF(mb=1,SUM(AC53:AN53),IF(mb=2,SUM(AD53:AN53),IF(mb=3,SUM(AE53:AN53),IF(mb=4,SUM(AF53:AN53),IF(mb=5,SUM(AG53:AN53),IF(mb=6,SUM(AH53:AN53),IF(mb=7,SUM(AI53:AN53),IF(mb=8,SUM(AJ53:AN53),0))))))))+(IF(mb=1,SUM(AC53:AN53),IF(mb=2,SUM(AD53:AN53),IF(mb=3,SUM(AE53:AN53),IF(mb=4,SUM(AF53:AN53),IF(mb=5,SUM(AG53:AN53),IF(mb=6,SUM(AH53:AN53),IF(mb=7,SUM(AI53:AN53),IF(mb=8,SUM(AJ53:AN53),0)))))))))/hnh)*mai)/TP)</f>
        <v>#DIV/0!</v>
      </c>
      <c r="M53" s="42" t="e">
        <f>G53+I53</f>
        <v>#DIV/0!</v>
      </c>
      <c r="N53" s="42" t="e">
        <f>1/(VE*(IF(mb=1,SUM(AC53:AN53),IF(mb=2,SUM(AD53:AN53),IF(mb=3,SUM(AE53:AN53),IF(mb=4,SUM(AF53:AN53),IF(mb=5,SUM(AG53:AN53),IF(mb=6,SUM(AH53:AN53),IF(mb=7,SUM(AI53:AN53),IF(mb=8,SUM(AJ53:AN53),0))))))))+(IF(mb=1,SUM(AC53:AN53),IF(mb=2,SUM(AD53:AN53),IF(mb=3,SUM(AE53:AN53),IF(mb=4,SUM(AF53:AN53),IF(mb=5,SUM(AG53:AN53),IF(mb=6,SUM(AH53:AN53),IF(mb=7,SUM(AI53:AN53),IF(mb=8,SUM(AJ53:AN53),0)))))))))/hnh)/TP)</f>
        <v>#DIV/0!</v>
      </c>
      <c r="Q53" s="86" t="e">
        <f>IF(ISc=1,nh1_1,IF(ISc=2,H_1*hnh,0))</f>
        <v>#DIV/0!</v>
      </c>
      <c r="R53" s="111" t="e">
        <f>IF(ScI=1,((nh1_2/(TP-(nh1_1/hnh)-nh1_1))*(TP-(nh1_1/hnh)-nh1_1-(TP*sCo3_1*VE))),IF(ScI=2,(TP-H_1-(H_1*hnh)-(TP*sCo3_1*VE))*(H_2*hnh/(TP-H_1-(H_1*hnh))),0))</f>
        <v>#DIV/0!</v>
      </c>
      <c r="S53" s="86" t="e">
        <f>IF(ScI=1,(nh1_3/(TP-((nh1_1+nh1_2)/hnh)-nh1_1-nh1_2))*(TP-(nh1_1/hnh)-(R53/hnh)-nh1_1-R53-(TP*VE*(sCo3_1+sCo3_2))),IF(ScI=2,(TP-H_1-((TP-H_1-(H_1*hnh)-(TP*sCo3_1*VE))*H_2/(TP-H_1-(H_1*hnh)))-(H_1*hnh)-((TP-H_1-(H_1*hnh)-(TP*sCo3_1*VE))*H_2*hnh/(TP-H_1-(H_1*hnh)))-(TP*sCo3_1*VE)-(TP*sCo3_2*VE))*(H_3*hnh/(TP-H_1-H_2-(hnh*(H_1+H_2)))),0))</f>
        <v>#DIV/0!</v>
      </c>
      <c r="T53" s="86" t="e">
        <f>IF(ScI=1,(nh1_4/(TP-(nh1_1/hnh)-(nh1_2/hnh)-(nh1_3/hnh)-nh1_1-nh1_2-nh1_3))*(TP-(nh1_1/hnh)-(R53/hnh)-(S53/hnh)-nh1_1-R53-S53-(TP*VE*(sCo3_1+sCo3_2+sCo3_3))),IF(ScI=2,(TP-H_1-((TP-H_1-(H_1*hnh)-(TP*sCo3_1*VE))*H_2/(TP-H_1-(H_1*hnh)))-((TP-H_1-(((TP-H_1-(H_1*hnh)-(TP*sCo3_1*VE))*H_2/(TP-H_1-(H_1*hnh))))-(H_1*hnh)-((TP-H_1-(H_1*hnh)-(TP*sCo3_1*VE))*H_2*hnh/(TP-H_1-(H_1*hnh)))-(TP*sCo3_1*VE)-(TP*sCo3_2*VE))*(H_3/(TP-H_1-H_2-(hnh*(H_1+H_2)))))-(H_1*hnh)-((TP-H_1-(H_1*hnh)-(TP*sCo3_1*VE))*H_2*hnh/(TP-H_1-(H_1*hnh)))-((TP-H_1-(((TP-H_1-(H_1*hnh)-(TP*sCo3_1*VE))*H_2/(TP-H_1-(H_1*hnh))))-(H_1*hnh)-(((TP-H_1-(H_1*hnh)-(TP*sCo3_1*VE))*H_2*hnh/(TP-H_1-(H_1*hnh))))-(TP*sCo3_1*VE)-(TP*sCo3_2*VE))*(H_3*hnh/(TP-H_1-H_2-(hnh*(H_1+H_2)))))-(TP*sCo3_1*VE)-(TP*sCo3_2*VE)-(TP*sCo3_3*VE))*(H_4*hnh/(TP-H_1-H_2-H_3-(hnh*(H_1+H_2+H_3)))),0))</f>
        <v>#DIV/0!</v>
      </c>
      <c r="U53" s="86" t="e">
        <f>IF(ScI=1,(nh1_5/(TP-(nh1_1/hnh)-(nh1_2/hnh)-(nh1_3/hnh)-(nh1_4/hnh)-nh1_1-nh1_2-nh1_3-nh1_4))*(TP-(nh1_1/hnh)-(R53/hnh)-(S53/hnh)-(T53/hnh)-nh1_1-R53-S53-T53-(TP*VE*(sCo3_1+sCo3_2+sCo3_3+sCo3_4))),IF(ScI=2,(TP-H_1-(((TP-H_1-(H_1*hnh)-(TP*sCo3_1*VE))*H_2/(TP-H_1-(H_1*hnh))))-AP52-AQ52-(H_1*hnh)-((TP-H_1-(H_1*hnh)-(TP*sCo3_1*VE))*H_2*hnh/(TP-H_1-(H_1*hnh)))-AP54-AQ54-(TP*sCo3_1*VE)-(TP*sCo3_2*VE)-(TP*sCo3_3*VE)-(TP*sCo3_4*VE))*(H_5*hnh/(TP-H_1-H_2-H_3-H_4-(hnh*(H_1+H_2+H_3+H_4)))),0))</f>
        <v>#DIV/0!</v>
      </c>
      <c r="V53" s="86" t="e">
        <f>IF(ScI=1,(nh1_6/(TP-(nh1_1/hnh)-(nh1_2/hnh)-(nh1_3/hnh)-(nh1_4/hnh)-(nh1_5/hnh)-nh1_1-nh1_2-nh1_3-nh1_4-nh1_5))*(TP-(nh1_1/hnh)-(R53/hnh)-(S53/hnh)-(T53/hnh)-(U53/hnh)-nh1_1-R53-S53-T53-U53-(TP*VE*(sCo3_1+sCo3_2+sCo3_3+sCo3_4+sCo3_5))),IF(ScI=2,(TP-H_1-((TP-H_1-(H_1*hnh)-(TP*sCo3_1*VE))*H_2/(TP-H_1-(H_1*hnh)))-AP52-AQ52-AR52-(H_1*hnh)-((TP-H_1-(H_1*hnh)-(TP*sCo3_1*VE))*H_2*hnh/(TP-H_1-(H_1*hnh)))-AP54-AQ54-AR54-(TP*sCo3_1*VE)-(TP*sCo3_2*VE)-(TP*sCo3_3*VE)-(TP*sCo3_4*VE)-(TP*sCo3_5*VE))*(H_6*hnh/(TP-H_1-H_2-H_3-H_4-H_5-(hnh*(H_1+H_2+H_3+H_4+H_5)))),0))</f>
        <v>#DIV/0!</v>
      </c>
      <c r="W53" s="86" t="e">
        <f>IF(ScI=1,(nh1_7/(TP-(nh1_1/hnh)-(nh1_2/hnh)-(nh1_3/hnh)-(nh1_4/hnh)-(nh1_5/hnh)-(nh1_6/hnh)-nh1_1-nh1_2-nh1_3-nh1_4-nh1_5-nh1_6))*(TP-(nh1_1/hnh)-(R53/hnh)-(S53/hnh)-(T53/hnh)-(U53/hnh)-(V53/hnh)-nh1_1-R53-S53-T53-U53-V53-(TP*VE*(sCo3_1+sCo3_2+sCo3_3+sCo3_4+sCo3_5+sCo3_6))),IF(ScI=2,(TP-H_1-((TP-H_1-(H_1*hnh)-(TP*sCo3_1*VE))*H_2/(TP-H_1-(H_1*hnh)))-AP52-AQ52-AR52-AS52-(H_1*hnh)-((TP-H_1-(H_1*hnh)-(TP*sCo3_1*VE))*H_2*hnh/(TP-H_1-(H_1*hnh)))-AP54-AQ54-AR54-AS54-(TP*sCo3_1*VE)-(TP*sCo3_2*VE)-(TP*sCo3_3*VE)-(TP*sCo3_4*VE)-(TP*sCo3_5*VE)-(TP*sCo3_6*VE))*(H_7*hnh/(TP-H_1-H_2-H_3-H_4-H_5-H_6-(hnh*(H_1+H_2+H_3+H_4+H_5+H_6)))),0))</f>
        <v>#DIV/0!</v>
      </c>
      <c r="X53" s="86" t="e">
        <f>IF(ScI=1,(nh1_8/(TP-(nh1_1/hnh)-(nh1_2/hnh)-(nh1_3/hnh)-(nh1_4/hnh)-(nh1_5/hnh)-(nh1_6/hnh)-(nh1_7/hnh)-nh1_1-nh1_2-nh1_3-nh1_4-nh1_5-nh1_6-nh1_7))*(TP-(nh1_1/hnh)-(R53/hnh)-(S53/hnh)-(T53/hnh)-(U53/hnh)-(V53/hnh)-(W53/hnh)-nh1_1-R53-S53-T53-U53-V53-W53-(TP*VE*(sCo3_1+sCo3_2+sCo3_3+sCo3_4+sCo3_5+sCo3_6+sCo3_7))),IF(ScI=2,(TP-H_1-((TP-H_1-(H_1*hnh)-(TP*sCo3_1*VE))*H_2/(TP-H_1-(H_1*hnh)))-AP52-AQ52-AR52-AS52-AT52-(H_1*hnh)-((TP-H_1-(H_1*hnh)-(TP*sCo3_1*VE))*H_2*hnh/(TP-H_1-(H_1*hnh)))-AP54-AQ54-AR54-AS54-AT54-(TP*sCo3_1*VE)-(TP*sCo3_2*VE)-(TP*sCo3_3*VE)-(TP*sCo3_4*VE)-(TP*sCo3_5*VE)-(TP*sCo3_6*VE)-(TP*sCo3_7*VE))*(H_8*hnh/(TP-H_1-H_2-H_3-H_4-H_5-H_6-H_7-(hnh*(H_1+H_2+H_3+H_4+H_5+H_6+H_7)))),0))</f>
        <v>#DIV/0!</v>
      </c>
      <c r="Y53" s="86" t="e">
        <f>IF(ScI=1,(nh1_9/(TP-(nh1_1/hnh)-(nh1_2/hnh)-(nh1_3/hnh)-(nh1_4/hnh)-(nh1_5/hnh)-(nh1_6/hnh)-(nh1_7/hnh)-(nh1_8/hnh)-nh1_1-nh1_2-nh1_3-nh1_4-nh1_5-nh1_6-nh1_7-nh1_8))*(TP-(nh1_1/hnh)-(R53/hnh)-(S53/hnh)-(T53/hnh)-(U53/hnh)-(V53/hnh)-(W53/hnh)-(X53/hnh)-nh1_1-R53-S53-T53-U53-V53-W53-X53-(TP*VE*(sCo3_1+sCo3_2+sCo3_3+sCo3_4+sCo3_5+sCo3_6+sCo3_7+sCo3_8))),IF(ScI=2,(TP-H_1-((TP-H_1-(H_1*hnh)-(TP*sCo3_1*VE))*H_2/(TP-H_1-(H_1*hnh)))-AP52-AQ52-AR52-AS52-AT52-AU52-(H_1*hnh)-((TP-H_1-(H_1*hnh)-(TP*sCo3_1*VE))*H_2*hnh/(TP-H_1-(H_1*hnh)))-AP54-AQ54-AR54-AS54-AT54-AU54-(TP*sCo3_1*VE)-(TP*sCo3_2*VE)-(TP*sCo3_3*VE)-(TP*sCo3_4*VE)-(TP*sCo3_5*VE)-(TP*sCo3_6*VE)-(TP*sCo3_7*VE)-(TP*sCo3_8*VE))*(H_9*hnh/(TP-H_1-H_2-H_3-H_4-H_5-H_6-H_7-H_8-(hnh*(H_1+H_2+H_3+H_4+H_5+H_6+H_7+H_8)))),0))</f>
        <v>#DIV/0!</v>
      </c>
      <c r="Z53" s="86" t="e">
        <f>IF(ScI=1,(nh1_10/(TP-(nh1_1/hnh)-(nh1_2/hnh)-(nh1_3/hnh)-(nh1_4/hnh)-(nh1_5/hnh)-(nh1_6/hnh)-(nh1_7/hnh)-(nh1_8/hnh)-(nh1_9/hnh)-nh1_1-nh1_2-nh1_3-nh1_4-nh1_5-nh1_6-nh1_7-nh1_8-nh1_9))*(TP-(nh1_1/hnh)-(R53/hnh)-(S53/hnh)-(T53/hnh)-(U53/hnh)-(V53/hnh)-(W53/hnh)-(X53/hnh)-(Y53/hnh)-nh1_1-R53-S53-T53-U53-V53-W53-X53-Y53-(TP*VE*(sCo3_1+sCo3_2+sCo3_3+sCo3_4+sCo3_5+sCo3_6+sCo3_7+sCo3_8+sCo3_9))),IF(ScI=2,(TP-H_1-((TP-H_1-(H_1*hnh)-(TP*sCo3_1*VE))*H_2/(TP-H_1-(H_1*hnh)))-AP52-AQ52-AR52-AS52-AT52-AU52-AV52-(H_1*hnh)-((TP-H_1-(H_1*hnh)-(TP*sCo3_1*VE))*H_2*hnh/(TP-H_1-(H_1*hnh)))-AP54-AQ54-AR54-AS54-AT54-AU54-AV54-(TP*sCo3_1*VE)-(TP*sCo3_2*VE)-(TP*sCo3_3*VE)-(TP*sCo3_4*VE)-(TP*sCo3_5*VE)-(TP*sCo3_6*VE)-(TP*sCo3_7*VE)-(TP*sCo3_8*VE)-(TP*sCo3_9*VE))*(H_10*hnh/(TP-H_1-H_2-H_3-H_4-H_5-H_6-H_7-H_8-H_9-(hnh*(H_1+H_2+H_3+H_4+H_5+H_6+H_7+H_8+H_9)))),0))</f>
        <v>#DIV/0!</v>
      </c>
      <c r="AA53" s="86" t="e">
        <f>IF(ScI=1,(nh1_11/(TP-(nh1_1/hnh)-(nh1_2/hnh)-(nh1_3/hnh)-(nh1_4/hnh)-(nh1_5/hnh)-(nh1_6/hnh)-(nh1_7/hnh)-(nh1_8/hnh)-(nh1_9/hnh)-(nh1_10/hnh)-nh1_1-nh1_2-nh1_3-nh1_4-nh1_5-nh1_6-nh1_7-nh1_8-nh1_9-nh1_10))*(TP-(nh1_1/hnh)-(R53/hnh)-(S53/hnh)-(T53/hnh)-(U53/hnh)-(V53/hnh)-(W53/hnh)-(X53/hnh)-(Y53/hnh)-(Z53/hnh)-nh1_1-R53-S53-T53-U53-V53-W53-X53-Y53-Z53-(TP*VE*(sCo3_1+sCo3_2+sCo3_3+sCo3_4+sCo3_5+sCo3_6+sCo3_7+sCo3_8+sCo3_9+sCo3_10))),IF(ScI=2,(TP-H_1-((TP-H_1-(H_1*hnh)-(TP*sCo3_1*VE))*H_2/(TP-H_1-(H_1*hnh)))-AP52-AQ52-AR52-AS52-AT52-AU52-AV52-AW52-(H_1*hnh)-((TP-H_1-(H_1*hnh)-(TP*sCo3_1*VE))*H_2*hnh/(TP-H_1-(H_1*hnh)))-AP54-AQ54-AR54-AS54-AT54-AU54-AV54-AW54-(TP*sCo3_1*VE)-(TP*sCo3_2*VE)-(TP*sCo3_3*VE)-(TP*sCo3_4*VE)-(TP*sCo3_5*VE)-(TP*sCo3_6*VE)-(TP*sCo3_7*VE)-(TP*sCo3_8*VE)-(TP*sCo3_9*VE)-(TP*sCo3_10*VE))*(H_11*hnh/(TP-H_1-H_2-H_3-H_4-H_5-H_6-H_7-H_8-H_9-H_10-(hnh*(H_1+H_2+H_3+H_4+H_5+H_6+H_7+H_8+H_9+H_10)))),0))</f>
        <v>#DIV/0!</v>
      </c>
      <c r="AB53" s="86" t="e">
        <f>IF(ScI=1,(nh1_12/(TP-(nh1_1/hnh)-(nh1_2/hnh)-(nh1_3/hnh)-(nh1_4/hnh)-(nh1_5/hnh)-(nh1_6/hnh)-(nh1_7/hnh)-(nh1_8/hnh)-(nh1_9/hnh)-(nh1_10/hnh)-(nh1_11/hnh)-nh1_1-nh1_2-nh1_3-nh1_4-nh1_5-nh1_6-nh1_7-nh1_8-nh1_9-nh1_10-nh1_11))*(TP-(nh1_1/hnh)-(R53/hnh)-(S53/hnh)-(T53/hnh)-(U53/hnh)-(V53/hnh)-(W53/hnh)-(X53/hnh)-(Y53/hnh)-(Z53/hnh)-(AA53/hnh)-nh1_1-R53-S53-T53-U53-V53-W53-X53-Y53-Z53-AA53-(TP*VE*(sCo3_1+sCo3_2+sCo3_3+sCo3_4+sCo3_5+sCo3_6+sCo3_7+sCo3_8+sCo3_9+sCo3_10+sCo3_11))),IF(ScI=2,(TP-H_1-((TP-H_1-(H_1*hnh)-(TP*sCo3_1*VE))*H_2/(TP-H_1-(H_1*hnh)))-AP52-AQ52-AR52-AS52-AT52-AU52-AV52-AW52-AX52-(H_1*hnh)-((TP-H_1-(H_1*hnh)-(TP*sCo3_1*VE))*H_2*hnh/(TP-H_1-(H_1*hnh)))-AP54-AQ54-AR54-AS54-AT54-AU54-AV54-AW54-AX54-(TP*sCo3_1*VE)-(TP*sCo3_2*VE)-(TP*sCo3_3*VE)-(TP*sCo3_4*VE)-(TP*sCo3_5*VE)-(TP*sCo3_6*VE)-(TP*sCo3_7*VE)-(TP*sCo3_8*VE)-(TP*sCo3_9*VE)-(TP*sCo3_10*VE)-(TP*sCo3_11*VE))*(H_12*hnh/(TP-H_1-H_2-H_3-H_4-H_5-H_6-H_7-H_8-H_9-H_10-H_11-(hnh*(H_1+H_2+H_3+H_4+H_5+H_6+H_7+H_8+H_9+H_10+H_11)))),0))</f>
        <v>#DIV/0!</v>
      </c>
      <c r="AC53" s="88">
        <f>IF(ScI=1,H_1*hnh,IF(ScI=2,H_1*hnh,0))</f>
        <v>0</v>
      </c>
      <c r="AD53" s="88" t="e">
        <f>IF(ScI=1,(TP-H_1-(H_1*hnh))*H_2*hnh/(TP-H_1-(H_1*hnh)-(TP*Co_1*VE)),IF(ScI=2,H_2*hnh,0))</f>
        <v>#DIV/0!</v>
      </c>
      <c r="AE53" s="88" t="e">
        <f>IF(ScI=1,(TP-H_1-((TP-H_1-(H_1*hnh))*H_2/(TP-H_1-(H_1*hnh)-(TP*Co_1*VE)))-(H_1*hnh)-((TP-H_1-(H_1*hnh))*H_2*hnh/(TP-H_1-(H_1*hnh)-(TP*Co_1*VE))))*H_3*hnh/(TP-H_1-H_2-(hnh*(H_1+H_2))-(TP*VE*(Co_1+Co_2))),IF(ScI=2,H_3*hnh,0))</f>
        <v>#DIV/0!</v>
      </c>
      <c r="AF53"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H_6*hnh/(TP-H_1-H_2-H_3-H_4-H_5-(hnh*(H_1+H_2+H_3+H_4+H_5))-(TP*VE*(Co_1+Co_2+Co_3+Co_4+Co_5))),IF(ScI=2,H_6*hnh,0))</f>
        <v>#DIV/0!</v>
      </c>
      <c r="AI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H_7*hnh/(TP-H_1-H_2-H_3-H_4-H_5-H_6-(hnh*(H_1+H_2+H_3+H_4+H_5+H_6))-(TP*VE*(Co_1+Co_2+Co_3+Co_4+Co_5+Co_6))),IF(ScI=2,H_7*hnh,0))</f>
        <v>#DIV/0!</v>
      </c>
      <c r="AJ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H_8*hnh/(TP-H_1-H_2-H_3-H_4-H_5-H_6-H_7-(hnh*(H_1+H_2+H_3+H_4+H_5+H_6+H_7))-(TP*VE*(Co_1+Co_2+Co_3+Co_4+Co_5+Co_6+Co_7))),IF(ScI=2,H_8*hnh,0))</f>
        <v>#DIV/0!</v>
      </c>
      <c r="AK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H_9*hnh/(TP-H_1-H_2-H_3-H_4-H_5-H_6-H_7-H_8-(hnh*(H_1+H_2+H_3+H_4+H_5+H_6+H_7+H_8))-(TP*VE*(Co_1+Co_2+Co_3+Co_4+Co_5+Co_6+Co_7+Co_8))),IF(ScI=2,H_9*hnh,0))</f>
        <v>#DIV/0!</v>
      </c>
      <c r="AL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H_10*hnh/(TP-H_1-H_2-H_3-H_4-H_5-H_6-H_7-H_8-H_9-(hnh*(H_1+H_2+H_3+H_4+H_5+H_6+H_7+H_8+H_9))-(TP*VE*(Co_1+Co_2+Co_3+Co_4+Co_5+Co_6+Co_7+Co_8+Co_9))),IF(ScI=2,H_10*hnh,0))</f>
        <v>#DIV/0!</v>
      </c>
      <c r="AM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H_11*hnh/(TP-H_1-H_2-H_3-H_4-H_5-H_6-H_7-H_8-H_9-H_10-(hnh*(H_1+H_2+H_3+H_4+H_5+H_6+H_7+H_8+H_9+H_10))-(TP*VE*(Co_1+Co_2+Co_3+Co_4+Co_5+Co_6+Co_7+Co_8+Co_9+Co_10))),IF(ScI=2,H_11*hnh,0))</f>
        <v>#DIV/0!</v>
      </c>
      <c r="AN53"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BF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BF54)*H_12*hnh/(TP-H_1-H_2-H_3-H_4-H_5-H_6-H_7-H_8-H_9-H_10-H_11-(hnh*(H_1+H_2+H_3+H_4+H_5+H_6+H_7+H_8+H_9+H_10+H_11))-(TP*VE*(Co_1+Co_2+Co_3+Co_4+Co_5+Co_6+Co_7+Co_8+Co_9+Co_10+Co_11))),IF(ScI=2,H_12*hnh,0))</f>
        <v>#DIV/0!</v>
      </c>
      <c r="AP53" s="103" t="s">
        <v>82</v>
      </c>
      <c r="AQ53" s="103" t="s">
        <v>83</v>
      </c>
      <c r="AR53" s="103" t="s">
        <v>84</v>
      </c>
      <c r="AS53" s="103" t="s">
        <v>85</v>
      </c>
      <c r="AT53" s="103" t="s">
        <v>86</v>
      </c>
      <c r="AU53" s="103" t="s">
        <v>87</v>
      </c>
      <c r="AV53" s="103" t="s">
        <v>88</v>
      </c>
      <c r="AW53" s="103" t="s">
        <v>89</v>
      </c>
      <c r="AX53" s="103" t="s">
        <v>90</v>
      </c>
      <c r="AZ53" s="103" t="s">
        <v>106</v>
      </c>
      <c r="BA53" s="103" t="s">
        <v>92</v>
      </c>
      <c r="BB53" s="103" t="s">
        <v>98</v>
      </c>
      <c r="BC53" s="103" t="s">
        <v>99</v>
      </c>
      <c r="BD53" s="103" t="s">
        <v>100</v>
      </c>
      <c r="BE53" s="103" t="s">
        <v>101</v>
      </c>
      <c r="BF53" s="103" t="s">
        <v>102</v>
      </c>
    </row>
    <row r="54" spans="1:58" hidden="1" outlineLevel="1" x14ac:dyDescent="0.25">
      <c r="F54" s="113"/>
      <c r="G54" s="31"/>
      <c r="H54" s="31"/>
      <c r="I54" s="31"/>
      <c r="J54" s="31"/>
      <c r="K54" s="31"/>
      <c r="L54" s="31"/>
      <c r="M54" s="31"/>
      <c r="N54" s="31"/>
      <c r="Q54" s="31" t="e">
        <f t="shared" ref="Q54:AN54" si="10">Q53-Q5</f>
        <v>#DIV/0!</v>
      </c>
      <c r="R54" s="31" t="e">
        <f t="shared" si="10"/>
        <v>#DIV/0!</v>
      </c>
      <c r="S54" s="31" t="e">
        <f t="shared" si="10"/>
        <v>#DIV/0!</v>
      </c>
      <c r="T54" s="31" t="e">
        <f t="shared" si="10"/>
        <v>#DIV/0!</v>
      </c>
      <c r="U54" s="31" t="e">
        <f t="shared" si="10"/>
        <v>#DIV/0!</v>
      </c>
      <c r="V54" s="31" t="e">
        <f t="shared" si="10"/>
        <v>#DIV/0!</v>
      </c>
      <c r="W54" s="31" t="e">
        <f t="shared" si="10"/>
        <v>#DIV/0!</v>
      </c>
      <c r="X54" s="31" t="e">
        <f t="shared" si="10"/>
        <v>#DIV/0!</v>
      </c>
      <c r="Y54" s="31" t="e">
        <f t="shared" si="10"/>
        <v>#DIV/0!</v>
      </c>
      <c r="Z54" s="31" t="e">
        <f t="shared" si="10"/>
        <v>#DIV/0!</v>
      </c>
      <c r="AA54" s="31" t="e">
        <f t="shared" si="10"/>
        <v>#DIV/0!</v>
      </c>
      <c r="AB54" s="31" t="e">
        <f t="shared" si="10"/>
        <v>#DIV/0!</v>
      </c>
      <c r="AC54" s="31">
        <f t="shared" si="10"/>
        <v>0</v>
      </c>
      <c r="AD54" s="31" t="e">
        <f t="shared" si="10"/>
        <v>#DIV/0!</v>
      </c>
      <c r="AE54" s="31" t="e">
        <f t="shared" si="10"/>
        <v>#DIV/0!</v>
      </c>
      <c r="AF54" s="31" t="e">
        <f t="shared" si="10"/>
        <v>#DIV/0!</v>
      </c>
      <c r="AG54" s="31" t="e">
        <f t="shared" si="10"/>
        <v>#DIV/0!</v>
      </c>
      <c r="AH54" s="31" t="e">
        <f t="shared" si="10"/>
        <v>#DIV/0!</v>
      </c>
      <c r="AI54" s="31" t="e">
        <f t="shared" si="10"/>
        <v>#DIV/0!</v>
      </c>
      <c r="AJ54" s="31" t="e">
        <f t="shared" si="10"/>
        <v>#DIV/0!</v>
      </c>
      <c r="AK54" s="31" t="e">
        <f t="shared" si="10"/>
        <v>#DIV/0!</v>
      </c>
      <c r="AL54" s="31" t="e">
        <f t="shared" si="10"/>
        <v>#DIV/0!</v>
      </c>
      <c r="AM54" s="31" t="e">
        <f t="shared" si="10"/>
        <v>#DIV/0!</v>
      </c>
      <c r="AN54" s="31" t="e">
        <f t="shared" si="10"/>
        <v>#DIV/0!</v>
      </c>
      <c r="AP54" s="103" t="e">
        <f>((TP-H_1-((TP-H_1-(H_1*hnh)-(TP*sCo3_1*VE))*H_2/(TP-H_1-(H_1*hnh)))-(H_1*hnh)-((TP-H_1-(H_1*hnh)-(TP*sCo3_1*VE))*H_2*hnh/(TP-H_1-(H_1*hnh)))-(TP*sCo3_1*VE)-(TP*sCo3_2*VE))*(H_3*hnh/(TP-H_1-H_2-(hnh*(H_1+H_2)))))</f>
        <v>#DIV/0!</v>
      </c>
      <c r="AQ54" s="103" t="e">
        <f>(TP-H_1-((TP-H_1-(H_1*hnh)-(TP*sCo3_1*VE))*H_2/(TP-H_1-(H_1*hnh)))-AP52-(H_1*hnh)-((TP-H_1-(H_1*hnh)-(TP*sCo3_1*VE))*H_2*hnh/(TP-H_1-(H_1*hnh)))-AP54-(TP*sCo3_1*VE)-(TP*sCo3_2*VE)-(TP*sCo3_3*VE))*(H_4*hnh/(TP-H_1-H_2-H_3-(hnh*(H_1+H_2+H_3))))</f>
        <v>#DIV/0!</v>
      </c>
      <c r="AR54" s="103" t="e">
        <f>(TP-H_1-((TP-H_1-(H_1*hnh)-(TP*sCo3_1*VE))*H_2/(TP-H_1-(H_1*hnh)))-AP52-AQ52-(H_1*hnh)-((TP-H_1-(H_1*hnh)-(TP*sCo3_1*VE))*H_2*hnh/(TP-H_1-(H_1*hnh)))-AP54-AQ54-(TP*sCo3_1*VE)-(TP*sCo3_2*VE)-(TP*sCo3_3*VE)-(TP*sCo3_4*VE))*(H_5*hnh/(TP-H_1-H_2-H_3-H_4-(hnh*(H_1+H_2+H_3+H_4))))</f>
        <v>#DIV/0!</v>
      </c>
      <c r="AS54" s="103" t="e">
        <f>(TP-H_1-((TP-H_1-(H_1*hnh)-(TP*sCo3_1*VE))*H_2/(TP-H_1-(H_1*hnh)))-AP52-AQ52-AR52-(H_1*hnh)-((TP-H_1-(H_1*hnh)-(TP*sCo3_1*VE))*H_2*hnh/(TP-H_1-(H_1*hnh)))-AP54-AQ54-AR54-(TP*sCo3_1*VE)-(TP*sCo3_2*VE)-(TP*sCo3_3*VE)-(TP*sCo3_4*VE)-(TP*sCo3_5*VE))*(H_6*hnh/(TP-H_1-H_2-H_3-H_4-H_5-(hnh*(H_1+H_2+H_3+H_4+H_5))))</f>
        <v>#DIV/0!</v>
      </c>
      <c r="AT54" s="103" t="e">
        <f>(TP-H_1-((TP-H_1-(H_1*hnh)-(TP*sCo3_1*VE))*H_2/(TP-H_1-(H_1*hnh)))-AP52-AQ52-AR52-AS52-(H_1*hnh)-((TP-H_1-(H_1*hnh)-(TP*sCo3_1*VE))*H_2*hnh/(TP-H_1-(H_1*hnh)))-AP54-AQ54-AR54-AS54-(TP*sCo3_1*VE)-(TP*sCo3_2*VE)-(TP*sCo3_3*VE)-(TP*sCo3_4*VE)-(TP*sCo3_5*VE)-(TP*sCo3_6*VE))*(H_7*hnh/(TP-H_1-H_2-H_3-H_4-H_5-H_6-(hnh*(H_1+H_2+H_3+H_4+H_5+H_6))))</f>
        <v>#DIV/0!</v>
      </c>
      <c r="AU54" s="103" t="e">
        <f>(TP-H_1-((TP-H_1-(H_1*hnh)-(TP*sCo3_1*VE))*H_2/(TP-H_1-(H_1*hnh)))-AP52-AQ52-AR52-AS52-AT52-(H_1*hnh)-((TP-H_1-(H_1*hnh)-(TP*sCo3_1*VE))*H_2*hnh/(TP-H_1-(H_1*hnh)))-AP54-AQ54-AR54-AS54-AT54-(TP*sCo3_1*VE)-(TP*sCo3_2*VE)-(TP*sCo3_3*VE)-(TP*sCo3_4*VE)-(TP*sCo3_5*VE)-(TP*sCo3_6*VE)-(TP*sCo3_7*VE))*(H_8*hnh/(TP-H_1-H_2-H_3-H_4-H_5-H_6-H_7-(hnh*(H_1+H_2+H_3+H_4+H_5+H_6+H_7))))</f>
        <v>#DIV/0!</v>
      </c>
      <c r="AV54" s="122" t="e">
        <f>(TP-H_1-((TP-H_1-(H_1*hnh)-(TP*sCo3_1*VE))*H_2/(TP-H_1-(H_1*hnh)))-AP52-AQ52-AR52-AS52-AT52-AU52-(H_1*hnh)-((TP-H_1-(H_1*hnh)-(TP*sCo3_1*VE))*H_2*hnh/(TP-H_1-(H_1*hnh)))-AP54-AQ54-AR54-AS54-AT54-AU54-(TP*sCo3_1*VE)-(TP*sCo3_2*VE)-(TP*sCo3_3*VE)-(TP*sCo3_4*VE)-(TP*sCo3_5*VE)-(TP*sCo3_6*VE)-(TP*sCo3_7*VE)-(TP*sCo3_8*VE))*(H_9*hnh/(TP-H_1-H_2-H_3-H_4-H_5-H_6-H_7-H_8-(hnh*(H_1+H_2+H_3+H_4+H_5+H_6+H_7+H_8))))</f>
        <v>#DIV/0!</v>
      </c>
      <c r="AW54" s="103" t="e">
        <f>(TP-H_1-((TP-H_1-(H_1*hnh)-(TP*sCo3_1*VE))*H_2/(TP-H_1-(H_1*hnh)))-AP52-AQ52-AR52-AS52-AT52-AU52-AV52-(H_1*hnh)-((TP-H_1-(H_1*hnh)-(TP*sCo3_1*VE))*H_2*hnh/(TP-H_1-(H_1*hnh)))-AP54-AQ54-AR54-AS54-AT54-AU54-AV54-(TP*sCo3_1*VE)-(TP*sCo3_2*VE)-(TP*sCo3_3*VE)-(TP*sCo3_4*VE)-(TP*sCo3_5*VE)-(TP*sCo3_6*VE)-(TP*sCo3_7*VE)-(TP*sCo3_8*VE)-(TP*sCo3_9*VE))*(H_10*hnh/(TP-H_1-H_2-H_3-H_4-H_5-H_6-H_7-H_8-H_9-(hnh*(H_1+H_2+H_3+H_4+H_5+H_6+H_7+H_8+H_9))))</f>
        <v>#DIV/0!</v>
      </c>
      <c r="AX54" s="103" t="e">
        <f>(TP-H_1-((TP-H_1-(H_1*hnh)-(TP*sCo3_1*VE))*H_2/(TP-H_1-(H_1*hnh)))-AP52-AQ52-AR52-AS52-AT52-AU52-AV52-AW52-(H_1*hnh)-((TP-H_1-(H_1*hnh)-(TP*sCo3_1*VE))*H_2*hnh/(TP-H_1-(H_1*hnh)))-AP54-AQ54-AR54-AS54-AT54-AU54-AV54-AW54-(TP*sCo3_1*VE)-(TP*sCo3_2*VE)-(TP*sCo3_3*VE)-(TP*sCo3_4*VE)-(TP*sCo3_5*VE)-(TP*sCo3_6*VE)-(TP*sCo3_7*VE)-(TP*sCo3_8*VE)-(TP*sCo3_9*VE)-(TP*sCo3_10*VE))*(H_11*hnh/(TP-H_1-H_2-H_3-H_4-H_5-H_6-H_7-H_8-H_9-H_10-(hnh*(H_1+H_2+H_3+H_4+H_5+H_6+H_7+H_8+H_9+H_10))))</f>
        <v>#DIV/0!</v>
      </c>
      <c r="AZ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H_6*hnh/(TP-H_1-H_2-H_3-H_4-H_5-(hnh*(H_1+H_2+H_3+H_4+H_5))-(TP*VE*(Co_1+Co_2+Co_3+Co_4+Co_5)))</f>
        <v>#DIV/0!</v>
      </c>
      <c r="BB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H_7*hnh/(TP-H_1-H_2-H_3-H_4-H_5-H_6-(hnh*(H_1+H_2+H_3+H_4+H_5+H_6))-(TP*VE*(Co_1+Co_2+Co_3+Co_4+Co_5+Co_6)))</f>
        <v>#DIV/0!</v>
      </c>
      <c r="BC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H_8*hnh/(TP-H_1-H_2-H_3-H_4-H_5-H_6-H_7-(hnh*(H_1+H_2+H_3+H_4+H_5+H_6+H_7))-(TP*VE*(Co_1+Co_2+Co_3+Co_4+Co_5+Co_6+Co_7)))</f>
        <v>#DIV/0!</v>
      </c>
      <c r="BD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H_9*hnh/(TP-H_1-H_2-H_3-H_4-H_5-H_6-H_7-H_8-(hnh*(H_1+H_2+H_3+H_4+H_5+H_6+H_7+H_8))-(TP*VE*(Co_1+Co_2+Co_3+Co_4+Co_5+Co_6+Co_7+Co_8)))</f>
        <v>#DIV/0!</v>
      </c>
      <c r="BE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H_10*hnh/(TP-H_1-H_2-H_3-H_4-H_5-H_6-H_7-H_8-H_9-(hnh*(H_1+H_2+H_3+H_4+H_5+H_6+H_7+H_8+H_9))-(TP*VE*(Co_1+Co_2+Co_3+Co_4+Co_5+Co_6+Co_7+Co_8+Co_9)))</f>
        <v>#DIV/0!</v>
      </c>
      <c r="BF5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52-BA52-BB52-BC52-BD52-BE52-(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54-BA54-BB54-BC54-BD54-BE54)*H_11*hnh/(TP-H_1-H_2-H_3-H_4-H_5-H_6-H_7-H_8-H_9-H_10-(hnh*(H_1+H_2+H_3+H_4+H_5+H_6+H_7+H_8+H_9+H_10))-(TP*VE*(Co_1+Co_2+Co_3+Co_4+Co_5+Co_6+Co_7+Co_8+Co_9+Co_10)))</f>
        <v>#DIV/0!</v>
      </c>
    </row>
    <row r="55" spans="1:58" hidden="1" outlineLevel="1" x14ac:dyDescent="0.25">
      <c r="F55" s="112"/>
      <c r="Q55" s="118" t="e">
        <f t="shared" ref="Q55:AN55" si="11">Q54-Q44</f>
        <v>#DIV/0!</v>
      </c>
      <c r="R55" s="118" t="e">
        <f t="shared" si="11"/>
        <v>#DIV/0!</v>
      </c>
      <c r="S55" s="118" t="e">
        <f t="shared" si="11"/>
        <v>#DIV/0!</v>
      </c>
      <c r="T55" s="118" t="e">
        <f t="shared" si="11"/>
        <v>#DIV/0!</v>
      </c>
      <c r="U55" s="118" t="e">
        <f t="shared" si="11"/>
        <v>#DIV/0!</v>
      </c>
      <c r="V55" s="118" t="e">
        <f t="shared" si="11"/>
        <v>#DIV/0!</v>
      </c>
      <c r="W55" s="118" t="e">
        <f t="shared" si="11"/>
        <v>#DIV/0!</v>
      </c>
      <c r="X55" s="118" t="e">
        <f t="shared" si="11"/>
        <v>#DIV/0!</v>
      </c>
      <c r="Y55" s="118" t="e">
        <f t="shared" si="11"/>
        <v>#DIV/0!</v>
      </c>
      <c r="Z55" s="118" t="e">
        <f t="shared" si="11"/>
        <v>#DIV/0!</v>
      </c>
      <c r="AA55" s="118" t="e">
        <f t="shared" si="11"/>
        <v>#DIV/0!</v>
      </c>
      <c r="AB55" s="118" t="e">
        <f t="shared" si="11"/>
        <v>#DIV/0!</v>
      </c>
      <c r="AC55" s="118">
        <f t="shared" si="11"/>
        <v>0</v>
      </c>
      <c r="AD55" s="118" t="e">
        <f t="shared" si="11"/>
        <v>#DIV/0!</v>
      </c>
      <c r="AE55" s="118" t="e">
        <f t="shared" si="11"/>
        <v>#DIV/0!</v>
      </c>
      <c r="AF55" s="118" t="e">
        <f t="shared" si="11"/>
        <v>#DIV/0!</v>
      </c>
      <c r="AG55" s="118" t="e">
        <f t="shared" si="11"/>
        <v>#DIV/0!</v>
      </c>
      <c r="AH55" s="118" t="e">
        <f t="shared" si="11"/>
        <v>#DIV/0!</v>
      </c>
      <c r="AI55" s="118" t="e">
        <f t="shared" si="11"/>
        <v>#DIV/0!</v>
      </c>
      <c r="AJ55" s="118" t="e">
        <f t="shared" si="11"/>
        <v>#DIV/0!</v>
      </c>
      <c r="AK55" s="118" t="e">
        <f t="shared" si="11"/>
        <v>#DIV/0!</v>
      </c>
      <c r="AL55" s="118" t="e">
        <f t="shared" si="11"/>
        <v>#DIV/0!</v>
      </c>
      <c r="AM55" s="118" t="e">
        <f t="shared" si="11"/>
        <v>#DIV/0!</v>
      </c>
      <c r="AN55" s="118" t="e">
        <f t="shared" si="11"/>
        <v>#DIV/0!</v>
      </c>
    </row>
    <row r="56" spans="1:58" hidden="1" outlineLevel="1" x14ac:dyDescent="0.25">
      <c r="T56" s="115"/>
      <c r="U56" s="115"/>
      <c r="V56" s="115"/>
      <c r="W56" s="115"/>
      <c r="X56" s="115"/>
      <c r="Y56" s="115"/>
      <c r="Z56" s="115"/>
      <c r="AA56" s="115"/>
      <c r="AB56" s="115"/>
    </row>
    <row r="57" spans="1:58" collapsed="1" x14ac:dyDescent="0.25">
      <c r="T57" s="116"/>
      <c r="U57" s="116"/>
      <c r="V57" s="116"/>
      <c r="W57" s="116"/>
      <c r="X57" s="116"/>
      <c r="Y57" s="116"/>
      <c r="Z57" s="116"/>
      <c r="AA57" s="116"/>
      <c r="AB57" s="116"/>
    </row>
    <row r="58" spans="1:58" s="105" customFormat="1" x14ac:dyDescent="0.25">
      <c r="A58" s="104" t="s">
        <v>141</v>
      </c>
      <c r="B58" s="104"/>
    </row>
    <row r="59" spans="1:58" hidden="1" outlineLevel="1" x14ac:dyDescent="0.25">
      <c r="Q59" s="102" t="s">
        <v>72</v>
      </c>
      <c r="R59" s="102"/>
      <c r="S59" s="102"/>
      <c r="T59" s="102"/>
      <c r="U59" s="102"/>
      <c r="V59" s="102"/>
      <c r="W59" s="102"/>
      <c r="X59" s="102"/>
      <c r="Y59" s="102"/>
      <c r="Z59" s="102"/>
      <c r="AA59" s="102"/>
      <c r="AB59" s="102"/>
      <c r="AC59" s="101" t="s">
        <v>104</v>
      </c>
      <c r="AD59" s="101"/>
      <c r="AE59" s="101"/>
      <c r="AF59" s="101"/>
      <c r="AG59" s="101"/>
      <c r="AH59" s="101"/>
      <c r="AI59" s="101"/>
      <c r="AJ59" s="101"/>
      <c r="AK59" s="101"/>
      <c r="AL59" s="101"/>
      <c r="AM59" s="101"/>
      <c r="AN59" s="101"/>
      <c r="AP59" s="103">
        <v>3</v>
      </c>
      <c r="AQ59" s="103">
        <v>4</v>
      </c>
      <c r="AR59" s="103">
        <v>5</v>
      </c>
      <c r="AS59" s="103">
        <v>6</v>
      </c>
      <c r="AT59" s="103">
        <v>7</v>
      </c>
      <c r="AU59" s="103">
        <v>8</v>
      </c>
      <c r="AV59" s="103">
        <v>9</v>
      </c>
      <c r="AW59" s="103">
        <v>10</v>
      </c>
      <c r="AX59" s="103">
        <v>11</v>
      </c>
      <c r="AZ59" s="103">
        <v>5</v>
      </c>
      <c r="BA59" s="103">
        <v>6</v>
      </c>
      <c r="BB59" s="103">
        <v>7</v>
      </c>
      <c r="BC59" s="103">
        <v>8</v>
      </c>
      <c r="BD59" s="103">
        <v>9</v>
      </c>
      <c r="BE59" s="103">
        <v>10</v>
      </c>
      <c r="BF59" s="103">
        <v>11</v>
      </c>
    </row>
    <row r="60" spans="1:58" ht="28.7" hidden="1" customHeight="1" outlineLevel="1" x14ac:dyDescent="0.25">
      <c r="A60" s="11" t="s">
        <v>47</v>
      </c>
      <c r="B60" s="11"/>
      <c r="C60" s="11"/>
      <c r="D60" s="11"/>
      <c r="E60" s="11"/>
      <c r="F60" s="11"/>
      <c r="G60" s="109" t="s">
        <v>50</v>
      </c>
      <c r="H60" s="109"/>
      <c r="I60" s="110" t="s">
        <v>44</v>
      </c>
      <c r="J60" s="110"/>
      <c r="K60" s="101" t="s">
        <v>58</v>
      </c>
      <c r="L60" s="101"/>
      <c r="M60" s="110" t="s">
        <v>45</v>
      </c>
      <c r="N60" s="110"/>
      <c r="Q60" s="102" t="s">
        <v>1</v>
      </c>
      <c r="R60" s="102"/>
      <c r="S60" s="102"/>
      <c r="T60" s="102"/>
      <c r="U60" s="102"/>
      <c r="V60" s="102"/>
      <c r="W60" s="102"/>
      <c r="X60" s="102"/>
      <c r="Y60" s="102"/>
      <c r="Z60" s="102"/>
      <c r="AA60" s="102"/>
      <c r="AB60" s="102"/>
      <c r="AC60" s="101" t="s">
        <v>71</v>
      </c>
      <c r="AD60" s="101"/>
      <c r="AE60" s="101"/>
      <c r="AF60" s="101"/>
      <c r="AG60" s="101"/>
      <c r="AH60" s="101"/>
      <c r="AI60" s="101"/>
      <c r="AJ60" s="101"/>
      <c r="AK60" s="101"/>
      <c r="AL60" s="101"/>
      <c r="AM60" s="101"/>
      <c r="AN60" s="101"/>
      <c r="AP60" s="103" t="s">
        <v>73</v>
      </c>
      <c r="AQ60" s="103" t="s">
        <v>74</v>
      </c>
      <c r="AR60" s="103" t="s">
        <v>75</v>
      </c>
      <c r="AS60" s="103" t="s">
        <v>76</v>
      </c>
      <c r="AT60" s="103" t="s">
        <v>77</v>
      </c>
      <c r="AU60" s="103" t="s">
        <v>78</v>
      </c>
      <c r="AV60" s="103" t="s">
        <v>79</v>
      </c>
      <c r="AW60" s="103" t="s">
        <v>80</v>
      </c>
      <c r="AX60" s="103" t="s">
        <v>81</v>
      </c>
      <c r="AZ60" s="103" t="s">
        <v>105</v>
      </c>
      <c r="BA60" s="103" t="s">
        <v>91</v>
      </c>
      <c r="BB60" s="103" t="s">
        <v>93</v>
      </c>
      <c r="BC60" s="103" t="s">
        <v>94</v>
      </c>
      <c r="BD60" s="103" t="s">
        <v>95</v>
      </c>
      <c r="BE60" s="103" t="s">
        <v>96</v>
      </c>
      <c r="BF60" s="103" t="s">
        <v>97</v>
      </c>
    </row>
    <row r="61" spans="1:58" ht="45" hidden="1" outlineLevel="1" x14ac:dyDescent="0.25">
      <c r="A61" s="70" t="s">
        <v>40</v>
      </c>
      <c r="B61" s="70" t="s">
        <v>41</v>
      </c>
      <c r="C61" s="70" t="s">
        <v>53</v>
      </c>
      <c r="D61" s="70" t="s">
        <v>48</v>
      </c>
      <c r="E61" s="70" t="s">
        <v>42</v>
      </c>
      <c r="F61" s="76" t="s">
        <v>49</v>
      </c>
      <c r="G61" s="71" t="s">
        <v>51</v>
      </c>
      <c r="H61" s="71" t="s">
        <v>52</v>
      </c>
      <c r="I61" s="72" t="s">
        <v>51</v>
      </c>
      <c r="J61" s="72" t="s">
        <v>52</v>
      </c>
      <c r="K61" s="77" t="s">
        <v>51</v>
      </c>
      <c r="L61" s="77" t="s">
        <v>52</v>
      </c>
      <c r="M61" s="72" t="s">
        <v>51</v>
      </c>
      <c r="N61" s="72" t="s">
        <v>52</v>
      </c>
      <c r="Q61" s="102">
        <v>1</v>
      </c>
      <c r="R61" s="102">
        <v>2</v>
      </c>
      <c r="S61" s="102">
        <v>3</v>
      </c>
      <c r="T61" s="102">
        <v>4</v>
      </c>
      <c r="U61" s="102">
        <v>5</v>
      </c>
      <c r="V61" s="102">
        <v>6</v>
      </c>
      <c r="W61" s="102">
        <v>7</v>
      </c>
      <c r="X61" s="102">
        <v>8</v>
      </c>
      <c r="Y61" s="102">
        <v>9</v>
      </c>
      <c r="Z61" s="102">
        <v>10</v>
      </c>
      <c r="AA61" s="102">
        <v>11</v>
      </c>
      <c r="AB61" s="102">
        <v>12</v>
      </c>
      <c r="AC61" s="101">
        <v>1</v>
      </c>
      <c r="AD61" s="101">
        <v>2</v>
      </c>
      <c r="AE61" s="101">
        <v>3</v>
      </c>
      <c r="AF61" s="101">
        <v>4</v>
      </c>
      <c r="AG61" s="101">
        <v>5</v>
      </c>
      <c r="AH61" s="101">
        <v>6</v>
      </c>
      <c r="AI61" s="101">
        <v>7</v>
      </c>
      <c r="AJ61" s="101">
        <v>8</v>
      </c>
      <c r="AK61" s="101">
        <v>9</v>
      </c>
      <c r="AL61" s="101">
        <v>10</v>
      </c>
      <c r="AM61" s="101">
        <v>11</v>
      </c>
      <c r="AN61" s="101">
        <v>12</v>
      </c>
      <c r="AP61" s="103" t="e">
        <f>((TP-H_1-((TP-H_1-(H_1*hnh)-(TP*sCo4_1*VE))*H_2/(TP-H_1-(H_1*hnh)))-(H_1*hnh)-((TP-H_1-(H_1*hnh)-(TP*sCo4_1*VE))*H_2*hnh/(TP-H_1-(H_1*hnh)))-(TP*sCo4_1*VE)-(TP*sCo4_2*VE))*(H_3/(TP-H_1-H_2-(hnh*(H_1+H_2)))))</f>
        <v>#DIV/0!</v>
      </c>
      <c r="AQ61" s="103" t="e">
        <f>(TP-H_1-((TP-H_1-(H_1*hnh)-(TP*sCo4_1*VE))*H_2/(TP-H_1-(H_1*hnh)))-AP61-(H_1*hnh)-((TP-H_1-(H_1*hnh)-(TP*sCo4_1*VE))*H_2*hnh/(TP-H_1-(H_1*hnh)))-AP63-(TP*sCo4_1*VE)-(TP*sCo4_2*VE)-(TP*sCo4_3*VE))*(H_4/(TP-H_1-H_2-H_3-(hnh*(H_1+H_2+H_3))))</f>
        <v>#DIV/0!</v>
      </c>
      <c r="AR61" s="103" t="e">
        <f>(TP-H_1-((TP-H_1-(H_1*hnh)-(TP*sCo4_1*VE))*H_2/(TP-H_1-(H_1*hnh)))-AP61-AQ61-(H_1*hnh)-((TP-H_1-(H_1*hnh)-(TP*sCo4_1*VE))*H_2*hnh/(TP-H_1-(H_1*hnh)))-AP63-AQ63-(TP*sCo4_1*VE)-(TP*sCo4_2*VE)-(TP*sCo4_3*VE)-(TP*sCo4_4*VE))*(H_5/(TP-H_1-H_2-H_3-H_4-(hnh*(H_1+H_2+H_3+H_4))))</f>
        <v>#DIV/0!</v>
      </c>
      <c r="AS61" s="103" t="e">
        <f>(TP-H_1-((TP-H_1-(H_1*hnh)-(TP*sCo4_1*VE))*H_2/(TP-H_1-(H_1*hnh)))-AP61-AQ61-AR61-(H_1*hnh)-((TP-H_1-(H_1*hnh)-(TP*sCo4_1*VE))*H_2*hnh/(TP-H_1-(H_1*hnh)))-AP63-AQ63-AR63-(TP*sCo4_1*VE)-(TP*sCo4_2*VE)-(TP*sCo4_3*VE)-(TP*sCo4_4*VE)-(TP*sCo4_5*VE))*(H_6/(TP-H_1-H_2-H_3-H_4-H_5-(hnh*(H_1+H_2+H_3+H_4+H_5))))</f>
        <v>#DIV/0!</v>
      </c>
      <c r="AT61" s="103" t="e">
        <f>(TP-H_1-((TP-H_1-(H_1*hnh)-(TP*sCo4_1*VE))*H_2/(TP-H_1-(H_1*hnh)))-AP61-AQ61-AR61-AS61-(H_1*hnh)-((TP-H_1-(H_1*hnh)-(TP*sCo4_1*VE))*H_2*hnh/(TP-H_1-(H_1*hnh)))-AP63-AQ63-AR63-AS63-(TP*sCo4_1*VE)-(TP*sCo4_2*VE)-(TP*sCo4_3*VE)-(TP*sCo4_4*VE)-(TP*sCo4_5*VE)-(TP*sCo4_6*VE))*(H_7/(TP-H_1-H_2-H_3-H_4-H_5-H_6-(hnh*(H_1+H_2+H_3+H_4+H_5+H_6))))</f>
        <v>#DIV/0!</v>
      </c>
      <c r="AU61" s="103" t="e">
        <f>(TP-H_1-((TP-H_1-(H_1*hnh)-(TP*sCo4_1*VE))*H_2/(TP-H_1-(H_1*hnh)))-AP61-AQ61-AR61-AS61-AT61-(H_1*hnh)-((TP-H_1-(H_1*hnh)-(TP*sCo4_1*VE))*H_2*hnh/(TP-H_1-(H_1*hnh)))-AP63-AQ63-AR63-AS63-AT63-(TP*sCo4_1*VE)-(TP*sCo4_2*VE)-(TP*sCo4_3*VE)-(TP*sCo4_4*VE)-(TP*sCo4_5*VE)-(TP*sCo4_6*VE)-(TP*sCo4_7*VE))*(H_8/(TP-H_1-H_2-H_3-H_4-H_5-H_6-H_7-(hnh*(H_1+H_2+H_3+H_4+H_5+H_6+H_7))))</f>
        <v>#DIV/0!</v>
      </c>
      <c r="AV61" s="103" t="e">
        <f>(TP-H_1-((TP-H_1-(H_1*hnh)-(TP*sCo4_1*VE))*H_2/(TP-H_1-(H_1*hnh)))-AP61-AQ61-AR61-AS61-AT61-AU61-(H_1*hnh)-((TP-H_1-(H_1*hnh)-(TP*sCo4_1*VE))*H_2*hnh/(TP-H_1-(H_1*hnh)))-AP63-AQ63-AR63-AS63-AT63-AU63-(TP*sCo4_1*VE)-(TP*sCo4_2*VE)-(TP*sCo4_3*VE)-(TP*sCo4_4*VE)-(TP*sCo4_5*VE)-(TP*sCo4_6*VE)-(TP*sCo4_7*VE)-(TP*sCo4_8*VE))*(H_9/(TP-H_1-H_2-H_3-H_4-H_5-H_6-H_7-H_8-(hnh*(H_1+H_2+H_3+H_4+H_5+H_6+H_7+H_8))))</f>
        <v>#DIV/0!</v>
      </c>
      <c r="AW61" s="103" t="e">
        <f>(TP-H_1-((TP-H_1-(H_1*hnh)-(TP*sCo4_1*VE))*H_2/(TP-H_1-(H_1*hnh)))-AP61-AQ61-AR61-AS61-AT61-AU61-AV61-(H_1*hnh)-((TP-H_1-(H_1*hnh)-(TP*sCo4_1*VE))*H_2*hnh/(TP-H_1-(H_1*hnh)))-AP63-AQ63-AR63-AS63-AT63-AU63-AV63-(TP*sCo4_1*VE)-(TP*sCo4_2*VE)-(TP*sCo4_3*VE)-(TP*sCo4_4*VE)-(TP*sCo4_5*VE)-(TP*sCo4_6*VE)-(TP*sCo4_7*VE)-(TP*sCo4_8*VE)-(TP*sCo4_9*VE))*(H_10/(TP-H_1-H_2-H_3-H_4-H_5-H_6-H_7-H_8-H_9-(hnh*(H_1+H_2+H_3+H_4+H_5+H_6+H_7+H_8+H_9))))</f>
        <v>#DIV/0!</v>
      </c>
      <c r="AX61" s="103" t="e">
        <f>(TP-H_1-((TP-H_1-(H_1*hnh)-(TP*sCo4_1*VE))*H_2/(TP-H_1-(H_1*hnh)))-AP61-AQ61-AR61-AS61-AT61-AU61-AV61-AW61-(H_1*hnh)-((TP-H_1-(H_1*hnh)-(TP*sCo4_1*VE))*H_2*hnh/(TP-H_1-(H_1*hnh)))-AP63-AQ63-AR63-AS63-AT63-AU63-AV63-AW63-(TP*sCo4_1*VE)-(TP*sCo4_2*VE)-(TP*sCo4_3*VE)-(TP*sCo4_4*VE)-(TP*sCo4_5*VE)-(TP*sCo4_6*VE)-(TP*sCo4_7*VE)-(TP*sCo4_8*VE)-(TP*sCo4_9*VE)-(TP*sCo4_10*VE))*(H_11/(TP-H_1-H_2-H_3-H_4-H_5-H_6-H_7-H_8-H_9-H_10-(hnh*(H_1+H_2+H_3+H_4+H_5+H_6+H_7+H_8+H_9+H_10))))</f>
        <v>#DIV/0!</v>
      </c>
      <c r="AZ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TP-H_1-H_2-H_3-H_4-(hnh*(H_1+H_2+H_3+H_4))-(TP*VE*(Co_1+Co_2+Co_3+Co_4)))</f>
        <v>#DIV/0!</v>
      </c>
      <c r="BA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H_6/(TP-H_1-H_2-H_3-H_4-H_5-(hnh*(H_1+H_2+H_3+H_4+H_5))-(TP*VE*(Co_1+Co_2+Co_3+Co_4+Co_5)))</f>
        <v>#DIV/0!</v>
      </c>
      <c r="BB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H_7/(TP-H_1-H_2-H_3-H_4-H_5-H_6-(hnh*(H_1+H_2+H_3+H_4+H_5+H_6))-(TP*VE*(Co_1+Co_2+Co_3+Co_4+Co_5+Co_6)))</f>
        <v>#DIV/0!</v>
      </c>
      <c r="BC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H_8/(TP-H_1-H_2-H_3-H_4-H_5-H_6-H_7-(hnh*(H_1+H_2+H_3+H_4+H_5+H_6+H_7))-(TP*VE*(Co_1+Co_2+Co_3+Co_4+Co_5+Co_6+Co_7)))</f>
        <v>#DIV/0!</v>
      </c>
      <c r="BD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H_9/(TP-H_1-H_2-H_3-H_4-H_5-H_6-H_7-H_8-(hnh*(H_1+H_2+H_3+H_4+H_5+H_6+H_7+H_8))-(TP*VE*(Co_1+Co_2+Co_3+Co_4+Co_5+Co_6+Co_7+Co_8)))</f>
        <v>#DIV/0!</v>
      </c>
      <c r="BE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H_10/(TP-H_1-H_2-H_3-H_4-H_5-H_6-H_7-H_8-H_9-(hnh*(H_1+H_2+H_3+H_4+H_5+H_6+H_7+H_8+H_9))-(TP*VE*(Co_1+Co_2+Co_3+Co_4+Co_5+Co_6+Co_7+Co_8+Co_9)))</f>
        <v>#DIV/0!</v>
      </c>
      <c r="BF61"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H_11/(TP-H_1-H_2-H_3-H_4-H_5-H_6-H_7-H_8-H_9-H_10-(hnh*(H_1+H_2+H_3+H_4+H_5+H_6+H_7+H_8+H_9+H_10))-(TP*VE*(Co_1+Co_2+Co_3+Co_4+Co_5+Co_6+Co_7+Co_8+Co_9+Co_10)))</f>
        <v>#DIV/0!</v>
      </c>
    </row>
    <row r="62" spans="1:58" hidden="1" outlineLevel="1" x14ac:dyDescent="0.25">
      <c r="A62" s="73">
        <f>season</f>
        <v>0</v>
      </c>
      <c r="B62" s="73">
        <f>TG</f>
        <v>0</v>
      </c>
      <c r="C62" s="73">
        <f>TP</f>
        <v>0</v>
      </c>
      <c r="D62" s="74" t="e">
        <f>H25</f>
        <v>#DIV/0!</v>
      </c>
      <c r="E62" s="75">
        <f>VE</f>
        <v>0</v>
      </c>
      <c r="F62" s="78" t="e">
        <f>G62/IF(mb=1,SUM(AC62:AN62),IF(mb=2,SUM(AD62:AN62),IF(mb=3,SUM(AE62:AN62),IF(mb=4,SUM(AF62:AN62),IF(mb=5,SUM(AG62:AN62),IF(mb=6,SUM(AH62:AN62),IF(mb=7,SUM(AI62:AN62),IF(mb=8,SUM(AJ62:AN62),0))))))))</f>
        <v>#DIV/0!</v>
      </c>
      <c r="G62" s="42">
        <f>IF(mb=1,SUM(AC62:AN62)-SUM(Q62:AB62),IF(mb=2,SUM(AD62:AN62)-SUM(R62:AB62),IF(mb=3,SUM(AE62:AN62)-SUM(S62:AB62),IF(mb=4,SUM(AF62:AN62)-SUM(T62:AB62),IF(mb=5,SUM(AG62:AN62)-SUM(U62:AB62),IF(mb=6,SUM(AH62:AN62)-SUM(V62:AB62),IF(mb=7,SUM(AI62:AN62)-SUM(W62:AB62),IF(mb=8,SUM(AJ62:AN62)-SUM(X62:AB62),0))))))))</f>
        <v>0</v>
      </c>
      <c r="H62" s="96" t="e">
        <f>1/(VE*IF(mb=1,SUM(AC62:AN62),IF(mb=2,SUM(AD62:AN62),IF(mb=3,SUM(AE62:AN62),IF(mb=4,SUM(AF62:AN62),IF(mb=5,SUM(AG62:AN62),IF(mb=6,SUM(AH62:AN62),IF(mb=7,SUM(AI62:AN62),IF(mb=8,SUM(AJ62:AN62),0))))))))/TP)</f>
        <v>#DIV/0!</v>
      </c>
      <c r="I62" s="93" t="e">
        <f>G62/hnh</f>
        <v>#DIV/0!</v>
      </c>
      <c r="J62" s="42" t="e">
        <f>1/(VE*IF(mb=1,SUM(AC62:AN62),IF(mb=2,SUM(AD62:AN62),IF(mb=3,SUM(AE62:AN62),IF(mb=4,SUM(AF62:AN62),IF(mb=5,SUM(AG62:AN62),IF(mb=6,SUM(AH62:AN62),IF(mb=7,SUM(AI62:AN62),IF(mb=8,SUM(AJ62:AN62),0))))))))/(TP*hnh))</f>
        <v>#DIV/0!</v>
      </c>
      <c r="K62" s="42" t="e">
        <f>M62*mai</f>
        <v>#DIV/0!</v>
      </c>
      <c r="L62" s="42" t="e">
        <f>1/(VE*((IF(mb=1,SUM(AC62:AN62),IF(mb=2,SUM(AD62:AN62),IF(mb=3,SUM(AE62:AN62),IF(mb=4,SUM(AF62:AN62),IF(mb=5,SUM(AG62:AN62),IF(mb=6,SUM(AH62:AN62),IF(mb=7,SUM(AI62:AN62),IF(mb=8,SUM(AJ62:AN62),0))))))))+(IF(mb=1,SUM(AC62:AN62),IF(mb=2,SUM(AD62:AN62),IF(mb=3,SUM(AE62:AN62),IF(mb=4,SUM(AF62:AN62),IF(mb=5,SUM(AG62:AN62),IF(mb=6,SUM(AH62:AN62),IF(mb=7,SUM(AI62:AN62),IF(mb=8,SUM(AJ62:AN62),0)))))))))/hnh)*mai)/TP)</f>
        <v>#DIV/0!</v>
      </c>
      <c r="M62" s="42" t="e">
        <f>G62+I62</f>
        <v>#DIV/0!</v>
      </c>
      <c r="N62" s="42" t="e">
        <f>1/(VE*(IF(mb=1,SUM(AC62:AN62),IF(mb=2,SUM(AD62:AN62),IF(mb=3,SUM(AE62:AN62),IF(mb=4,SUM(AF62:AN62),IF(mb=5,SUM(AG62:AN62),IF(mb=6,SUM(AH62:AN62),IF(mb=7,SUM(AI62:AN62),IF(mb=8,SUM(AJ62:AN62),0))))))))+(IF(mb=1,SUM(AC62:AN62),IF(mb=2,SUM(AD62:AN62),IF(mb=3,SUM(AE62:AN62),IF(mb=4,SUM(AF62:AN62),IF(mb=5,SUM(AG62:AN62),IF(mb=6,SUM(AH62:AN62),IF(mb=7,SUM(AI62:AN62),IF(mb=8,SUM(AJ62:AN62),0)))))))))/hnh)/TP)</f>
        <v>#DIV/0!</v>
      </c>
      <c r="Q62" s="86" t="e">
        <f>IF(ISc=1,nh1_1,IF(ISc=2,H_1*hnh,0))</f>
        <v>#DIV/0!</v>
      </c>
      <c r="R62" s="111" t="e">
        <f>IF(ScI=1,((nh1_2/(TP-(nh1_1/hnh)-nh1_1))*(TP-(nh1_1/hnh)-nh1_1-(TP*sCo4_1*VE))),IF(ScI=2,(TP-H_1-(H_1*hnh)-(TP*sCo4_1*VE))*(H_2*hnh/(TP-H_1-(H_1*hnh))),0))</f>
        <v>#DIV/0!</v>
      </c>
      <c r="S62" s="86" t="e">
        <f>IF(ScI=1,(nh1_3/(TP-((nh1_1+nh1_2)/hnh)-nh1_1-nh1_2))*(TP-(nh1_1/hnh)-(R62/hnh)-nh1_1-R62-(TP*VE*(sCo4_1+sCo4_2))),IF(ScI=2,(TP-H_1-((TP-H_1-(H_1*hnh)-(TP*sCo4_1*VE))*H_2/(TP-H_1-(H_1*hnh)))-(H_1*hnh)-((TP-H_1-(H_1*hnh)-(TP*sCo4_1*VE))*H_2*hnh/(TP-H_1-(H_1*hnh)))-(TP*sCo4_1*VE)-(TP*sCo4_2*VE))*(H_3*hnh/(TP-H_1-H_2-(hnh*(H_1+H_2)))),0))</f>
        <v>#DIV/0!</v>
      </c>
      <c r="T62" s="86" t="e">
        <f>IF(ScI=1,(nh1_4/(TP-(nh1_1/hnh)-(nh1_2/hnh)-(nh1_3/hnh)-nh1_1-nh1_2-nh1_3))*(TP-(nh1_1/hnh)-(R62/hnh)-(S62/hnh)-nh1_1-R62-S62-(TP*VE*(sCo4_1+sCo4_2+sCo4_3))),IF(ScI=2,(TP-H_1-((TP-H_1-(H_1*hnh)-(TP*sCo4_1*VE))*H_2/(TP-H_1-(H_1*hnh)))-((TP-H_1-(((TP-H_1-(H_1*hnh)-(TP*sCo4_1*VE))*H_2/(TP-H_1-(H_1*hnh))))-(H_1*hnh)-((TP-H_1-(H_1*hnh)-(TP*sCo4_1*VE))*H_2*hnh/(TP-H_1-(H_1*hnh)))-(TP*sCo4_1*VE)-(TP*sCo4_2*VE))*(H_3/(TP-H_1-H_2-(hnh*(H_1+H_2)))))-(H_1*hnh)-((TP-H_1-(H_1*hnh)-(TP*sCo4_1*VE))*H_2*hnh/(TP-H_1-(H_1*hnh)))-((TP-H_1-(((TP-H_1-(H_1*hnh)-(TP*sCo4_1*VE))*H_2/(TP-H_1-(H_1*hnh))))-(H_1*hnh)-(((TP-H_1-(H_1*hnh)-(TP*sCo4_1*VE))*H_2*hnh/(TP-H_1-(H_1*hnh))))-(TP*sCo4_1*VE)-(TP*sCo4_2*VE))*(H_3*hnh/(TP-H_1-H_2-(hnh*(H_1+H_2)))))-(TP*sCo4_1*VE)-(TP*sCo4_2*VE)-(TP*sCo4_3*VE))*(H_4*hnh/(TP-H_1-H_2-H_3-(hnh*(H_1+H_2+H_3)))),0))</f>
        <v>#DIV/0!</v>
      </c>
      <c r="U62" s="86" t="e">
        <f>IF(ScI=1,(nh1_5/(TP-(nh1_1/hnh)-(nh1_2/hnh)-(nh1_3/hnh)-(nh1_4/hnh)-nh1_1-nh1_2-nh1_3-nh1_4))*(TP-(nh1_1/hnh)-(R62/hnh)-(S62/hnh)-(T62/hnh)-nh1_1-R62-S62-T62-(TP*VE*(sCo4_1+sCo4_2+sCo4_3+sCo4_4))),IF(ScI=2,(TP-H_1-(((TP-H_1-(H_1*hnh)-(TP*sCo4_1*VE))*H_2/(TP-H_1-(H_1*hnh))))-AP61-AQ61-(H_1*hnh)-((TP-H_1-(H_1*hnh)-(TP*sCo4_1*VE))*H_2*hnh/(TP-H_1-(H_1*hnh)))-AP63-AQ63-(TP*sCo4_1*VE)-(TP*sCo4_2*VE)-(TP*sCo4_3*VE)-(TP*sCo4_4*VE))*(H_5*hnh/(TP-H_1-H_2-H_3-H_4-(hnh*(H_1+H_2+H_3+H_4)))),0))</f>
        <v>#DIV/0!</v>
      </c>
      <c r="V62" s="86" t="e">
        <f>IF(ScI=1,(nh1_6/(TP-(nh1_1/hnh)-(nh1_2/hnh)-(nh1_3/hnh)-(nh1_4/hnh)-(nh1_5/hnh)-nh1_1-nh1_2-nh1_3-nh1_4-nh1_5))*(TP-(nh1_1/hnh)-(R62/hnh)-(S62/hnh)-(T62/hnh)-(U62/hnh)-nh1_1-R62-S62-T62-U62-(TP*VE*(sCo4_1+sCo4_2+sCo4_3+sCo4_4+sCo4_5))),IF(ScI=2,(TP-H_1-((TP-H_1-(H_1*hnh)-(TP*sCo4_1*VE))*H_2/(TP-H_1-(H_1*hnh)))-AP61-AQ61-AR61-(H_1*hnh)-((TP-H_1-(H_1*hnh)-(TP*sCo4_1*VE))*H_2*hnh/(TP-H_1-(H_1*hnh)))-AP63-AQ63-AR63-(TP*sCo4_1*VE)-(TP*sCo4_2*VE)-(TP*sCo4_3*VE)-(TP*sCo4_4*VE)-(TP*sCo4_5*VE))*(H_6*hnh/(TP-H_1-H_2-H_3-H_4-H_5-(hnh*(H_1+H_2+H_3+H_4+H_5)))),0))</f>
        <v>#DIV/0!</v>
      </c>
      <c r="W62" s="86" t="e">
        <f>IF(ScI=1,(nh1_7/(TP-(nh1_1/hnh)-(nh1_2/hnh)-(nh1_3/hnh)-(nh1_4/hnh)-(nh1_5/hnh)-(nh1_6/hnh)-nh1_1-nh1_2-nh1_3-nh1_4-nh1_5-nh1_6))*(TP-(nh1_1/hnh)-(R62/hnh)-(S62/hnh)-(T62/hnh)-(U62/hnh)-(V62/hnh)-nh1_1-R62-S62-T62-U62-V62-(TP*VE*(sCo4_1+sCo4_2+sCo4_3+sCo4_4+sCo4_5+sCo4_6))),IF(ScI=2,(TP-H_1-((TP-H_1-(H_1*hnh)-(TP*sCo4_1*VE))*H_2/(TP-H_1-(H_1*hnh)))-AP61-AQ61-AR61-AS61-(H_1*hnh)-((TP-H_1-(H_1*hnh)-(TP*sCo4_1*VE))*H_2*hnh/(TP-H_1-(H_1*hnh)))-AP63-AQ63-AR63-AS63-(TP*sCo4_1*VE)-(TP*sCo4_2*VE)-(TP*sCo4_3*VE)-(TP*sCo4_4*VE)-(TP*sCo4_5*VE)-(TP*sCo4_6*VE))*(H_7*hnh/(TP-H_1-H_2-H_3-H_4-H_5-H_6-(hnh*(H_1+H_2+H_3+H_4+H_5+H_6)))),0))</f>
        <v>#DIV/0!</v>
      </c>
      <c r="X62" s="86" t="e">
        <f>IF(ScI=1,(nh1_8/(TP-(nh1_1/hnh)-(nh1_2/hnh)-(nh1_3/hnh)-(nh1_4/hnh)-(nh1_5/hnh)-(nh1_6/hnh)-(nh1_7/hnh)-nh1_1-nh1_2-nh1_3-nh1_4-nh1_5-nh1_6-nh1_7))*(TP-(nh1_1/hnh)-(R62/hnh)-(S62/hnh)-(T62/hnh)-(U62/hnh)-(V62/hnh)-(W62/hnh)-nh1_1-R62-S62-T62-U62-V62-W62-(TP*VE*(sCo4_1+sCo4_2+sCo4_3+sCo4_4+sCo4_5+sCo4_6+sCo4_7))),IF(ScI=2,(TP-H_1-((TP-H_1-(H_1*hnh)-(TP*sCo4_1*VE))*H_2/(TP-H_1-(H_1*hnh)))-AP61-AQ61-AR61-AS61-AT61-(H_1*hnh)-((TP-H_1-(H_1*hnh)-(TP*sCo4_1*VE))*H_2*hnh/(TP-H_1-(H_1*hnh)))-AP63-AQ63-AR63-AS63-AT63-(TP*sCo4_1*VE)-(TP*sCo4_2*VE)-(TP*sCo4_3*VE)-(TP*sCo4_4*VE)-(TP*sCo4_5*VE)-(TP*sCo4_6*VE)-(TP*sCo4_7*VE))*(H_8*hnh/(TP-H_1-H_2-H_3-H_4-H_5-H_6-H_7-(hnh*(H_1+H_2+H_3+H_4+H_5+H_6+H_7)))),0))</f>
        <v>#DIV/0!</v>
      </c>
      <c r="Y62" s="86" t="e">
        <f>IF(ScI=1,(nh1_9/(TP-(nh1_1/hnh)-(nh1_2/hnh)-(nh1_3/hnh)-(nh1_4/hnh)-(nh1_5/hnh)-(nh1_6/hnh)-(nh1_7/hnh)-(nh1_8/hnh)-nh1_1-nh1_2-nh1_3-nh1_4-nh1_5-nh1_6-nh1_7-nh1_8))*(TP-(nh1_1/hnh)-(R62/hnh)-(S62/hnh)-(T62/hnh)-(U62/hnh)-(V62/hnh)-(W62/hnh)-(X62/hnh)-nh1_1-R62-S62-T5-U62-V62-W62-X62-(TP*VE*(sCo4_1+sCo4_2+sCo4_3+sCo4_4+sCo4_5+sCo4_6+sCo4_7+sCo4_8))),IF(ScI=2,(TP-H_1-((TP-H_1-(H_1*hnh)-(TP*sCo4_1*VE))*H_2/(TP-H_1-(H_1*hnh)))-AP61-AQ61-AR61-AS61-AT61-AU61-(H_1*hnh)-((TP-H_1-(H_1*hnh)-(TP*sCo4_1*VE))*H_2*hnh/(TP-H_1-(H_1*hnh)))-AP63-AQ63-AR63-AS63-AT63-AU63-(TP*sCo4_1*VE)-(TP*sCo4_2*VE)-(TP*sCo4_3*VE)-(TP*sCo4_4*VE)-(TP*sCo4_5*VE)-(TP*sCo4_6*VE)-(TP*sCo4_7*VE)-(TP*sCo4_8*VE))*(H_9*hnh/(TP-H_1-H_2-H_3-H_4-H_5-H_6-H_7-H_8-(hnh*(H_1+H_2+H_3+H_4+H_5+H_6+H_7+H_8)))),0))</f>
        <v>#DIV/0!</v>
      </c>
      <c r="Z62" s="86" t="e">
        <f>IF(ScI=1,(nh1_10/(TP-(nh1_1/hnh)-(nh1_2/hnh)-(nh1_3/hnh)-(nh1_4/hnh)-(nh1_5/hnh)-(nh1_6/hnh)-(nh1_7/hnh)-(nh1_8/hnh)-(nh1_9/hnh)-nh1_1-nh1_2-nh1_3-nh1_4-nh1_5-nh1_6-nh1_7-nh1_8-nh1_9))*(TP-(nh1_1/hnh)-(R62/hnh)-(S62/hnh)-(T62/hnh)-(U62/hnh)-(V62/hnh)-(W62/hnh)-(X62/hnh)-(Y62/hnh)-nh1_1-R62-S62-T62-U62-V62-W62-X62-Y62-(TP*VE*(sCo4_1+sCo4_2+sCo4_3+sCo4_4+sCo4_5+sCo4_6+sCo4_7+sCo4_8+sCo4_9))),IF(ScI=2,(TP-H_1-((TP-H_1-(H_1*hnh)-(TP*sCo4_1*VE))*H_2/(TP-H_1-(H_1*hnh)))-AP61-AQ61-AR61-AS61-AT61-AU61-AV61-(H_1*hnh)-((TP-H_1-(H_1*hnh)-(TP*sCo4_1*VE))*H_2*hnh/(TP-H_1-(H_1*hnh)))-AP63-AQ63-AR63-AS63-AT63-AU63-AV63-(TP*sCo4_1*VE)-(TP*sCo4_2*VE)-(TP*sCo4_3*VE)-(TP*sCo4_4*VE)-(TP*sCo4_5*VE)-(TP*sCo4_6*VE)-(TP*sCo4_7*VE)-(TP*sCo4_8*VE)-(TP*sCo4_9*VE))*(H_10*hnh/(TP-H_1-H_2-H_3-H_4-H_5-H_6-H_7-H_8-H_9-(hnh*(H_1+H_2+H_3+H_4+H_5+H_6+H_7+H_8+H_9)))),0))</f>
        <v>#DIV/0!</v>
      </c>
      <c r="AA62" s="86" t="e">
        <f>IF(ScI=1,(nh1_11/(TP-(nh1_1/hnh)-(nh1_2/hnh)-(nh1_3/hnh)-(nh1_4/hnh)-(nh1_5/hnh)-(nh1_6/hnh)-(nh1_7/hnh)-(nh1_8/hnh)-(nh1_9/hnh)-(nh1_10/hnh)-nh1_1-nh1_2-nh1_3-nh1_4-nh1_5-nh1_6-nh1_7-nh1_8-nh1_9-nh1_10))*(TP-(nh1_1/hnh)-(R62/hnh)-(S62/hnh)-(T62/hnh)-(U62/hnh)-(V62/hnh)-(W62/hnh)-(X62/hnh)-(Y62/hnh)-(Z62/hnh)-nh1_1-R62-S62-T62-U62-V62-W62-X62-Y62-Z62-(TP*VE*(sCo4_1+sCo4_2+sCo4_3+sCo4_4+sCo4_5+sCo4_6+sCo4_7+sCo4_8+sCo4_9+sCo4_10))),IF(ScI=2,(TP-H_1-((TP-H_1-(H_1*hnh)-(TP*sCo4_1*VE))*H_2/(TP-H_1-(H_1*hnh)))-AP61-AQ61-AR61-AS61-AT61-AU61-AV61-AW61-(H_1*hnh)-((TP-H_1-(H_1*hnh)-(TP*sCo4_1*VE))*H_2*hnh/(TP-H_1-(H_1*hnh)))-AP63-AQ63-AR63-AS63-AT63-AU63-AV63-AW63-(TP*sCo4_1*VE)-(TP*sCo4_2*VE)-(TP*sCo4_3*VE)-(TP*sCo4_4*VE)-(TP*sCo4_5*VE)-(TP*sCo4_6*VE)-(TP*sCo4_7*VE)-(TP*sCo4_8*VE)-(TP*sCo4_9*VE)-(TP*sCo4_10*VE))*(H_11*hnh/(TP-H_1-H_2-H_3-H_4-H_5-H_6-H_7-H_8-H_9-H_10-(hnh*(H_1+H_2+H_3+H_4+H_5+H_6+H_7+H_8+H_9+H_10)))),0))</f>
        <v>#DIV/0!</v>
      </c>
      <c r="AB62" s="86" t="e">
        <f>IF(ScI=1,(nh1_12/(TP-(nh1_1/hnh)-(nh1_2/hnh)-(nh1_3/hnh)-(nh1_4/hnh)-(nh1_5/hnh)-(nh1_6/hnh)-(nh1_7/hnh)-(nh1_8/hnh)-(nh1_9/hnh)-(nh1_10/hnh)-(nh1_11/hnh)-nh1_1-nh1_2-nh1_3-nh1_4-nh1_5-nh1_6-nh1_7-nh1_8-nh1_9-nh1_10-nh1_11))*(TP-(nh1_1/hnh)-(R62/hnh)-(S62/hnh)-(T62/hnh)-(U62/hnh)-(V62/hnh)-(W62/hnh)-(X62/hnh)-(Y62/hnh)-(Z62/hnh)-(AA62/hnh)-nh1_1-R62-S62-T62-U62-V62-W62-X62-Y62-Z62-AA62-(TP*VE*(sCo4_1+sCo4_2+sCo4_3+sCo4_4+sCo4_5+sCo4_6+sCo4_7+sCo4_8+sCo4_9+sCo4_10+sCo4_11))),IF(ScI=2,(TP-H_1-((TP-H_1-(H_1*hnh)-(TP*sCo4_1*VE))*H_2/(TP-H_1-(H_1*hnh)))-AP61-AQ61-AR61-AS61-AT61-AU61-AV61-AW61-AX61-(H_1*hnh)-((TP-H_1-(H_1*hnh)-(TP*sCo4_1*VE))*H_2*hnh/(TP-H_1-(H_1*hnh)))-AP63-AQ63-AR63-AS63-AT63-AU63-AV63-AW63-AX63-(TP*sCo4_1*VE)-(TP*sCo4_2*VE)-(TP*sCo4_3*VE)-(TP*sCo4_4*VE)-(TP*sCo4_5*VE)-(TP*sCo4_6*VE)-(TP*sCo4_7*VE)-(TP*sCo4_8*VE)-(TP*sCo4_9*VE)-(TP*sCo4_10*VE)-(TP*sCo4_11*VE))*(H_12*hnh/(TP-H_1-H_2-H_3-H_4-H_5-H_6-H_7-H_8-H_9-H_10-H_11-(hnh*(H_1+H_2+H_3+H_4+H_5+H_6+H_7+H_8+H_9+H_10+H_11)))),0))</f>
        <v>#DIV/0!</v>
      </c>
      <c r="AC62" s="88">
        <f>IF(ScI=1,H_1*hnh,IF(ScI=2,H_1*hnh,0))</f>
        <v>0</v>
      </c>
      <c r="AD62" s="88" t="e">
        <f>IF(ScI=1,(TP-H_1-(H_1*hnh))*H_2*hnh/(TP-H_1-(H_1*hnh)-(TP*Co_1*VE)),IF(ScI=2,H_2*hnh,0))</f>
        <v>#DIV/0!</v>
      </c>
      <c r="AE62" s="88" t="e">
        <f>IF(ScI=1,(TP-H_1-((TP-H_1-(H_1*hnh))*H_2/(TP-H_1-(H_1*hnh)-(TP*Co_1*VE)))-(H_1*hnh)-((TP-H_1-(H_1*hnh))*H_2*hnh/(TP-H_1-(H_1*hnh)-(TP*Co_1*VE))))*H_3*hnh/(TP-H_1-H_2-(hnh*(H_1+H_2))-(TP*VE*(Co_1+Co_2))),IF(ScI=2,H_3*hnh,0))</f>
        <v>#DIV/0!</v>
      </c>
      <c r="AF62" s="88" t="e">
        <f>IF(ScI=1,(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IF(ScI=2,H_4*hnh,0))</f>
        <v>#DIV/0!</v>
      </c>
      <c r="AG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IF(ScI=2,H_5*hnh,0))</f>
        <v>#DIV/0!</v>
      </c>
      <c r="AH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H_6*hnh/(TP-H_1-H_2-H_3-H_4-H_5-(hnh*(H_1+H_2+H_3+H_4+H_5))-(TP*VE*(Co_1+Co_2+Co_3+Co_4+Co_5))),IF(ScI=2,H_6*hnh,0))</f>
        <v>#DIV/0!</v>
      </c>
      <c r="AI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H_7*hnh/(TP-H_1-H_2-H_3-H_4-H_5-H_6-(hnh*(H_1+H_2+H_3+H_4+H_5+H_6))-(TP*VE*(Co_1+Co_2+Co_3+Co_4+Co_5+Co_6))),IF(ScI=2,H_7*hnh,0))</f>
        <v>#DIV/0!</v>
      </c>
      <c r="AJ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H_8*hnh/(TP-H_1-H_2-H_3-H_4-H_5-H_6-H_7-(hnh*(H_1+H_2+H_3+H_4+H_5+H_6+H_7))-(TP*VE*(Co_1+Co_2+Co_3+Co_4+Co_5+Co_6+Co_7))),IF(ScI=2,H_8*hnh,0))</f>
        <v>#DIV/0!</v>
      </c>
      <c r="AK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H_9*hnh/(TP-H_1-H_2-H_3-H_4-H_5-H_6-H_7-H_8-(hnh*(H_1+H_2+H_3+H_4+H_5+H_6+H_7+H_8))-(TP*VE*(Co_1+Co_2+Co_3+Co_4+Co_5+Co_6+Co_7+Co_8))),IF(ScI=2,H_9*hnh,0))</f>
        <v>#DIV/0!</v>
      </c>
      <c r="AL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H_10*hnh/(TP-H_1-H_2-H_3-H_4-H_5-H_6-H_7-H_8-H_9-(hnh*(H_1+H_2+H_3+H_4+H_5+H_6+H_7+H_8+H_9))-(TP*VE*(Co_1+Co_2+Co_3+Co_4+Co_5+Co_6+Co_7+Co_8+Co_9))),IF(ScI=2,H_10*hnh,0))</f>
        <v>#DIV/0!</v>
      </c>
      <c r="AM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H_11*hnh/(TP-H_1-H_2-H_3-H_4-H_5-H_6-H_7-H_8-H_9-H_10-(hnh*(H_1+H_2+H_3+H_4+H_5+H_6+H_7+H_8+H_9+H_10))-(TP*VE*(Co_1+Co_2+Co_3+Co_4+Co_5+Co_6+Co_7+Co_8+Co_9+Co_10))),IF(ScI=2,H_11*hnh,0))</f>
        <v>#DIV/0!</v>
      </c>
      <c r="AN62" s="88" t="e">
        <f>IF(ScI=1,(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BF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BF63)*H_12*hnh/(TP-H_1-H_2-H_3-H_4-H_5-H_6-H_7-H_8-H_9-H_10-H_11-(hnh*(H_1+H_2+H_3+H_4+H_5+H_6+H_7+H_8+H_9+H_10+H_11))-(TP*VE*(Co_1+Co_2+Co_3+Co_4+Co_5+Co_6+Co_7+Co_8+Co_9+Co_10+Co_11))),IF(ScI=2,H_12*hnh,0))</f>
        <v>#DIV/0!</v>
      </c>
      <c r="AP62" s="103" t="s">
        <v>82</v>
      </c>
      <c r="AQ62" s="103" t="s">
        <v>83</v>
      </c>
      <c r="AR62" s="103" t="s">
        <v>84</v>
      </c>
      <c r="AS62" s="103" t="s">
        <v>85</v>
      </c>
      <c r="AT62" s="103" t="s">
        <v>86</v>
      </c>
      <c r="AU62" s="103" t="s">
        <v>87</v>
      </c>
      <c r="AV62" s="103" t="s">
        <v>88</v>
      </c>
      <c r="AW62" s="103" t="s">
        <v>89</v>
      </c>
      <c r="AX62" s="103" t="s">
        <v>90</v>
      </c>
      <c r="AZ62" s="103" t="s">
        <v>106</v>
      </c>
      <c r="BA62" s="103" t="s">
        <v>92</v>
      </c>
      <c r="BB62" s="103" t="s">
        <v>98</v>
      </c>
      <c r="BC62" s="103" t="s">
        <v>99</v>
      </c>
      <c r="BD62" s="103" t="s">
        <v>100</v>
      </c>
      <c r="BE62" s="103" t="s">
        <v>101</v>
      </c>
      <c r="BF62" s="103" t="s">
        <v>102</v>
      </c>
    </row>
    <row r="63" spans="1:58" hidden="1" outlineLevel="1" x14ac:dyDescent="0.25">
      <c r="F63" s="113"/>
      <c r="G63" s="31"/>
      <c r="H63" s="31"/>
      <c r="I63" s="31"/>
      <c r="J63" s="31"/>
      <c r="K63" s="31"/>
      <c r="L63" s="31"/>
      <c r="M63" s="31"/>
      <c r="N63" s="31"/>
      <c r="Q63" s="31" t="e">
        <f t="shared" ref="Q63:AN63" si="12">Q62-Q5</f>
        <v>#DIV/0!</v>
      </c>
      <c r="R63" s="31" t="e">
        <f t="shared" si="12"/>
        <v>#DIV/0!</v>
      </c>
      <c r="S63" s="31" t="e">
        <f t="shared" si="12"/>
        <v>#DIV/0!</v>
      </c>
      <c r="T63" s="31" t="e">
        <f t="shared" si="12"/>
        <v>#DIV/0!</v>
      </c>
      <c r="U63" s="31" t="e">
        <f t="shared" si="12"/>
        <v>#DIV/0!</v>
      </c>
      <c r="V63" s="31" t="e">
        <f t="shared" si="12"/>
        <v>#DIV/0!</v>
      </c>
      <c r="W63" s="31" t="e">
        <f t="shared" si="12"/>
        <v>#DIV/0!</v>
      </c>
      <c r="X63" s="31" t="e">
        <f t="shared" si="12"/>
        <v>#DIV/0!</v>
      </c>
      <c r="Y63" s="31" t="e">
        <f t="shared" si="12"/>
        <v>#DIV/0!</v>
      </c>
      <c r="Z63" s="31" t="e">
        <f t="shared" si="12"/>
        <v>#DIV/0!</v>
      </c>
      <c r="AA63" s="31" t="e">
        <f t="shared" si="12"/>
        <v>#DIV/0!</v>
      </c>
      <c r="AB63" s="31" t="e">
        <f t="shared" si="12"/>
        <v>#DIV/0!</v>
      </c>
      <c r="AC63" s="31">
        <f t="shared" si="12"/>
        <v>0</v>
      </c>
      <c r="AD63" s="31" t="e">
        <f t="shared" si="12"/>
        <v>#DIV/0!</v>
      </c>
      <c r="AE63" s="31" t="e">
        <f t="shared" si="12"/>
        <v>#DIV/0!</v>
      </c>
      <c r="AF63" s="31" t="e">
        <f t="shared" si="12"/>
        <v>#DIV/0!</v>
      </c>
      <c r="AG63" s="31" t="e">
        <f t="shared" si="12"/>
        <v>#DIV/0!</v>
      </c>
      <c r="AH63" s="31" t="e">
        <f t="shared" si="12"/>
        <v>#DIV/0!</v>
      </c>
      <c r="AI63" s="31" t="e">
        <f t="shared" si="12"/>
        <v>#DIV/0!</v>
      </c>
      <c r="AJ63" s="31" t="e">
        <f t="shared" si="12"/>
        <v>#DIV/0!</v>
      </c>
      <c r="AK63" s="31" t="e">
        <f t="shared" si="12"/>
        <v>#DIV/0!</v>
      </c>
      <c r="AL63" s="31" t="e">
        <f t="shared" si="12"/>
        <v>#DIV/0!</v>
      </c>
      <c r="AM63" s="31" t="e">
        <f t="shared" si="12"/>
        <v>#DIV/0!</v>
      </c>
      <c r="AN63" s="31" t="e">
        <f t="shared" si="12"/>
        <v>#DIV/0!</v>
      </c>
      <c r="AP63" s="103" t="e">
        <f>((TP-H_1-((TP-H_1-(H_1*hnh)-(TP*sCo4_1*VE))*H_2/(TP-H_1-(H_1*hnh)))-(H_1*hnh)-((TP-H_1-(H_1*hnh)-(TP*sCo4_1*VE))*H_2*hnh/(TP-H_1-(H_1*hnh)))-(TP*sCo4_1*VE)-(TP*sCo4_2*VE))*(H_3*hnh/(TP-H_1-H_2-(hnh*(H_1+H_2)))))</f>
        <v>#DIV/0!</v>
      </c>
      <c r="AQ63" s="103" t="e">
        <f>(TP-H_1-((TP-H_1-(H_1*hnh)-(TP*sCo4_1*VE))*H_2/(TP-H_1-(H_1*hnh)))-AP61-(H_1*hnh)-((TP-H_1-(H_1*hnh)-(TP*sCo4_1*VE))*H_2*hnh/(TP-H_1-(H_1*hnh)))-AP63-(TP*sCo4_1*VE)-(TP*sCo4_2*VE)-(TP*sCo4_3*VE))*(H_4*hnh/(TP-H_1-H_2-H_3-(hnh*(H_1+H_2+H_3))))</f>
        <v>#DIV/0!</v>
      </c>
      <c r="AR63" s="103" t="e">
        <f>(TP-H_1-((TP-H_1-(H_1*hnh)-(TP*sCo4_1*VE))*H_2/(TP-H_1-(H_1*hnh)))-AP61-AQ61-(H_1*hnh)-((TP-H_1-(H_1*hnh)-(TP*sCo4_1*VE))*H_2*hnh/(TP-H_1-(H_1*hnh)))-AP63-AQ63-(TP*sCo4_1*VE)-(TP*sCo4_2*VE)-(TP*sCo4_3*VE)-(TP*sCo4_4*VE))*(H_5*hnh/(TP-H_1-H_2-H_3-H_4-(hnh*(H_1+H_2+H_3+H_4))))</f>
        <v>#DIV/0!</v>
      </c>
      <c r="AS63" s="103" t="e">
        <f>(TP-H_1-((TP-H_1-(H_1*hnh)-(TP*sCo4_1*VE))*H_2/(TP-H_1-(H_1*hnh)))-AP61-AQ61-AR61-(H_1*hnh)-((TP-H_1-(H_1*hnh)-(TP*sCo4_1*VE))*H_2*hnh/(TP-H_1-(H_1*hnh)))-AP63-AQ63-AR63-(TP*sCo4_1*VE)-(TP*sCo4_2*VE)-(TP*sCo4_3*VE)-(TP*sCo4_4*VE)-(TP*sCo4_5*VE))*(H_6*hnh/(TP-H_1-H_2-H_3-H_4-H_5-(hnh*(H_1+H_2+H_3+H_4+H_5))))</f>
        <v>#DIV/0!</v>
      </c>
      <c r="AT63" s="103" t="e">
        <f>(TP-H_1-((TP-H_1-(H_1*hnh)-(TP*sCo4_1*VE))*H_2/(TP-H_1-(H_1*hnh)))-AP61-AQ61-AR61-AS61-(H_1*hnh)-((TP-H_1-(H_1*hnh)-(TP*sCo4_1*VE))*H_2*hnh/(TP-H_1-(H_1*hnh)))-AP63-AQ63-AR63-AS63-(TP*sCo4_1*VE)-(TP*sCo4_2*VE)-(TP*sCo4_3*VE)-(TP*sCo4_4*VE)-(TP*sCo4_5*VE)-(TP*sCo4_6*VE))*(H_7*hnh/(TP-H_1-H_2-H_3-H_4-H_5-H_6-(hnh*(H_1+H_2+H_3+H_4+H_5+H_6))))</f>
        <v>#DIV/0!</v>
      </c>
      <c r="AU63" s="103" t="e">
        <f>(TP-H_1-((TP-H_1-(H_1*hnh)-(TP*sCo4_1*VE))*H_2/(TP-H_1-(H_1*hnh)))-AP61-AQ61-AR61-AS61-AT61-(H_1*hnh)-((TP-H_1-(H_1*hnh)-(TP*sCo4_1*VE))*H_2*hnh/(TP-H_1-(H_1*hnh)))-AP63-AQ63-AR63-AS63-AT63-(TP*sCo4_1*VE)-(TP*sCo4_2*VE)-(TP*sCo4_3*VE)-(TP*sCo4_4*VE)-(TP*sCo4_5*VE)-(TP*sCo4_6*VE)-(TP*sCo4_7*VE))*(H_8*hnh/(TP-H_1-H_2-H_3-H_4-H_5-H_6-H_7-(hnh*(H_1+H_2+H_3+H_4+H_5+H_6+H_7))))</f>
        <v>#DIV/0!</v>
      </c>
      <c r="AV63" s="103" t="e">
        <f>(TP-H_1-((TP-H_1-(H_1*hnh)-(TP*sCo4_1*VE))*H_2/(TP-H_1-(H_1*hnh)))-AP61-AQ61-AR61-AS61-AT61-AU61-(H_1*hnh)-((TP-H_1-(H_1*hnh)-(TP*sCo4_1*VE))*H_2*hnh/(TP-H_1-(H_1*hnh)))-AP63-AQ63-AR63-AS63-AT63-AU63-(TP*sCo4_1*VE)-(TP*sCo4_2*VE)-(TP*sCo4_3*VE)-(TP*sCo4_4*VE)-(TP*sCo4_5*VE)-(TP*sCo4_6*VE)-(TP*sCo4_7*VE)-(TP*sCo4_8*VE))*(H_9*hnh/(TP-H_1-H_2-H_3-H_4-H_5-H_6-H_7-H_8-(hnh*(H_1+H_2+H_3+H_4+H_5+H_6+H_7+H_8))))</f>
        <v>#DIV/0!</v>
      </c>
      <c r="AW63" s="103" t="e">
        <f>(TP-H_1-((TP-H_1-(H_1*hnh)-(TP*sCo4_1*VE))*H_2/(TP-H_1-(H_1*hnh)))-AP61-AQ61-AR61-AS61-AT61-AU61-AV61-(H_1*hnh)-((TP-H_1-(H_1*hnh)-(TP*sCo4_1*VE))*H_2*hnh/(TP-H_1-(H_1*hnh)))-AP63-AQ63-AR63-AS63-AT63-AU63-AV63-(TP*sCo4_1*VE)-(TP*sCo4_2*VE)-(TP*sCo4_3*VE)-(TP*sCo4_4*VE)-(TP*sCo4_5*VE)-(TP*sCo4_6*VE)-(TP*sCo4_7*VE)-(TP*sCo4_8*VE)-(TP*sCo4_9*VE))*(H_10*hnh/(TP-H_1-H_2-H_3-H_4-H_5-H_6-H_7-H_8-H_9-(hnh*(H_1+H_2+H_3+H_4+H_5+H_6+H_7+H_8+H_9))))</f>
        <v>#DIV/0!</v>
      </c>
      <c r="AX63" s="103" t="e">
        <f>(TP-H_1-((TP-H_1-(H_1*hnh)-(TP*sCo4_1*VE))*H_2/(TP-H_1-(H_1*hnh)))-AP61-AQ61-AR61-AS61-AT61-AU61-AV61-AW61-(H_1*hnh)-((TP-H_1-(H_1*hnh)-(TP*sCo4_1*VE))*H_2*hnh/(TP-H_1-(H_1*hnh)))-AP63-AQ63-AR63-AS63-AT63-AU63-AV63-AW63-(TP*sCo4_1*VE)-(TP*sCo4_2*VE)-(TP*sCo4_3*VE)-(TP*sCo4_4*VE)-(TP*sCo4_5*VE)-(TP*sCo4_6*VE)-(TP*sCo4_7*VE)-(TP*sCo4_8*VE)-(TP*sCo4_9*VE)-(TP*sCo4_10*VE))*(H_11*hnh/(TP-H_1-H_2-H_3-H_4-H_5-H_6-H_7-H_8-H_9-H_10-(hnh*(H_1+H_2+H_3+H_4+H_5+H_6+H_7+H_8+H_9+H_10))))</f>
        <v>#DIV/0!</v>
      </c>
      <c r="AZ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H_5*hnh/(TP-H_1-H_2-H_3-H_4-(hnh*(H_1+H_2+H_3+H_4))-(TP*VE*(Co_1+Co_2+Co_3+Co_4)))</f>
        <v>#DIV/0!</v>
      </c>
      <c r="BA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H_6*hnh/(TP-H_1-H_2-H_3-H_4-H_5-(hnh*(H_1+H_2+H_3+H_4+H_5))-(TP*VE*(Co_1+Co_2+Co_3+Co_4+Co_5)))</f>
        <v>#DIV/0!</v>
      </c>
      <c r="BB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H_7*hnh/(TP-H_1-H_2-H_3-H_4-H_5-H_6-(hnh*(H_1+H_2+H_3+H_4+H_5+H_6))-(TP*VE*(Co_1+Co_2+Co_3+Co_4+Co_5+Co_6)))</f>
        <v>#DIV/0!</v>
      </c>
      <c r="BC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H_8*hnh/(TP-H_1-H_2-H_3-H_4-H_5-H_6-H_7-(hnh*(H_1+H_2+H_3+H_4+H_5+H_6+H_7))-(TP*VE*(Co_1+Co_2+Co_3+Co_4+Co_5+Co_6+Co_7)))</f>
        <v>#DIV/0!</v>
      </c>
      <c r="BD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H_9*hnh/(TP-H_1-H_2-H_3-H_4-H_5-H_6-H_7-H_8-(hnh*(H_1+H_2+H_3+H_4+H_5+H_6+H_7+H_8))-(TP*VE*(Co_1+Co_2+Co_3+Co_4+Co_5+Co_6+Co_7+Co_8)))</f>
        <v>#DIV/0!</v>
      </c>
      <c r="BE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H_10*hnh/(TP-H_1-H_2-H_3-H_4-H_5-H_6-H_7-H_8-H_9-(hnh*(H_1+H_2+H_3+H_4+H_5+H_6+H_7+H_8+H_9))-(TP*VE*(Co_1+Co_2+Co_3+Co_4+Co_5+Co_6+Co_7+Co_8+Co_9)))</f>
        <v>#DIV/0!</v>
      </c>
      <c r="BF6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61-BA61-BB61-BC61-BD61-BE61-(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63-BA63-BB63-BC63-BD63-BE63)*H_11*hnh/(TP-H_1-H_2-H_3-H_4-H_5-H_6-H_7-H_8-H_9-H_10-(hnh*(H_1+H_2+H_3+H_4+H_5+H_6+H_7+H_8+H_9+H_10))-(TP*VE*(Co_1+Co_2+Co_3+Co_4+Co_5+Co_6+Co_7+Co_8+Co_9+Co_10)))</f>
        <v>#DIV/0!</v>
      </c>
    </row>
    <row r="64" spans="1:58" hidden="1" outlineLevel="1" x14ac:dyDescent="0.25">
      <c r="F64" s="112"/>
      <c r="Q64" s="118" t="e">
        <f>Q63-Q54</f>
        <v>#DIV/0!</v>
      </c>
      <c r="R64" s="118" t="e">
        <f t="shared" ref="R64:AB64" si="13">R63-R54</f>
        <v>#DIV/0!</v>
      </c>
      <c r="S64" s="118" t="e">
        <f t="shared" si="13"/>
        <v>#DIV/0!</v>
      </c>
      <c r="T64" s="118" t="e">
        <f t="shared" si="13"/>
        <v>#DIV/0!</v>
      </c>
      <c r="U64" s="118" t="e">
        <f t="shared" si="13"/>
        <v>#DIV/0!</v>
      </c>
      <c r="V64" s="118" t="e">
        <f t="shared" si="13"/>
        <v>#DIV/0!</v>
      </c>
      <c r="W64" s="118" t="e">
        <f t="shared" si="13"/>
        <v>#DIV/0!</v>
      </c>
      <c r="X64" s="118" t="e">
        <f t="shared" si="13"/>
        <v>#DIV/0!</v>
      </c>
      <c r="Y64" s="118" t="e">
        <f t="shared" si="13"/>
        <v>#DIV/0!</v>
      </c>
      <c r="Z64" s="118" t="e">
        <f t="shared" si="13"/>
        <v>#DIV/0!</v>
      </c>
      <c r="AA64" s="118" t="e">
        <f t="shared" si="13"/>
        <v>#DIV/0!</v>
      </c>
      <c r="AB64" s="118" t="e">
        <f t="shared" si="13"/>
        <v>#DIV/0!</v>
      </c>
      <c r="AC64" s="118">
        <f t="shared" ref="AC64:AN64" si="14">AC63-AC54</f>
        <v>0</v>
      </c>
      <c r="AD64" s="118" t="e">
        <f t="shared" si="14"/>
        <v>#DIV/0!</v>
      </c>
      <c r="AE64" s="118" t="e">
        <f t="shared" si="14"/>
        <v>#DIV/0!</v>
      </c>
      <c r="AF64" s="118" t="e">
        <f t="shared" si="14"/>
        <v>#DIV/0!</v>
      </c>
      <c r="AG64" s="118" t="e">
        <f t="shared" si="14"/>
        <v>#DIV/0!</v>
      </c>
      <c r="AH64" s="118" t="e">
        <f t="shared" si="14"/>
        <v>#DIV/0!</v>
      </c>
      <c r="AI64" s="118" t="e">
        <f t="shared" si="14"/>
        <v>#DIV/0!</v>
      </c>
      <c r="AJ64" s="118" t="e">
        <f t="shared" si="14"/>
        <v>#DIV/0!</v>
      </c>
      <c r="AK64" s="118" t="e">
        <f t="shared" si="14"/>
        <v>#DIV/0!</v>
      </c>
      <c r="AL64" s="118" t="e">
        <f t="shared" si="14"/>
        <v>#DIV/0!</v>
      </c>
      <c r="AM64" s="118" t="e">
        <f t="shared" si="14"/>
        <v>#DIV/0!</v>
      </c>
      <c r="AN64" s="118" t="e">
        <f t="shared" si="14"/>
        <v>#DIV/0!</v>
      </c>
    </row>
    <row r="65" spans="1:58" hidden="1" outlineLevel="1" x14ac:dyDescent="0.25"/>
    <row r="66" spans="1:58" collapsed="1" x14ac:dyDescent="0.25"/>
    <row r="67" spans="1:58" s="105" customFormat="1" x14ac:dyDescent="0.25">
      <c r="A67" s="104" t="s">
        <v>155</v>
      </c>
      <c r="B67" s="104"/>
    </row>
    <row r="68" spans="1:58" hidden="1" outlineLevel="1" x14ac:dyDescent="0.25">
      <c r="Q68" s="102" t="s">
        <v>72</v>
      </c>
      <c r="R68" s="102"/>
      <c r="S68" s="102"/>
      <c r="T68" s="102"/>
      <c r="U68" s="102"/>
      <c r="V68" s="102"/>
      <c r="W68" s="102"/>
      <c r="X68" s="102"/>
      <c r="Y68" s="102"/>
      <c r="Z68" s="102"/>
      <c r="AA68" s="102"/>
      <c r="AB68" s="102"/>
      <c r="AC68" s="101" t="s">
        <v>104</v>
      </c>
      <c r="AD68" s="101"/>
      <c r="AE68" s="101"/>
      <c r="AF68" s="101"/>
      <c r="AG68" s="101"/>
      <c r="AH68" s="101"/>
      <c r="AI68" s="101"/>
      <c r="AJ68" s="101"/>
      <c r="AK68" s="101"/>
      <c r="AL68" s="101"/>
      <c r="AM68" s="101"/>
      <c r="AN68" s="101"/>
      <c r="AP68" s="103">
        <v>3</v>
      </c>
      <c r="AQ68" s="103">
        <v>4</v>
      </c>
      <c r="AR68" s="103">
        <v>5</v>
      </c>
      <c r="AS68" s="103">
        <v>6</v>
      </c>
      <c r="AT68" s="103">
        <v>7</v>
      </c>
      <c r="AU68" s="103">
        <v>8</v>
      </c>
      <c r="AV68" s="103">
        <v>9</v>
      </c>
      <c r="AW68" s="103">
        <v>10</v>
      </c>
      <c r="AX68" s="103">
        <v>11</v>
      </c>
      <c r="AZ68" s="103">
        <v>5</v>
      </c>
      <c r="BA68" s="103">
        <v>6</v>
      </c>
      <c r="BB68" s="103">
        <v>7</v>
      </c>
      <c r="BC68" s="103">
        <v>8</v>
      </c>
      <c r="BD68" s="103">
        <v>9</v>
      </c>
      <c r="BE68" s="103">
        <v>10</v>
      </c>
      <c r="BF68" s="103">
        <v>11</v>
      </c>
    </row>
    <row r="69" spans="1:58" ht="28.7" hidden="1" customHeight="1" outlineLevel="1" x14ac:dyDescent="0.25">
      <c r="A69" s="11" t="s">
        <v>47</v>
      </c>
      <c r="B69" s="11"/>
      <c r="C69" s="11"/>
      <c r="D69" s="11"/>
      <c r="E69" s="11"/>
      <c r="F69" s="11"/>
      <c r="G69" s="109" t="s">
        <v>50</v>
      </c>
      <c r="H69" s="109"/>
      <c r="I69" s="110" t="s">
        <v>44</v>
      </c>
      <c r="J69" s="110"/>
      <c r="K69" s="101" t="s">
        <v>58</v>
      </c>
      <c r="L69" s="101"/>
      <c r="M69" s="110" t="s">
        <v>45</v>
      </c>
      <c r="N69" s="110"/>
      <c r="Q69" s="102" t="s">
        <v>1</v>
      </c>
      <c r="R69" s="102"/>
      <c r="S69" s="102"/>
      <c r="T69" s="102"/>
      <c r="U69" s="102"/>
      <c r="V69" s="102"/>
      <c r="W69" s="102"/>
      <c r="X69" s="102"/>
      <c r="Y69" s="102"/>
      <c r="Z69" s="102"/>
      <c r="AA69" s="102"/>
      <c r="AB69" s="102"/>
      <c r="AC69" s="101" t="s">
        <v>71</v>
      </c>
      <c r="AD69" s="101"/>
      <c r="AE69" s="101"/>
      <c r="AF69" s="101"/>
      <c r="AG69" s="101"/>
      <c r="AH69" s="101"/>
      <c r="AI69" s="101"/>
      <c r="AJ69" s="101"/>
      <c r="AK69" s="101"/>
      <c r="AL69" s="101"/>
      <c r="AM69" s="101"/>
      <c r="AN69" s="101"/>
      <c r="AP69" s="103" t="s">
        <v>73</v>
      </c>
      <c r="AQ69" s="103" t="s">
        <v>74</v>
      </c>
      <c r="AR69" s="103" t="s">
        <v>75</v>
      </c>
      <c r="AS69" s="103" t="s">
        <v>76</v>
      </c>
      <c r="AT69" s="103" t="s">
        <v>77</v>
      </c>
      <c r="AU69" s="103" t="s">
        <v>78</v>
      </c>
      <c r="AV69" s="103" t="s">
        <v>79</v>
      </c>
      <c r="AW69" s="103" t="s">
        <v>80</v>
      </c>
      <c r="AX69" s="103" t="s">
        <v>81</v>
      </c>
      <c r="AZ69" s="103" t="s">
        <v>105</v>
      </c>
      <c r="BA69" s="103" t="s">
        <v>91</v>
      </c>
      <c r="BB69" s="103" t="s">
        <v>93</v>
      </c>
      <c r="BC69" s="103" t="s">
        <v>94</v>
      </c>
      <c r="BD69" s="103" t="s">
        <v>95</v>
      </c>
      <c r="BE69" s="103" t="s">
        <v>96</v>
      </c>
      <c r="BF69" s="103" t="s">
        <v>97</v>
      </c>
    </row>
    <row r="70" spans="1:58" ht="45" hidden="1" outlineLevel="1" x14ac:dyDescent="0.25">
      <c r="A70" s="70" t="s">
        <v>40</v>
      </c>
      <c r="B70" s="70" t="s">
        <v>41</v>
      </c>
      <c r="C70" s="70" t="s">
        <v>53</v>
      </c>
      <c r="D70" s="70" t="s">
        <v>48</v>
      </c>
      <c r="E70" s="70" t="s">
        <v>42</v>
      </c>
      <c r="F70" s="76" t="s">
        <v>49</v>
      </c>
      <c r="G70" s="71" t="s">
        <v>51</v>
      </c>
      <c r="H70" s="71" t="s">
        <v>52</v>
      </c>
      <c r="I70" s="72" t="s">
        <v>51</v>
      </c>
      <c r="J70" s="72" t="s">
        <v>52</v>
      </c>
      <c r="K70" s="77" t="s">
        <v>51</v>
      </c>
      <c r="L70" s="77" t="s">
        <v>52</v>
      </c>
      <c r="M70" s="72" t="s">
        <v>51</v>
      </c>
      <c r="N70" s="72" t="s">
        <v>52</v>
      </c>
      <c r="Q70" s="102">
        <v>1</v>
      </c>
      <c r="R70" s="102">
        <v>2</v>
      </c>
      <c r="S70" s="102">
        <v>3</v>
      </c>
      <c r="T70" s="102">
        <v>4</v>
      </c>
      <c r="U70" s="102">
        <v>5</v>
      </c>
      <c r="V70" s="102">
        <v>6</v>
      </c>
      <c r="W70" s="102">
        <v>7</v>
      </c>
      <c r="X70" s="102">
        <v>8</v>
      </c>
      <c r="Y70" s="102">
        <v>9</v>
      </c>
      <c r="Z70" s="102">
        <v>10</v>
      </c>
      <c r="AA70" s="102">
        <v>11</v>
      </c>
      <c r="AB70" s="102">
        <v>12</v>
      </c>
      <c r="AC70" s="101">
        <v>1</v>
      </c>
      <c r="AD70" s="101">
        <v>2</v>
      </c>
      <c r="AE70" s="101">
        <v>3</v>
      </c>
      <c r="AF70" s="101">
        <v>4</v>
      </c>
      <c r="AG70" s="101">
        <v>5</v>
      </c>
      <c r="AH70" s="101">
        <v>6</v>
      </c>
      <c r="AI70" s="101">
        <v>7</v>
      </c>
      <c r="AJ70" s="101">
        <v>8</v>
      </c>
      <c r="AK70" s="101">
        <v>9</v>
      </c>
      <c r="AL70" s="101">
        <v>10</v>
      </c>
      <c r="AM70" s="101">
        <v>11</v>
      </c>
      <c r="AN70" s="101">
        <v>12</v>
      </c>
      <c r="AP70" s="103" t="e">
        <f>((TP-H_1-((TP-H_1-(H_1*hnh)-(TP*TCv*tCo1_1*VE))*H_2/(TP-H_1-(H_1*hnh)))-(H_1*hnh)-((TP-H_1-(H_1*hnh)-(TP*TCv*tCo1_1*VE))*H_2*hnh/(TP-H_1-(H_1*hnh)))-(TP*TCv*tCo1_1*VE)-(TP*TCv*tCo1_2*VE))*(H_3/(TP-H_1-H_2-(hnh*(H_1+H_2)))))</f>
        <v>#DIV/0!</v>
      </c>
      <c r="AQ70" s="103" t="e">
        <f>(TP-H_1-((TP-H_1-(H_1*hnh)-(TP*TCv*tCo1_1*VE))*H_2/(TP-H_1-(H_1*hnh)))-AP70-(H_1*hnh)-((TP-H_1-(H_1*hnh)-(TP*TCv*tCo1_1*VE))*H_2*hnh/(TP-H_1-(H_1*hnh)))-AP72-(TP*TCv*tCo1_1*VE)-(TP*TCv*tCo1_2*VE)-(TP*TCv*tCo1_3*VE))*(H_4/(TP-H_1-H_2-H_3-(hnh*(H_1+H_2+H_3))))</f>
        <v>#DIV/0!</v>
      </c>
      <c r="AR70" s="103" t="e">
        <f>(TP-H_1-((TP-H_1-(H_1*hnh)-(TP*TCv*tCo1_1*VE))*H_2/(TP-H_1-(H_1*hnh)))-AP70-AQ70-(H_1*hnh)-((TP-H_1-(H_1*hnh)-(TP*TCv*tCo1_1*VE))*H_2*hnh/(TP-H_1-(H_1*hnh)))-AP72-AQ72-(TP*TCv*tCo1_1*VE)-(TP*TCv*tCo1_2*VE)-(TP*TCv*tCo1_3*VE)-(TP*TCv*tCo1_4*VE))*(H_5/(TP-H_1-H_2-H_3-H_4-(hnh*(H_1+H_2+H_3+H_4))))</f>
        <v>#DIV/0!</v>
      </c>
      <c r="AS70" s="103" t="e">
        <f>(TP-H_1-((TP-H_1-(H_1*hnh)-(TP*TCv*tCo1_1*VE))*H_2/(TP-H_1-(H_1*hnh)))-AP70-AQ70-AR70-(H_1*hnh)-((TP-H_1-(H_1*hnh)-(TP*TCv*tCo1_1*VE))*H_2*hnh/(TP-H_1-(H_1*hnh)))-AP72-AQ72-AR72-(TP*TCv*tCo1_1*VE)-(TP*TCv*tCo1_2*VE)-(TP*TCv*tCo1_3*VE)-(TP*TCv*tCo1_4*VE)-(TP*TCv*tCo1_5*VE))*(H_6/(TP-H_1-H_2-H_3-H_4-H_5-(hnh*(H_1+H_2+H_3+H_4+H_5))))</f>
        <v>#DIV/0!</v>
      </c>
      <c r="AT70" s="103" t="e">
        <f>(TP-H_1-((TP-H_1-(H_1*hnh)-(TP*TCv*tCo1_1*VE))*H_2/(TP-H_1-(H_1*hnh)))-AP70-AQ70-AR70-AS70-(H_1*hnh)-((TP-H_1-(H_1*hnh)-(TP*TCv*tCo1_1*VE))*H_2*hnh/(TP-H_1-(H_1*hnh)))-AP72-AQ72-AR72-AS72-(TP*TCv*tCo1_1*VE)-(TP*TCv*tCo1_2*VE)-(TP*TCv*tCo1_3*VE)-(TP*TCv*tCo1_4*VE)-(TP*TCv*tCo1_5*VE)-(TP*TCv*tCo1_6*VE))*(H_7/(TP-H_1-H_2-H_3-H_4-H_5-H_6-(hnh*(H_1+H_2+H_3+H_4+H_5+H_6))))</f>
        <v>#DIV/0!</v>
      </c>
      <c r="AU70" s="103" t="e">
        <f>(TP-H_1-((TP-H_1-(H_1*hnh)-(TP*TCv*tCo1_1*VE))*H_2/(TP-H_1-(H_1*hnh)))-AP70-AQ70-AR70-AS70-AT70-(H_1*hnh)-((TP-H_1-(H_1*hnh)-(TP*TCv*tCo1_1*VE))*H_2*hnh/(TP-H_1-(H_1*hnh)))-AP72-AQ72-AR72-AS72-AT72-(TP*TCv*tCo1_1*VE)-(TP*TCv*tCo1_2*VE)-(TP*TCv*tCo1_3*VE)-(TP*TCv*tCo1_4*VE)-(TP*TCv*tCo1_5*VE)-(TP*TCv*tCo1_6*VE)-(TP*TCv*tCo1_7*VE))*(H_8/(TP-H_1-H_2-H_3-H_4-H_5-H_6-H_7-(hnh*(H_1+H_2+H_3+H_4+H_5+H_6+H_7))))</f>
        <v>#DIV/0!</v>
      </c>
      <c r="AV70" s="103" t="e">
        <f>(TP-H_1-((TP-H_1-(H_1*hnh)-(TP*TCv*tCo1_1*VE))*H_2/(TP-H_1-(H_1*hnh)))-AP70-AQ70-AR70-AS70-AT70-AU70-(H_1*hnh)-((TP-H_1-(H_1*hnh)-(TP*TCv*tCo1_1*VE))*H_2*hnh/(TP-H_1-(H_1*hnh)))-AP72-AQ72-AR72-AS72-AT72-AU72-(TP*TCv*tCo1_1*VE)-(TP*TCv*tCo1_2*VE)-(TP*TCv*tCo1_3*VE)-(TP*TCv*tCo1_4*VE)-(TP*TCv*tCo1_5*VE)-(TP*TCv*tCo1_6*VE)-(TP*TCv*tCo1_7*VE)-(TP*TCv*tCo1_8*VE))*(H_9/(TP-H_1-H_2-H_3-H_4-H_5-H_6-H_7-H_8-(hnh*(H_1+H_2+H_3+H_4+H_5+H_6+H_7+H_8))))</f>
        <v>#DIV/0!</v>
      </c>
      <c r="AW70" s="103" t="e">
        <f>(TP-H_1-((TP-H_1-(H_1*hnh)-(TP*TCv*tCo1_1*VE))*H_2/(TP-H_1-(H_1*hnh)))-AP70-AQ70-AR70-AS70-AT70-AU70-AV70-(H_1*hnh)-((TP-H_1-(H_1*hnh)-(TP*TCv*tCo1_1*VE))*H_2*hnh/(TP-H_1-(H_1*hnh)))-AP72-AQ72-AR72-AS72-AT72-AU72-AV72-(TP*TCv*tCo1_1*VE)-(TP*TCv*tCo1_2*VE)-(TP*TCv*tCo1_3*VE)-(TP*TCv*tCo1_4*VE)-(TP*TCv*tCo1_5*VE)-(TP*TCv*tCo1_6*VE)-(TP*TCv*tCo1_7*VE)-(TP*TCv*tCo1_8*VE)-(TP*TCv*tCo1_9*VE))*(H_10/(TP-H_1-H_2-H_3-H_4-H_5-H_6-H_7-H_8-H_9-(hnh*(H_1+H_2+H_3+H_4+H_5+H_6+H_7+H_8+H_9))))</f>
        <v>#DIV/0!</v>
      </c>
      <c r="AX70" s="103" t="e">
        <f>(TP-H_1-((TP-H_1-(H_1*hnh)-(TP*TCv*tCo1_1*VE))*H_2/(TP-H_1-(H_1*hnh)))-AP70-AQ70-AR70-AS70-AT70-AU70-AV70-AW70-(H_1*hnh)-((TP-H_1-(H_1*hnh)-(TP*TCv*tCo1_1*VE))*H_2*hnh/(TP-H_1-(H_1*hnh)))-AP72-AQ72-AR72-AS72-AT72-AU72-AV72-AW72-(TP*TCv*tCo1_1*VE)-(TP*TCv*tCo1_2*VE)-(TP*TCv*tCo1_3*VE)-(TP*TCv*tCo1_4*VE)-(TP*TCv*tCo1_5*VE)-(TP*TCv*tCo1_6*VE)-(TP*TCv*tCo1_7*VE)-(TP*TCv*tCo1_8*VE)-(TP*TCv*tCo1_9*VE)-(TP*TCv*tCo1_10*VE))*(H_11/(TP-H_1-H_2-H_3-H_4-H_5-H_6-H_7-H_8-H_9-H_10-(hnh*(H_1+H_2+H_3+H_4+H_5+H_6+H_7+H_8+H_9+H_10))))</f>
        <v>#DIV/0!</v>
      </c>
      <c r="AZ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H_5/(TP-H_1-H_2-H_3-H_4-(hnh*(H_1+H_2+H_3+H_4))-(TP*VE*(TCv*tCo1_1+TCv*tCo1_2+TCv*tCo1_3+TCv*tCo1_4)))</f>
        <v>#DIV/0!</v>
      </c>
      <c r="BA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H_6/(TP-H_1-H_2-H_3-H_4-H_5-(hnh*(H_1+H_2+H_3+H_4+H_5))-(TP*VE*(TCv*tCo1_1+TCv*tCo1_2+TCv*tCo1_3+TCv*tCo1_4+TCv*tCo1_5)))</f>
        <v>#DIV/0!</v>
      </c>
      <c r="BB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H_7/(TP-H_1-H_2-H_3-H_4-H_5-H_6-(hnh*(H_1+H_2+H_3+H_4+H_5+H_6))-(TP*VE*(TCv*tCo1_1+TCv*tCo1_2+TCv*tCo1_3+TCv*tCo1_4+TCv*tCo1_5+TCv*tCo1_6)))</f>
        <v>#DIV/0!</v>
      </c>
      <c r="BC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H_8/(TP-H_1-H_2-H_3-H_4-H_5-H_6-H_7-(hnh*(H_1+H_2+H_3+H_4+H_5+H_6+H_7))-(TP*VE*(TCv*tCo1_1+TCv*tCo1_2+TCv*tCo1_3+TCv*tCo1_4+TCv*tCo1_5+TCv*tCo1_6+TCv*tCo1_7)))</f>
        <v>#DIV/0!</v>
      </c>
      <c r="BD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H_9/(TP-H_1-H_2-H_3-H_4-H_5-H_6-H_7-H_8-(hnh*(H_1+H_2+H_3+H_4+H_5+H_6+H_7+H_8))-(TP*VE*(TCv*tCo1_1+TCv*tCo1_2+TCv*tCo1_3+TCv*tCo1_4+TCv*tCo1_5+TCv*tCo1_6+TCv*tCo1_7+TCv*tCo1_8)))</f>
        <v>#DIV/0!</v>
      </c>
      <c r="BE70"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70-BA70-BB70-BC70-BD70-(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72-BA72-BB72-BC72-BD72)*H_10/(TP-H_1-H_2-H_3-H_4-H_5-H_6-H_7-H_8-H_9-(hnh*(H_1+H_2+H_3+H_4+H_5+H_6+H_7+H_8+H_9))-(TP*VE*(Co_1+Co_2+Co_3+Co_4+Co_5+Co_6+Co_7+Co_8+Co_9)))</f>
        <v>#DIV/0!</v>
      </c>
      <c r="BF70"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H_11/(TP-H_1-H_2-H_3-H_4-H_5-H_6-H_7-H_8-H_9-H_10-(hnh*(H_1+H_2+H_3+H_4+H_5+H_6+H_7+H_8+H_9+H_10))-(TP*VE*(TCv*tCo1_1+TCv*tCo1_2+TCv*tCo1_3+TCv*tCo1_4+TCv*tCo1_5+TCv*tCo1_6+TCv*tCo1_7+TCv*tCo1_8+TCv*tCo1_9+TCv*tCo1_10)))</f>
        <v>#DIV/0!</v>
      </c>
    </row>
    <row r="71" spans="1:58" hidden="1" outlineLevel="1" x14ac:dyDescent="0.25">
      <c r="A71" s="73">
        <f>season</f>
        <v>0</v>
      </c>
      <c r="B71" s="73">
        <f>TG</f>
        <v>0</v>
      </c>
      <c r="C71" s="73">
        <f>TP</f>
        <v>0</v>
      </c>
      <c r="D71" s="74">
        <f>TCv</f>
        <v>0</v>
      </c>
      <c r="E71" s="75">
        <f>VE</f>
        <v>0</v>
      </c>
      <c r="F71" s="78" t="e">
        <f>G71/IF(mb=1,SUM(AC71:AN71),IF(mb=2,SUM(AD71:AN71),IF(mb=3,SUM(AE71:AN71),IF(mb=4,SUM(AF71:AN71),IF(mb=5,SUM(AG71:AN71),IF(mb=6,SUM(AH71:AN71),IF(mb=7,SUM(AI71:AN71),IF(mb=8,SUM(AJ71:AN71),0))))))))</f>
        <v>#DIV/0!</v>
      </c>
      <c r="G71" s="42">
        <f>IF(mb=1,SUM(AC71:AN71)-SUM(Q71:AB71),IF(mb=2,SUM(AD71:AN71)-SUM(R71:AB71),IF(mb=3,SUM(AE71:AN71)-SUM(S71:AB71),IF(mb=4,SUM(AF71:AN71)-SUM(T71:AB71),IF(mb=5,SUM(AG71:AN71)-SUM(U71:AB71),IF(mb=6,SUM(AH71:AN71)-SUM(V71:AB71),IF(mb=7,SUM(AI71:AN71)-SUM(W71:AB71),IF(mb=8,SUM(AJ71:AN71)-SUM(X71:AB71),0))))))))</f>
        <v>0</v>
      </c>
      <c r="H71" s="96" t="e">
        <f>1/(VE*IF(mb=1,SUM(AC71:AN71),IF(mb=2,SUM(AD71:AN71),IF(mb=3,SUM(AE71:AN71),IF(mb=4,SUM(AF71:AN71),IF(mb=5,SUM(AG71:AN71),IF(mb=6,SUM(AH71:AN71),IF(mb=7,SUM(AI71:AN71),IF(mb=8,SUM(AJ71:AN71),0))))))))/TP)</f>
        <v>#DIV/0!</v>
      </c>
      <c r="I71" s="93" t="e">
        <f>G71/hnh</f>
        <v>#DIV/0!</v>
      </c>
      <c r="J71" s="42" t="e">
        <f>1/(VE*IF(mb=1,SUM(AC71:AN71),IF(mb=2,SUM(AD71:AN71),IF(mb=3,SUM(AE71:AN71),IF(mb=4,SUM(AF71:AN71),IF(mb=5,SUM(AG71:AN71),IF(mb=6,SUM(AH71:AN71),IF(mb=7,SUM(AI71:AN71),IF(mb=8,SUM(AJ71:AN71),0))))))))/(TP*hnh))</f>
        <v>#DIV/0!</v>
      </c>
      <c r="K71" s="42" t="e">
        <f>M71*mai</f>
        <v>#DIV/0!</v>
      </c>
      <c r="L71" s="42" t="e">
        <f>1/(VE*((IF(mb=1,SUM(AC71:AN71),IF(mb=2,SUM(AD71:AN71),IF(mb=3,SUM(AE71:AN71),IF(mb=4,SUM(AF71:AN71),IF(mb=5,SUM(AG71:AN71),IF(mb=6,SUM(AH71:AN71),IF(mb=7,SUM(AI71:AN71),IF(mb=8,SUM(AJ71:AN71),0))))))))+(IF(mb=1,SUM(AC71:AN71),IF(mb=2,SUM(AD71:AN71),IF(mb=3,SUM(AE71:AN71),IF(mb=4,SUM(AF71:AN71),IF(mb=5,SUM(AG71:AN71),IF(mb=6,SUM(AH71:AN71),IF(mb=7,SUM(AI71:AN71),IF(mb=8,SUM(AJ71:AN71),0)))))))))/hnh)*mai)/TP)</f>
        <v>#DIV/0!</v>
      </c>
      <c r="M71" s="42" t="e">
        <f>G71+I71</f>
        <v>#DIV/0!</v>
      </c>
      <c r="N71" s="42" t="e">
        <f>1/(VE*(IF(mb=1,SUM(AC71:AN71),IF(mb=2,SUM(AD71:AN71),IF(mb=3,SUM(AE71:AN71),IF(mb=4,SUM(AF71:AN71),IF(mb=5,SUM(AG71:AN71),IF(mb=6,SUM(AH71:AN71),IF(mb=7,SUM(AI71:AN71),IF(mb=8,SUM(AJ71:AN71),0))))))))+(IF(mb=1,SUM(AC71:AN71),IF(mb=2,SUM(AD71:AN71),IF(mb=3,SUM(AE71:AN71),IF(mb=4,SUM(AF71:AN71),IF(mb=5,SUM(AG71:AN71),IF(mb=6,SUM(AH71:AN71),IF(mb=7,SUM(AI71:AN71),IF(mb=8,SUM(AJ71:AN71),0)))))))))/hnh)/TP)</f>
        <v>#DIV/0!</v>
      </c>
      <c r="Q71" s="86" t="e">
        <f>IF(ISc=1,nh1_1,IF(ISc=2,H_1*hnh,0))</f>
        <v>#DIV/0!</v>
      </c>
      <c r="R71" s="111" t="e">
        <f>IF(ScI=1,((nh1_2/(TP-(nh1_1/hnh)-nh1_1))*(TP-(nh1_1/hnh)-nh1_1-(TP*TCv*tCo1_1*VE))),IF(ScI=2,(TP-H_1-(H_1*hnh)-(TP*TCv*tCo1_1*VE))*(H_2*hnh/(TP-H_1-(H_1*hnh))),"fal"))</f>
        <v>#DIV/0!</v>
      </c>
      <c r="S71" s="137" t="e">
        <f>IF(ScI=1,(nh1_3/(TP-((nh1_1+nh1_2)/hnh)-nh1_1-nh1_2))*(TP-(nh1_1/hnh)-(R71/hnh)-nh1_1-R71-(TP*VE*(TCv*tCo1_1+TCv*tCo1_2))),IF(ScI=2,(TP-H_1-((TP-H_1-(H_1*hnh)-(TP*TCv*tCo1_1*VE))*H_2/(TP-H_1-(H_1*hnh)))-(H_1*hnh)-((TP-H_1-(H_1*hnh)-(TP*TCv*tCo1_1*VE))*H_2*hnh/(TP-H_1-(H_1*hnh)))-(TP*TCv*tCo1_1*VE)-(TP*TCv*tCo1_2*VE))*(H_3*hnh/(TP-H_1-H_2-(hnh*(H_1+H_2)))),0))</f>
        <v>#DIV/0!</v>
      </c>
      <c r="T71" s="86" t="e">
        <f>IF(ScI=1,(nh1_4/(TP-(nh1_1/hnh)-(nh1_2/hnh)-(nh1_3/hnh)-nh1_1-nh1_2-nh1_3))*(TP-(nh1_1/hnh)-(R71/hnh)-(S71/hnh)-nh1_1-R71-S71-(TP*VE*(TCv*tCo1_1+TCv*tCo1_2+TCv*tCo1_3))),IF(ScI=2,(TP-H_1-((TP-H_1-(H_1*hnh)-(TP*TCv*tCo1_1*VE))*H_2/(TP-H_1-(H_1*hnh)))-((TP-H_1-(((TP-H_1-(H_1*hnh)-(TP*TCv*tCo1_1*VE))*H_2/(TP-H_1-(H_1*hnh))))-(H_1*hnh)-((TP-H_1-(H_1*hnh)-(TP*TCv*tCo1_1*VE))*H_2*hnh/(TP-H_1-(H_1*hnh)))-(TP*TCv*tCo1_1*VE)-(TP*TCv*tCo1_2*VE))*(H_3/(TP-H_1-H_2-(hnh*(H_1+H_2)))))-(H_1*hnh)-((TP-H_1-(H_1*hnh)-(TP*TCv*tCo1_1*VE))*H_2*hnh/(TP-H_1-(H_1*hnh)))-((TP-H_1-(((TP-H_1-(H_1*hnh)-(TP*TCv*tCo1_1*VE))*H_2/(TP-H_1-(H_1*hnh))))-(H_1*hnh)-(((TP-H_1-(H_1*hnh)-(TP*TCv*tCo1_1*VE))*H_2*hnh/(TP-H_1-(H_1*hnh))))-(TP*TCv*tCo1_1*VE)-(TP*TCv*tCo1_2*VE))*(H_3*hnh/(TP-H_1-H_2-(hnh*(H_1+H_2)))))-(TP*TCv*tCo1_1*VE)-(TP*TCv*tCo1_2*VE)-(TP*TCv*tCo1_3*VE))*(H_4*hnh/(TP-H_1-H_2-H_3-(hnh*(H_1+H_2+H_3)))),0))</f>
        <v>#DIV/0!</v>
      </c>
      <c r="U71" s="86" t="e">
        <f>IF(ScI=1,(nh1_5/(TP-(nh1_1/hnh)-(nh1_2/hnh)-(nh1_3/hnh)-(nh1_4/hnh)-nh1_1-nh1_2-nh1_3-nh1_4))*(TP-(nh1_1/hnh)-(R71/hnh)-(S71/hnh)-(T71/hnh)-nh1_1-R71-S71-T71-(TP*VE*(TCv*tCo1_1+TCv*tCo1_2+TCv*tCo1_3+TCv*tCo1_4))),IF(ScI=2,(TP-H_1-(((TP-H_1-(H_1*hnh)-(TP*TCv*tCo1_1*VE))*H_2/(TP-H_1-(H_1*hnh))))-AP70-AQ70-(H_1*hnh)-((TP-H_1-(H_1*hnh)-(TP*TCv*tCo1_1*VE))*H_2*hnh/(TP-H_1-(H_1*hnh)))-AP72-AQ72-(TP*TCv*tCo1_1*VE)-(TP*TCv*tCo1_2*VE)-(TP*TCv*tCo1_3*VE)-(TP*TCv*tCo1_4*VE))*(H_5*hnh/(TP-H_1-H_2-H_3-H_4-(hnh*(H_1+H_2+H_3+H_4)))),0))</f>
        <v>#DIV/0!</v>
      </c>
      <c r="V71" s="86" t="e">
        <f>IF(ScI=1,(nh1_6/(TP-(nh1_1/hnh)-(nh1_2/hnh)-(nh1_3/hnh)-(nh1_4/hnh)-(nh1_5/hnh)-nh1_1-nh1_2-nh1_3-nh1_4-nh1_5))*(TP-(nh1_1/hnh)-(R71/hnh)-(S71/hnh)-(T71/hnh)-(U71/hnh)-nh1_1-R71-S71-T71-U71-(TP*VE*(TCv*tCo1_1+TCv*tCo1_2+TCv*tCo1_3+TCv*tCo1_4+TCv*tCo1_5))),IF(ScI=2,(TP-H_1-((TP-H_1-(H_1*hnh)-(TP*TCv*tCo1_1*VE))*H_2/(TP-H_1-(H_1*hnh)))-AP70-AQ70-AR70-(H_1*hnh)-((TP-H_1-(H_1*hnh)-(TP*TCv*tCo1_1*VE))*H_2*hnh/(TP-H_1-(H_1*hnh)))-AP72-AQ72-AR72-(TP*TCv*tCo1_1*VE)-(TP*TCv*tCo1_2*VE)-(TP*TCv*tCo1_3*VE)-(TP*TCv*tCo1_4*VE)-(TP*TCv*tCo1_5*VE))*(H_6*hnh/(TP-H_1-H_2-H_3-H_4-H_5-(hnh*(H_1+H_2+H_3+H_4+H_5)))),0))</f>
        <v>#DIV/0!</v>
      </c>
      <c r="W71" s="86" t="e">
        <f>IF(ScI=1,(nh1_7/(TP-(nh1_1/hnh)-(nh1_2/hnh)-(nh1_3/hnh)-(nh1_4/hnh)-(nh1_5/hnh)-(nh1_6/hnh)-nh1_1-nh1_2-nh1_3-nh1_4-nh1_5-nh1_6))*(TP-(nh1_1/hnh)-(R71/hnh)-(S71/hnh)-(T71/hnh)-(U71/hnh)-(V71/hnh)-nh1_1-R71-S71-T71-U71-V71-(TP*VE*(TCv*tCo1_1+TCv*tCo1_2+TCv*tCo1_3+TCv*tCo1_4+TCv*tCo1_5+TCv*tCo1_6))),IF(ScI=2,(TP-H_1-((TP-H_1-(H_1*hnh)-(TP*TCv*tCo1_1*VE))*H_2/(TP-H_1-(H_1*hnh)))-AP70-AQ70-AR70-AS70-(H_1*hnh)-((TP-H_1-(H_1*hnh)-(TP*TCv*tCo1_1*VE))*H_2*hnh/(TP-H_1-(H_1*hnh)))-AP72-AQ72-AR72-AS72-(TP*TCv*tCo1_1*VE)-(TP*TCv*tCo1_2*VE)-(TP*TCv*tCo1_3*VE)-(TP*TCv*tCo1_4*VE)-(TP*TCv*tCo1_5*VE)-(TP*TCv*tCo1_6*VE))*(H_7*hnh/(TP-H_1-H_2-H_3-H_4-H_5-H_6-(hnh*(H_1+H_2+H_3+H_4+H_5+H_6)))),0))</f>
        <v>#DIV/0!</v>
      </c>
      <c r="X71" s="86" t="e">
        <f>IF(ScI=1,(nh1_8/(TP-(nh1_1/hnh)-(nh1_2/hnh)-(nh1_3/hnh)-(nh1_4/hnh)-(nh1_5/hnh)-(nh1_6/hnh)-(nh1_7/hnh)-nh1_1-nh1_2-nh1_3-nh1_4-nh1_5-nh1_6-nh1_7))*(TP-(nh1_1/hnh)-(R71/hnh)-(S71/hnh)-(T71/hnh)-(U71/hnh)-(V71/hnh)-(W71/hnh)-nh1_1-R71-S71-T71-U71-V71-W71-(TP*VE*(TCv*tCo1_1+TCv*tCo1_2+TCv*tCo1_3+TCv*tCo1_4+TCv*tCo1_5+TCv*tCo1_6+TCv*tCo1_7))),IF(ScI=2,(TP-H_1-((TP-H_1-(H_1*hnh)-(TP*TCv*tCo1_1*VE))*H_2/(TP-H_1-(H_1*hnh)))-AP70-AQ70-AR70-AS70-AT70-(H_1*hnh)-((TP-H_1-(H_1*hnh)-(TP*TCv*tCo1_1*VE))*H_2*hnh/(TP-H_1-(H_1*hnh)))-AP72-AQ72-AR72-AS72-AT72-(TP*TCv*tCo1_1*VE)-(TP*TCv*tCo1_2*VE)-(TP*TCv*tCo1_3*VE)-(TP*TCv*tCo1_4*VE)-(TP*TCv*tCo1_5*VE)-(TP*TCv*tCo1_6*VE)-(TP*TCv*tCo1_7*VE))*(H_8*hnh/(TP-H_1-H_2-H_3-H_4-H_5-H_6-H_7-(hnh*(H_1+H_2+H_3+H_4+H_5+H_6+H_7)))),0))</f>
        <v>#DIV/0!</v>
      </c>
      <c r="Y71" s="86" t="e">
        <f>IF(ScI=1,(nh1_9/(TP-(nh1_1/hnh)-(nh1_2/hnh)-(nh1_3/hnh)-(nh1_4/hnh)-(nh1_5/hnh)-(nh1_6/hnh)-(nh1_7/hnh)-(nh1_8/hnh)-nh1_1-nh1_2-nh1_3-nh1_4-nh1_5-nh1_6-nh1_7-nh1_8))*(TP-(nh1_1/hnh)-(R71/hnh)-(S71/hnh)-(T71/hnh)-(U71/hnh)-(V71/hnh)-(W71/hnh)-(X71/hnh)-nh1_1-R71-S71-T71-U71-V71-W71-X71-(TP*VE*(TCv*tCo1_1+TCv*tCo1_2+TCv*tCo1_3+TCv*tCo1_4+TCv*tCo1_5+TCv*tCo1_6+TCv*tCo1_7+TCv*tCo1_8))),IF(ScI=2,(TP-H_1-((TP-H_1-(H_1*hnh)-(TP*TCv*tCo1_1*VE))*H_2/(TP-H_1-(H_1*hnh)))-AP70-AQ70-AR70-AS70-AT70-AU70-(H_1*hnh)-((TP-H_1-(H_1*hnh)-(TP*TCv*tCo1_1*VE))*H_2*hnh/(TP-H_1-(H_1*hnh)))-AP72-AQ72-AR72-AS72-AT72-AU72-(TP*TCv*tCo1_1*VE)-(TP*TCv*tCo1_2*VE)-(TP*TCv*tCo1_3*VE)-(TP*TCv*tCo1_4*VE)-(TP*TCv*tCo1_5*VE)-(TP*TCv*tCo1_6*VE)-(TP*TCv*tCo1_7*VE)-(TP*TCv*tCo1_8*VE))*(H_9*hnh/(TP-H_1-H_2-H_3-H_4-H_5-H_6-H_7-H_8-(hnh*(H_1+H_2+H_3+H_4+H_5+H_6+H_7+H_8)))),0))</f>
        <v>#DIV/0!</v>
      </c>
      <c r="Z71" s="86" t="e">
        <f>IF(ScI=1,(nh1_10/(TP-(nh1_1/hnh)-(nh1_2/hnh)-(nh1_3/hnh)-(nh1_4/hnh)-(nh1_5/hnh)-(nh1_6/hnh)-(nh1_7/hnh)-(nh1_8/hnh)-(nh1_9/hnh)-nh1_1-nh1_2-nh1_3-nh1_4-nh1_5-nh1_6-nh1_7-nh1_8-nh1_9))*(TP-(nh1_1/hnh)-(R71/hnh)-(S71/hnh)-(T71/hnh)-(U71/hnh)-(V71/hnh)-(W71/hnh)-(X71/hnh)-(Y71/hnh)-nh1_1-R71-S71-T71-U71-V71-W71-X71-Y71-(TP*VE*(TCv*tCo1_1+TCv*tCo1_2+TCv*tCo1_3+TCv*tCo1_4+TCv*tCo1_5+TCv*tCo1_6+TCv*tCo1_7+TCv*tCo1_8+TCv*tCo1_9))),IF(ScI=2,(TP-H_1-((TP-H_1-(H_1*hnh)-(TP*TCv*tCo1_1*VE))*H_2/(TP-H_1-(H_1*hnh)))-AP70-AQ70-AR70-AS70-AT70-AU70-AV70-(H_1*hnh)-((TP-H_1-(H_1*hnh)-(TP*TCv*tCo1_1*VE))*H_2*hnh/(TP-H_1-(H_1*hnh)))-AP72-AQ72-AR72-AS72-AT72-AU72-AV72-(TP*TCv*tCo1_1*VE)-(TP*TCv*tCo1_2*VE)-(TP*TCv*tCo1_3*VE)-(TP*TCv*tCo1_4*VE)-(TP*TCv*tCo1_5*VE)-(TP*TCv*tCo1_6*VE)-(TP*TCv*tCo1_7*VE)-(TP*TCv*tCo1_8*VE)-(TP*TCv*tCo1_9*VE))*(H_10*hnh/(TP-H_1-H_2-H_3-H_4-H_5-H_6-H_7-H_8-H_9-(hnh*(H_1+H_2+H_3+H_4+H_5+H_6+H_7+H_8+H_9)))),0))</f>
        <v>#DIV/0!</v>
      </c>
      <c r="AA71" s="86" t="e">
        <f>IF(ScI=1,(nh1_11/(TP-(nh1_1/hnh)-(nh1_2/hnh)-(nh1_3/hnh)-(nh1_4/hnh)-(nh1_5/hnh)-(nh1_6/hnh)-(nh1_7/hnh)-(nh1_8/hnh)-(nh1_9/hnh)-(nh1_10/hnh)-nh1_1-nh1_2-nh1_3-nh1_4-nh1_5-nh1_6-nh1_7-nh1_8-nh1_9-nh1_10))*(TP-(nh1_1/hnh)-(R71/hnh)-(S71/hnh)-(T71/hnh)-(U71/hnh)-(V71/hnh)-(W71/hnh)-(X71/hnh)-(Y71/hnh)-(Z71/hnh)-nh1_1-R71-S71-T71-U71-V71-W71-X71-Y71-Z71-(TP*VE*(TCv*tCo1_1+TCv*tCo1_2+TCv*tCo1_3+TCv*tCo1_4+TCv*tCo1_5+TCv*tCo1_6+TCv*tCo1_7+TCv*tCo1_8+TCv*tCo1_9+TCv*tCo1_10))),IF(ScI=2,(TP-H_1-((TP-H_1-(H_1*hnh)-(TP*TCv*tCo1_1*VE))*H_2/(TP-H_1-(H_1*hnh)))-AP70-AQ70-AR70-AS70-AT70-AU70-AV70-AW70-(H_1*hnh)-((TP-H_1-(H_1*hnh)-(TP*TCv*tCo1_1*VE))*H_2*hnh/(TP-H_1-(H_1*hnh)))-AP72-AQ72-AR72-AS72-AT72-AU72-AV72-AW72-(TP*TCv*tCo1_1*VE)-(TP*TCv*tCo1_2*VE)-(TP*TCv*tCo1_3*VE)-(TP*TCv*tCo1_4*VE)-(TP*TCv*tCo1_5*VE)-(TP*TCv*tCo1_6*VE)-(TP*TCv*tCo1_7*VE)-(TP*TCv*tCo1_8*VE)-(TP*TCv*tCo1_9*VE)-(TP*TCv*tCo1_10*VE))*(H_11*hnh/(TP-H_1-H_2-H_3-H_4-H_5-H_6-H_7-H_8-H_9-H_10-(hnh*(H_1+H_2+H_3+H_4+H_5+H_6+H_7+H_8+H_9+H_10)))),0))</f>
        <v>#DIV/0!</v>
      </c>
      <c r="AB71" s="86" t="e">
        <f>IF(ScI=1,(nh1_12/(TP-(nh1_1/hnh)-(nh1_2/hnh)-(nh1_3/hnh)-(nh1_4/hnh)-(nh1_5/hnh)-(nh1_6/hnh)-(nh1_7/hnh)-(nh1_8/hnh)-(nh1_9/hnh)-(nh1_10/hnh)-(nh1_11/hnh)-nh1_1-nh1_2-nh1_3-nh1_4-nh1_5-nh1_6-nh1_7-nh1_8-nh1_9-nh1_10-nh1_11))*(TP-(nh1_1/hnh)-(R71/hnh)-(S71/hnh)-(T71/hnh)-(U71/hnh)-(V71/hnh)-(W71/hnh)-(X71/hnh)-(Y71/hnh)-(Z71/hnh)-(AA71/hnh)-nh1_1-R71-S71-T71-U71-V71-W71-X71-Y71-Z71-AA71-(TP*VE*(TCv*tCo1_1+TCv*tCo1_2+TCv*tCo1_3+TCv*tCo1_4+TCv*tCo1_5+TCv*tCo1_6+TCv*tCo1_7+TCv*tCo1_8+TCv*tCo1_9+TCv*tCo1_10+TCv*tCo1_11))),IF(ScI=2,(TP-H_1-((TP-H_1-(H_1*hnh)-(TP*TCv*tCo1_1*VE))*H_2/(TP-H_1-(H_1*hnh)))-AP70-AQ70-AR70-AS70-AT70-AU70-AV70-AW70-AX70-(H_1*hnh)-((TP-H_1-(H_1*hnh)-(TP*TCv*tCo1_1*VE))*H_2*hnh/(TP-H_1-(H_1*hnh)))-AP72-AQ72-AR72-AS72-AT72-AU72-AV72-AW72-AX72-(TP*TCv*tCo1_1*VE)-(TP*TCv*tCo1_2*VE)-(TP*TCv*tCo1_3*VE)-(TP*TCv*tCo1_4*VE)-(TP*TCv*tCo1_5*VE)-(TP*TCv*tCo1_6*VE)-(TP*TCv*tCo1_7*VE)-(TP*TCv*tCo1_8*VE)-(TP*TCv*tCo1_9*VE)-(TP*TCv*tCo1_10*VE)-(TP*TCv*tCo1_11*VE))*(H_12*hnh/(TP-H_1-H_2-H_3-H_4-H_5-H_6-H_7-H_8-H_9-H_10-H_11-(hnh*(H_1+H_2+H_3+H_4+H_5+H_6+H_7+H_8+H_9+H_10+H_11)))),0))</f>
        <v>#DIV/0!</v>
      </c>
      <c r="AC71" s="88">
        <f>IF(ScI=1,H_1*hnh,IF(ScI=2,H_1*hnh,0))</f>
        <v>0</v>
      </c>
      <c r="AD71" s="88" t="e">
        <f>IF(ScI=1,(TP-H_1-(H_1*hnh))*H_2*hnh/(TP-H_1-(H_1*hnh)-(TP*TCv*tCo1_1*VE)),IF(ScI=2,H_2*hnh,0))</f>
        <v>#DIV/0!</v>
      </c>
      <c r="AE71" s="88" t="e">
        <f>IF(ScI=1,(TP-H_1-((TP-H_1-(H_1*hnh))*H_2/(TP-H_1-(H_1*hnh)-(TP*TCv*tCo1_1*VE)))-(H_1*hnh)-((TP-H_1-(H_1*hnh))*H_2*hnh/(TP-H_1-(H_1*hnh)-(TP*TCv*tCo1_1*VE))))*H_3*hnh/(TP-H_1-H_2-(hnh*(H_1+H_2))-(TP*VE*(TCv*tCo1_1+TCv*tCo1_2))),IF(ScI=2,H_3*hnh,0))</f>
        <v>#DIV/0!</v>
      </c>
      <c r="AF71" s="88" t="e">
        <f>IF(ScI=1,(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IF(ScI=2,H_4*hnh,0))</f>
        <v>#DIV/0!</v>
      </c>
      <c r="AG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H_5*hnh/(TP-H_1-H_2-H_3-H_4-(hnh*(H_1+H_2+H_3+H_4))-(TP*VE*(TCv*tCo1_1+TCv*tCo1_2+TCv*tCo1_3+TCv*tCo1_4))),IF(ScI=2,H_5*hnh,0))</f>
        <v>#DIV/0!</v>
      </c>
      <c r="AH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H_6*hnh/(TP-H_1-H_2-H_3-H_4-H_5-(hnh*(H_1+H_2+H_3+H_4+H_5))-(TP*VE*(TCv*tCo1_1+TCv*tCo1_2+TCv*tCo1_3+TCv*tCo1_4+TCv*tCo1_5))),IF(ScI=2,H_6*hnh,0))</f>
        <v>#DIV/0!</v>
      </c>
      <c r="AI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H_7*hnh/(TP-H_1-H_2-H_3-H_4-H_5-H_6-(hnh*(H_1+H_2+H_3+H_4+H_5+H_6))-(TP*VE*(TCv*tCo1_1+TCv*tCo1_2+TCv*tCo1_3+TCv*tCo1_4+TCv*tCo1_5+TCv*tCo1_6))),IF(ScI=2,H_7*hnh,0))</f>
        <v>#DIV/0!</v>
      </c>
      <c r="AJ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H_8*hnh/(TP-H_1-H_2-H_3-H_4-H_5-H_6-H_7-(hnh*(H_1+H_2+H_3+H_4+H_5+H_6+H_7))-(TP*VE*(TCv*tCo1_1+TCv*tCo1_2+TCv*tCo1_3+TCv*tCo1_4+TCv*tCo1_5+TCv*tCo1_6+TCv*tCo1_7))),IF(ScI=2,H_8*hnh,0))</f>
        <v>#DIV/0!</v>
      </c>
      <c r="AK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H_9*hnh/(TP-H_1-H_2-H_3-H_4-H_5-H_6-H_7-H_8-(hnh*(H_1+H_2+H_3+H_4+H_5+H_6+H_7+H_8))-(TP*VE*(TCv*tCo1_1+TCv*tCo1_2+TCv*tCo1_3+TCv*tCo1_4+TCv*tCo1_5+TCv*tCo1_6+TCv*tCo1_7+TCv*tCo1_8))),IF(ScI=2,H_9*hnh,0))</f>
        <v>#DIV/0!</v>
      </c>
      <c r="AL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H_10*hnh/(TP-H_1-H_2-H_3-H_4-H_5-H_6-H_7-H_8-H_9-(hnh*(H_1+H_2+H_3+H_4+H_5+H_6+H_7+H_8+H_9))-(TP*VE*(TCv*tCo1_1+TCv*tCo1_2+TCv*tCo1_3+TCv*tCo1_4+TCv*tCo1_5+TCv*tCo1_6+TCv*tCo1_7+TCv*tCo1_8+TCv*tCo1_9))),IF(ScI=2,H_10*hnh,0))</f>
        <v>#DIV/0!</v>
      </c>
      <c r="AM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H_11*hnh/(TP-H_1-H_2-H_3-H_4-H_5-H_6-H_7-H_8-H_9-H_10-(hnh*(H_1+H_2+H_3+H_4+H_5+H_6+H_7+H_8+H_9+H_10))-(TP*VE*(TCv*tCo1_1+TCv*tCo1_2+TCv*tCo1_3+TCv*tCo1_4+TCv*tCo1_5+TCv*tCo1_6+TCv*tCo1_7+TCv*tCo1_8+TCv*tCo1_9+TCv*tCo1_10))),IF(ScI=2,H_11*hnh,0))</f>
        <v>#DIV/0!</v>
      </c>
      <c r="AN71" s="88" t="e">
        <f>IF(ScI=1,(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BF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BF72)*H_12*hnh/(TP-H_1-H_2-H_3-H_4-H_5-H_6-H_7-H_8-H_9-H_10-H_11-(hnh*(H_1+H_2+H_3+H_4+H_5+H_6+H_7+H_8+H_9+H_10+H_11))-(TP*VE*(TCv*tCo1_1+TCv*tCo1_2+TCv*tCo1_3+TCv*tCo1_4+TCv*tCo1_5+TCv*tCo1_6+TCv*tCo1_7+TCv*tCo1_8+TCv*tCo1_9+TCv*tCo1_10+TCv*tCo1_11))),IF(ScI=2,H_12*hnh,0))</f>
        <v>#DIV/0!</v>
      </c>
      <c r="AP71" s="103" t="s">
        <v>82</v>
      </c>
      <c r="AQ71" s="103" t="s">
        <v>83</v>
      </c>
      <c r="AR71" s="103" t="s">
        <v>84</v>
      </c>
      <c r="AS71" s="103" t="s">
        <v>85</v>
      </c>
      <c r="AT71" s="103" t="s">
        <v>86</v>
      </c>
      <c r="AU71" s="103" t="s">
        <v>87</v>
      </c>
      <c r="AV71" s="103" t="s">
        <v>88</v>
      </c>
      <c r="AW71" s="103" t="s">
        <v>89</v>
      </c>
      <c r="AX71" s="103" t="s">
        <v>90</v>
      </c>
      <c r="AZ71" s="103" t="s">
        <v>106</v>
      </c>
      <c r="BA71" s="103" t="s">
        <v>92</v>
      </c>
      <c r="BB71" s="103" t="s">
        <v>98</v>
      </c>
      <c r="BC71" s="103" t="s">
        <v>99</v>
      </c>
      <c r="BD71" s="103" t="s">
        <v>100</v>
      </c>
      <c r="BE71" s="103" t="s">
        <v>101</v>
      </c>
      <c r="BF71" s="103" t="s">
        <v>102</v>
      </c>
    </row>
    <row r="72" spans="1:58" hidden="1" outlineLevel="1" x14ac:dyDescent="0.25">
      <c r="F72" s="113"/>
      <c r="G72" s="31"/>
      <c r="H72" s="31"/>
      <c r="I72" s="31"/>
      <c r="J72" s="31"/>
      <c r="K72" s="31"/>
      <c r="L72" s="31"/>
      <c r="M72" s="31"/>
      <c r="N72" s="31"/>
      <c r="Q72" s="31"/>
      <c r="R72" s="97"/>
      <c r="S72" s="97"/>
      <c r="T72" s="97"/>
      <c r="U72" s="97"/>
      <c r="V72" s="97"/>
      <c r="W72" s="97"/>
      <c r="X72" s="97"/>
      <c r="Y72" s="97"/>
      <c r="Z72" s="97"/>
      <c r="AA72" s="97"/>
      <c r="AB72" s="97"/>
      <c r="AC72" s="98"/>
      <c r="AD72" s="98"/>
      <c r="AE72" s="98"/>
      <c r="AF72" s="98"/>
      <c r="AG72" s="98"/>
      <c r="AH72" s="98"/>
      <c r="AI72" s="98"/>
      <c r="AJ72" s="98"/>
      <c r="AK72" s="98"/>
      <c r="AL72" s="98"/>
      <c r="AM72" s="98"/>
      <c r="AN72" s="98"/>
      <c r="AP72" s="103" t="e">
        <f>((TP-H_1-((TP-H_1-(H_1*hnh)-(TP*TCv*tCo1_1*VE))*H_2/(TP-H_1-(H_1*hnh)))-(H_1*hnh)-((TP-H_1-(H_1*hnh)-(TP*TCv*tCo1_1*VE))*H_2*hnh/(TP-H_1-(H_1*hnh)))-(TP*TCv*tCo1_1*VE)-(TP*TCv*tCo1_2*VE))*(H_3*hnh/(TP-H_1-H_2-(hnh*(H_1+H_2)))))</f>
        <v>#DIV/0!</v>
      </c>
      <c r="AQ72" s="103" t="e">
        <f>(TP-H_1-((TP-H_1-(H_1*hnh)-(TP*TCv*tCo1_1*VE))*H_2/(TP-H_1-(H_1*hnh)))-AP70-(H_1*hnh)-((TP-H_1-(H_1*hnh)-(TP*TCv*tCo1_1*VE))*H_2*hnh/(TP-H_1-(H_1*hnh)))-AP72-(TP*TCv*tCo1_1*VE)-(TP*TCv*tCo1_2*VE)-(TP*TCv*tCo1_3*VE))*(H_4*hnh/(TP-H_1-H_2-H_3-(hnh*(H_1+H_2+H_3))))</f>
        <v>#DIV/0!</v>
      </c>
      <c r="AR72" s="103" t="e">
        <f>(TP-H_1-((TP-H_1-(H_1*hnh)-(TP*TCv*tCo1_1*VE))*H_2/(TP-H_1-(H_1*hnh)))-AP70-AQ70-(H_1*hnh)-((TP-H_1-(H_1*hnh)-(TP*TCv*tCo1_1*VE))*H_2*hnh/(TP-H_1-(H_1*hnh)))-AP72-AQ72-(TP*TCv*tCo1_1*VE)-(TP*TCv*tCo1_2*VE)-(TP*TCv*tCo1_3*VE)-(TP*TCv*tCo1_4*VE))*(H_5*hnh/(TP-H_1-H_2-H_3-H_4-(hnh*(H_1+H_2+H_3+H_4))))</f>
        <v>#DIV/0!</v>
      </c>
      <c r="AS72" s="103" t="e">
        <f>(TP-H_1-((TP-H_1-(H_1*hnh)-(TP*TCv*tCo1_1*VE))*H_2/(TP-H_1-(H_1*hnh)))-AP70-AQ70-AR70-(H_1*hnh)-((TP-H_1-(H_1*hnh)-(TP*TCv*tCo1_1*VE))*H_2*hnh/(TP-H_1-(H_1*hnh)))-AP72-AQ72-AR72-(TP*TCv*tCo1_1*VE)-(TP*TCv*tCo1_2*VE)-(TP*TCv*tCo1_3*VE)-(TP*TCv*tCo1_4*VE)-(TP*TCv*tCo1_5*VE))*(H_6*hnh/(TP-H_1-H_2-H_3-H_4-H_5-(hnh*(H_1+H_2+H_3+H_4+H_5))))</f>
        <v>#DIV/0!</v>
      </c>
      <c r="AT72" s="103" t="e">
        <f>(TP-H_1-((TP-H_1-(H_1*hnh)-(TP*TCv*tCo1_1*VE))*H_2/(TP-H_1-(H_1*hnh)))-AP70-AQ70-AR70-AS70-(H_1*hnh)-((TP-H_1-(H_1*hnh)-(TP*TCv*tCo1_1*VE))*H_2*hnh/(TP-H_1-(H_1*hnh)))-AP72-AQ72-AR72-AS72-(TP*TCv*tCo1_1*VE)-(TP*TCv*tCo1_2*VE)-(TP*TCv*tCo1_3*VE)-(TP*TCv*tCo1_4*VE)-(TP*TCv*tCo1_5*VE)-(TP*TCv*tCo1_6*VE))*(H_7*hnh/(TP-H_1-H_2-H_3-H_4-H_5-H_6-(hnh*(H_1+H_2+H_3+H_4+H_5+H_6))))</f>
        <v>#DIV/0!</v>
      </c>
      <c r="AU72" s="103" t="e">
        <f>(TP-H_1-((TP-H_1-(H_1*hnh)-(TP*TCv*tCo1_1*VE))*H_2/(TP-H_1-(H_1*hnh)))-AP70-AQ70-AR70-AS70-AT70-(H_1*hnh)-((TP-H_1-(H_1*hnh)-(TP*TCv*tCo1_1*VE))*H_2*hnh/(TP-H_1-(H_1*hnh)))-AP72-AQ72-AR72-AS72-AT72-(TP*TCv*tCo1_1*VE)-(TP*TCv*tCo1_2*VE)-(TP*TCv*tCo1_3*VE)-(TP*TCv*tCo1_4*VE)-(TP*TCv*tCo1_5*VE)-(TP*TCv*tCo1_6*VE)-(TP*TCv*tCo1_7*VE))*(H_8*hnh/(TP-H_1-H_2-H_3-H_4-H_5-H_6-H_7-(hnh*(H_1+H_2+H_3+H_4+H_5+H_6+H_7))))</f>
        <v>#DIV/0!</v>
      </c>
      <c r="AV72" s="103" t="e">
        <f>(TP-H_1-((TP-H_1-(H_1*hnh)-(TP*TCv*tCo1_1*VE))*H_2/(TP-H_1-(H_1*hnh)))-AP70-AQ70-AR70-AS70-AT70-AU70-(H_1*hnh)-((TP-H_1-(H_1*hnh)-(TP*TCv*tCo1_1*VE))*H_2*hnh/(TP-H_1-(H_1*hnh)))-AP72-AQ72-AR72-AS72-AT72-AU72-(TP*TCv*tCo1_1*VE)-(TP*TCv*tCo1_2*VE)-(TP*TCv*tCo1_3*VE)-(TP*TCv*tCo1_4*VE)-(TP*TCv*tCo1_5*VE)-(TP*TCv*tCo1_6*VE)-(TP*TCv*tCo1_7*VE)-(TP*TCv*tCo1_8*VE))*(H_9*hnh/(TP-H_1-H_2-H_3-H_4-H_5-H_6-H_7-H_8-(hnh*(H_1+H_2+H_3+H_4+H_5+H_6+H_7+H_8))))</f>
        <v>#DIV/0!</v>
      </c>
      <c r="AW72" s="103" t="e">
        <f>(TP-H_1-((TP-H_1-(H_1*hnh)-(TP*TCv*tCo1_1*VE))*H_2/(TP-H_1-(H_1*hnh)))-AP70-AQ70-AR70-AS70-AT70-AU70-AV70-(H_1*hnh)-((TP-H_1-(H_1*hnh)-(TP*TCv*tCo1_1*VE))*H_2*hnh/(TP-H_1-(H_1*hnh)))-AP72-AQ72-AR72-AS72-AT72-AU72-AV72-(TP*TCv*tCo1_1*VE)-(TP*TCv*tCo1_2*VE)-(TP*TCv*tCo1_3*VE)-(TP*TCv*tCo1_4*VE)-(TP*TCv*tCo1_5*VE)-(TP*TCv*tCo1_6*VE)-(TP*TCv*tCo1_7*VE)-(TP*TCv*tCo1_8*VE)-(TP*TCv*tCo1_9*VE))*(H_10*hnh/(TP-H_1-H_2-H_3-H_4-H_5-H_6-H_7-H_8-H_9-(hnh*(H_1+H_2+H_3+H_4+H_5+H_6+H_7+H_8+H_9))))</f>
        <v>#DIV/0!</v>
      </c>
      <c r="AX72" s="103" t="e">
        <f>(TP-H_1-((TP-H_1-(H_1*hnh)-(TP*TCv*tCo1_1*VE))*H_2/(TP-H_1-(H_1*hnh)))-AP70-AQ70-AR70-AS70-AT70-AU70-AV70-AW70-(H_1*hnh)-((TP-H_1-(H_1*hnh)-(TP*TCv*tCo1_1*VE))*H_2*hnh/(TP-H_1-(H_1*hnh)))-AP72-AQ72-AR72-AS72-AT72-AU72-AV72-AW72-(TP*TCv*tCo1_1*VE)-(TP*TCv*tCo1_2*VE)-(TP*TCv*tCo1_3*VE)-(TP*TCv*tCo1_4*VE)-(TP*TCv*tCo1_5*VE)-(TP*TCv*tCo1_6*VE)-(TP*TCv*tCo1_7*VE)-(TP*TCv*tCo1_8*VE)-(TP*TCv*tCo1_9*VE)-(TP*TCv*tCo1_10*VE))*(H_11*hnh/(TP-H_1-H_2-H_3-H_4-H_5-H_6-H_7-H_8-H_9-H_10-(hnh*(H_1+H_2+H_3+H_4+H_5+H_6+H_7+H_8+H_9+H_10))))</f>
        <v>#DIV/0!</v>
      </c>
      <c r="AZ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H_5*hnh/(TP-H_1-H_2-H_3-H_4-(hnh*(H_1+H_2+H_3+H_4))-(TP*VE*(TCv*tCo1_1+TCv*tCo1_2+TCv*tCo1_3+TCv*tCo1_4)))</f>
        <v>#DIV/0!</v>
      </c>
      <c r="BA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H_6*hnh/(TP-H_1-H_2-H_3-H_4-H_5-(hnh*(H_1+H_2+H_3+H_4+H_5))-(TP*VE*(TCv*tCo1_1+TCv*tCo1_2+TCv*tCo1_3+TCv*tCo1_4+TCv*tCo1_5)))</f>
        <v>#DIV/0!</v>
      </c>
      <c r="BB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H_7*hnh/(TP-H_1-H_2-H_3-H_4-H_5-H_6-(hnh*(H_1+H_2+H_3+H_4+H_5+H_6))-(TP*VE*(TCv*tCo1_1+TCv*tCo1_2+TCv*tCo1_3+TCv*tCo1_4+TCv*tCo1_5+TCv*tCo1_6)))</f>
        <v>#DIV/0!</v>
      </c>
      <c r="BC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H_8*hnh/(TP-H_1-H_2-H_3-H_4-H_5-H_6-H_7-(hnh*(H_1+H_2+H_3+H_4+H_5+H_6+H_7))-(TP*VE*(TCv*tCo1_1+TCv*tCo1_2+TCv*tCo1_3+TCv*tCo1_4+TCv*tCo1_5+TCv*tCo1_6+TCv*tCo1_7)))</f>
        <v>#DIV/0!</v>
      </c>
      <c r="BD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H_9*hnh/(TP-H_1-H_2-H_3-H_4-H_5-H_6-H_7-H_8-(hnh*(H_1+H_2+H_3+H_4+H_5+H_6+H_7+H_8))-(TP*VE*(TCv*tCo1_1+TCv*tCo1_2+TCv*tCo1_3+TCv*tCo1_4+TCv*tCo1_5+TCv*tCo1_6+TCv*tCo1_7+TCv*tCo1_8)))</f>
        <v>#DIV/0!</v>
      </c>
      <c r="BE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H_10*hnh/(TP-H_1-H_2-H_3-H_4-H_5-H_6-H_7-H_8-H_9-(hnh*(H_1+H_2+H_3+H_4+H_5+H_6+H_7+H_8+H_9))-(TP*VE*(TCv*tCo1_1+TCv*tCo1_2+TCv*tCo1_3+TCv*tCo1_4+TCv*tCo1_5+TCv*tCo1_6+TCv*tCo1_7+TCv*tCo1_8+TCv*tCo1_9)))</f>
        <v>#DIV/0!</v>
      </c>
      <c r="BF72" s="103" t="e">
        <f>(TP-H_1-((TP-H_1-(H_1*hnh))*H_2/(TP-H_1-(H_1*hnh)-(TP*TCv*tCo1_1*VE)))-((TP-H_1-((TP-H_1-(H_1*hnh))*H_2/(TP-H_1-(H_1*hnh)-(TP*TCv*tCo1_1*VE)))-(H_1*hnh)-((TP-H_1-(H_1*hnh))*H_2*hnh/(TP-H_1-(H_1*hnh)-(TP*TCv*tCo1_1*VE))))*H_3/(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TP-H_1-H_2-H_3-(hnh*(H_1+H_2+H_3))-(TP*VE*(TCv*tCo1_1+TCv*tCo1_2+TCv*tCo1_3))))-AZ70-BA70-BB70-BC70-BD70-BE70-(H_1*hnh)-((TP-H_1-(H_1*hnh))*H_2*hnh/(TP-H_1-(H_1*hnh)-(TP*TCv*tCo1_1*VE)))-((TP-H_1-((TP-H_1-(H_1*hnh))*H_2/(TP-H_1-(H_1*hnh)-(TP*TCv*tCo1_1*VE)))-(H_1*hnh)-((TP-H_1-(H_1*hnh))*H_2*hnh/(TP-H_1-(H_1*hnh)-(TP*TCv*tCo1_1*VE))))*H_3*hnh/(TP-H_1-H_2-(hnh*(H_1+H_2))-(TP*VE*(TCv*tCo1_1+TCv*tCo1_2))))-((TP-H_1-((TP-H_1-(H_1*hnh))*H_2/(TP-H_1-(H_1*hnh)-(TP*TCv*tCo1_1*VE)))-((TP-H_1-((TP-H_1-(H_1*hnh))*H_2/(TP-H_1-(H_1*hnh)-(TP*TCv*tCo1_1*VE)))-(H_1*hnh)-((TP-H_1-(H_1*hnh))*H_2*hnh/(TP-H_1-(H_1*hnh)-(TP*TCv*tCo1_1*VE))))*H_3/(TP-H_1-H_2-(hnh*(H_1+H_2))-(TP*VE*(TCv*tCo1_1+TCv*tCo1_2))))-(H_1*hnh)-((TP-H_1-(H_1*hnh))*H_2*hnh/(TP-H_1-(H_1*hnh)-(TP*TCv*tCo1_1*VE)))-((TP-H_1-((TP-H_1-(H_1*hnh))*H_2/(TP-H_1-(H_1*hnh)-(TP*TCv*tCo1_1*VE)))-(H_1*hnh)-((TP-H_1-(H_1*hnh))*H_2*hnh/(TP-H_1-(H_1*hnh)-(TP*TCv*tCo1_1*VE))))*H_3*hnh/(TP-H_1-H_2-(hnh*(H_1+H_2))-(TP*VE*(TCv*tCo1_1+TCv*tCo1_2)))))*H_4*hnh/(TP-H_1-H_2-H_3-(hnh*(H_1+H_2+H_3))-(TP*VE*(TCv*tCo1_1+TCv*tCo1_2+TCv*tCo1_3))))-AZ72-BA72-BB72-BC72-BD72-BE72)*H_11*hnh/(TP-H_1-H_2-H_3-H_4-H_5-H_6-H_7-H_8-H_9-H_10-(hnh*(H_1+H_2+H_3+H_4+H_5+H_6+H_7+H_8+H_9+H_10))-(TP*VE*(TCv*tCo1_1+TCv*tCo1_2+TCv*tCo1_3+TCv*tCo1_4+TCv*tCo1_5+TCv*tCo1_6+TCv*tCo1_7+TCv*tCo1_8+TCv*tCo1_9+TCv*tCo1_10)))</f>
        <v>#DIV/0!</v>
      </c>
    </row>
    <row r="73" spans="1:58" hidden="1" outlineLevel="1" x14ac:dyDescent="0.25">
      <c r="F73" s="112"/>
    </row>
    <row r="74" spans="1:58" hidden="1" outlineLevel="1" x14ac:dyDescent="0.25"/>
    <row r="75" spans="1:58" collapsed="1" x14ac:dyDescent="0.25"/>
    <row r="76" spans="1:58" s="105" customFormat="1" x14ac:dyDescent="0.25">
      <c r="A76" s="104" t="s">
        <v>160</v>
      </c>
      <c r="B76" s="104"/>
    </row>
    <row r="77" spans="1:58" hidden="1" outlineLevel="1" x14ac:dyDescent="0.25">
      <c r="Q77" s="102" t="s">
        <v>72</v>
      </c>
      <c r="R77" s="102"/>
      <c r="S77" s="102"/>
      <c r="T77" s="102"/>
      <c r="U77" s="102"/>
      <c r="V77" s="102"/>
      <c r="W77" s="102"/>
      <c r="X77" s="102"/>
      <c r="Y77" s="102"/>
      <c r="Z77" s="102"/>
      <c r="AA77" s="102"/>
      <c r="AB77" s="102"/>
      <c r="AC77" s="101" t="s">
        <v>104</v>
      </c>
      <c r="AD77" s="101"/>
      <c r="AE77" s="101"/>
      <c r="AF77" s="101"/>
      <c r="AG77" s="101"/>
      <c r="AH77" s="101"/>
      <c r="AI77" s="101"/>
      <c r="AJ77" s="101"/>
      <c r="AK77" s="101"/>
      <c r="AL77" s="101"/>
      <c r="AM77" s="101"/>
      <c r="AN77" s="101"/>
      <c r="AP77" s="103">
        <v>3</v>
      </c>
      <c r="AQ77" s="103">
        <v>4</v>
      </c>
      <c r="AR77" s="103">
        <v>5</v>
      </c>
      <c r="AS77" s="103">
        <v>6</v>
      </c>
      <c r="AT77" s="103">
        <v>7</v>
      </c>
      <c r="AU77" s="103">
        <v>8</v>
      </c>
      <c r="AV77" s="103">
        <v>9</v>
      </c>
      <c r="AW77" s="103">
        <v>10</v>
      </c>
      <c r="AX77" s="103">
        <v>11</v>
      </c>
      <c r="AZ77" s="103">
        <v>5</v>
      </c>
      <c r="BA77" s="103">
        <v>6</v>
      </c>
      <c r="BB77" s="103">
        <v>7</v>
      </c>
      <c r="BC77" s="103">
        <v>8</v>
      </c>
      <c r="BD77" s="103">
        <v>9</v>
      </c>
      <c r="BE77" s="103">
        <v>10</v>
      </c>
      <c r="BF77" s="103">
        <v>11</v>
      </c>
    </row>
    <row r="78" spans="1:58" ht="28.7" hidden="1" customHeight="1" outlineLevel="1" x14ac:dyDescent="0.25">
      <c r="A78" s="11" t="s">
        <v>47</v>
      </c>
      <c r="B78" s="11"/>
      <c r="C78" s="11"/>
      <c r="D78" s="11"/>
      <c r="E78" s="11"/>
      <c r="F78" s="11"/>
      <c r="G78" s="109" t="s">
        <v>50</v>
      </c>
      <c r="H78" s="109"/>
      <c r="I78" s="110" t="s">
        <v>44</v>
      </c>
      <c r="J78" s="110"/>
      <c r="K78" s="101" t="s">
        <v>58</v>
      </c>
      <c r="L78" s="101"/>
      <c r="M78" s="110" t="s">
        <v>45</v>
      </c>
      <c r="N78" s="110"/>
      <c r="Q78" s="102" t="s">
        <v>1</v>
      </c>
      <c r="R78" s="102"/>
      <c r="S78" s="102"/>
      <c r="T78" s="102"/>
      <c r="U78" s="102"/>
      <c r="V78" s="102"/>
      <c r="W78" s="102"/>
      <c r="X78" s="102"/>
      <c r="Y78" s="102"/>
      <c r="Z78" s="102"/>
      <c r="AA78" s="102"/>
      <c r="AB78" s="102"/>
      <c r="AC78" s="101" t="s">
        <v>71</v>
      </c>
      <c r="AD78" s="101"/>
      <c r="AE78" s="101"/>
      <c r="AF78" s="101"/>
      <c r="AG78" s="101"/>
      <c r="AH78" s="101"/>
      <c r="AI78" s="101"/>
      <c r="AJ78" s="101"/>
      <c r="AK78" s="101"/>
      <c r="AL78" s="101"/>
      <c r="AM78" s="101"/>
      <c r="AN78" s="101"/>
      <c r="AP78" s="103" t="s">
        <v>73</v>
      </c>
      <c r="AQ78" s="103" t="s">
        <v>74</v>
      </c>
      <c r="AR78" s="103" t="s">
        <v>75</v>
      </c>
      <c r="AS78" s="103" t="s">
        <v>76</v>
      </c>
      <c r="AT78" s="103" t="s">
        <v>77</v>
      </c>
      <c r="AU78" s="103" t="s">
        <v>78</v>
      </c>
      <c r="AV78" s="103" t="s">
        <v>79</v>
      </c>
      <c r="AW78" s="103" t="s">
        <v>80</v>
      </c>
      <c r="AX78" s="103" t="s">
        <v>81</v>
      </c>
      <c r="AZ78" s="103" t="s">
        <v>105</v>
      </c>
      <c r="BA78" s="103" t="s">
        <v>91</v>
      </c>
      <c r="BB78" s="103" t="s">
        <v>93</v>
      </c>
      <c r="BC78" s="103" t="s">
        <v>94</v>
      </c>
      <c r="BD78" s="103" t="s">
        <v>95</v>
      </c>
      <c r="BE78" s="103" t="s">
        <v>96</v>
      </c>
      <c r="BF78" s="103" t="s">
        <v>97</v>
      </c>
    </row>
    <row r="79" spans="1:58" ht="45" hidden="1" outlineLevel="1" x14ac:dyDescent="0.25">
      <c r="A79" s="70" t="s">
        <v>40</v>
      </c>
      <c r="B79" s="70" t="s">
        <v>41</v>
      </c>
      <c r="C79" s="70" t="s">
        <v>53</v>
      </c>
      <c r="D79" s="70" t="s">
        <v>48</v>
      </c>
      <c r="E79" s="70" t="s">
        <v>42</v>
      </c>
      <c r="F79" s="76" t="s">
        <v>49</v>
      </c>
      <c r="G79" s="71" t="s">
        <v>51</v>
      </c>
      <c r="H79" s="71" t="s">
        <v>52</v>
      </c>
      <c r="I79" s="72" t="s">
        <v>51</v>
      </c>
      <c r="J79" s="72" t="s">
        <v>52</v>
      </c>
      <c r="K79" s="77" t="s">
        <v>51</v>
      </c>
      <c r="L79" s="77" t="s">
        <v>52</v>
      </c>
      <c r="M79" s="72" t="s">
        <v>51</v>
      </c>
      <c r="N79" s="72" t="s">
        <v>52</v>
      </c>
      <c r="Q79" s="102">
        <v>1</v>
      </c>
      <c r="R79" s="102">
        <v>2</v>
      </c>
      <c r="S79" s="102">
        <v>3</v>
      </c>
      <c r="T79" s="102">
        <v>4</v>
      </c>
      <c r="U79" s="102">
        <v>5</v>
      </c>
      <c r="V79" s="102">
        <v>6</v>
      </c>
      <c r="W79" s="102">
        <v>7</v>
      </c>
      <c r="X79" s="102">
        <v>8</v>
      </c>
      <c r="Y79" s="102">
        <v>9</v>
      </c>
      <c r="Z79" s="102">
        <v>10</v>
      </c>
      <c r="AA79" s="102">
        <v>11</v>
      </c>
      <c r="AB79" s="102">
        <v>12</v>
      </c>
      <c r="AC79" s="101">
        <v>1</v>
      </c>
      <c r="AD79" s="101">
        <v>2</v>
      </c>
      <c r="AE79" s="101">
        <v>3</v>
      </c>
      <c r="AF79" s="101">
        <v>4</v>
      </c>
      <c r="AG79" s="101">
        <v>5</v>
      </c>
      <c r="AH79" s="101">
        <v>6</v>
      </c>
      <c r="AI79" s="101">
        <v>7</v>
      </c>
      <c r="AJ79" s="101">
        <v>8</v>
      </c>
      <c r="AK79" s="101">
        <v>9</v>
      </c>
      <c r="AL79" s="101">
        <v>10</v>
      </c>
      <c r="AM79" s="101">
        <v>11</v>
      </c>
      <c r="AN79" s="101">
        <v>12</v>
      </c>
      <c r="AP79" s="103" t="e">
        <f>((TP-H_1-((TP-H_1-(H_1*hnh)-(TP*TCv*tCo2_1*VE))*H_2/(TP-H_1-(H_1*hnh)))-(H_1*hnh)-((TP-H_1-(H_1*hnh)-(TP*TCv*tCo2_1*VE))*H_2*hnh/(TP-H_1-(H_1*hnh)))-(TP*TCv*tCo2_1*VE)-(TP*TCv*tCo2_2*VE))*(H_3/(TP-H_1-H_2-(hnh*(H_1+H_2)))))</f>
        <v>#DIV/0!</v>
      </c>
      <c r="AQ79" s="103" t="e">
        <f>(TP-H_1-((TP-H_1-(H_1*hnh)-(TP*TCv*tCo2_1*VE))*H_2/(TP-H_1-(H_1*hnh)))-AP79-(H_1*hnh)-((TP-H_1-(H_1*hnh)-(TP*TCv*tCo2_1*VE))*H_2*hnh/(TP-H_1-(H_1*hnh)))-AP81-(TP*TCv*tCo2_1*VE)-(TP*TCv*tCo2_2*VE)-(TP*TCv*tCo2_3*VE))*(H_4/(TP-H_1-H_2-H_3-(hnh*(H_1+H_2+H_3))))</f>
        <v>#DIV/0!</v>
      </c>
      <c r="AR79" s="103" t="e">
        <f>(TP-H_1-((TP-H_1-(H_1*hnh)-(TP*TCv*tCo2_1*VE))*H_2/(TP-H_1-(H_1*hnh)))-AP79-AQ79-(H_1*hnh)-((TP-H_1-(H_1*hnh)-(TP*TCv*tCo2_1*VE))*H_2*hnh/(TP-H_1-(H_1*hnh)))-AP81-AQ81-(TP*TCv*tCo2_1*VE)-(TP*TCv*tCo2_2*VE)-(TP*TCv*tCo2_3*VE)-(TP*TCv*tCo2_4*VE))*(H_5/(TP-H_1-H_2-H_3-H_4-(hnh*(H_1+H_2+H_3+H_4))))</f>
        <v>#DIV/0!</v>
      </c>
      <c r="AS79" s="103" t="e">
        <f>(TP-H_1-((TP-H_1-(H_1*hnh)-(TP*TCv*tCo2_1*VE))*H_2/(TP-H_1-(H_1*hnh)))-AP79-AQ79-AR79-(H_1*hnh)-((TP-H_1-(H_1*hnh)-(TP*TCv*tCo2_1*VE))*H_2*hnh/(TP-H_1-(H_1*hnh)))-AP81-AQ81-AR81-(TP*TCv*tCo2_1*VE)-(TP*TCv*tCo2_2*VE)-(TP*TCv*tCo2_3*VE)-(TP*TCv*tCo2_4*VE)-(TP*TCv*tCo2_5*VE))*(H_6/(TP-H_1-H_2-H_3-H_4-H_5-(hnh*(H_1+H_2+H_3+H_4+H_5))))</f>
        <v>#DIV/0!</v>
      </c>
      <c r="AT79" s="103" t="e">
        <f>(TP-H_1-((TP-H_1-(H_1*hnh)-(TP*TCv*tCo2_1*VE))*H_2/(TP-H_1-(H_1*hnh)))-AP79-AQ79-AR79-AS79-(H_1*hnh)-((TP-H_1-(H_1*hnh)-(TP*TCv*tCo2_1*VE))*H_2*hnh/(TP-H_1-(H_1*hnh)))-AP81-AQ81-AR81-AS81-(TP*TCv*tCo2_1*VE)-(TP*TCv*tCo2_2*VE)-(TP*TCv*tCo2_3*VE)-(TP*TCv*tCo2_4*VE)-(TP*TCv*tCo2_5*VE)-(TP*TCv*tCo2_6*VE))*(H_7/(TP-H_1-H_2-H_3-H_4-H_5-H_6-(hnh*(H_1+H_2+H_3+H_4+H_5+H_6))))</f>
        <v>#DIV/0!</v>
      </c>
      <c r="AU79" s="103" t="e">
        <f>(TP-H_1-((TP-H_1-(H_1*hnh)-(TP*TCv*tCo2_1*VE))*H_2/(TP-H_1-(H_1*hnh)))-AP79-AQ79-AR79-AS79-AT79-(H_1*hnh)-((TP-H_1-(H_1*hnh)-(TP*TCv*tCo2_1*VE))*H_2*hnh/(TP-H_1-(H_1*hnh)))-AP81-AQ81-AR81-AS81-AT81-(TP*TCv*tCo2_1*VE)-(TP*TCv*tCo2_2*VE)-(TP*TCv*tCo2_3*VE)-(TP*TCv*tCo2_4*VE)-(TP*TCv*tCo2_5*VE)-(TP*TCv*tCo2_6*VE)-(TP*TCv*tCo2_7*VE))*(H_8/(TP-H_1-H_2-H_3-H_4-H_5-H_6-H_7-(hnh*(H_1+H_2+H_3+H_4+H_5+H_6+H_7))))</f>
        <v>#DIV/0!</v>
      </c>
      <c r="AV79" s="103" t="e">
        <f>(TP-H_1-((TP-H_1-(H_1*hnh)-(TP*TCv*tCo2_1*VE))*H_2/(TP-H_1-(H_1*hnh)))-AP79-AQ79-AR79-AS79-AT79-AU79-(H_1*hnh)-((TP-H_1-(H_1*hnh)-(TP*TCv*tCo2_1*VE))*H_2*hnh/(TP-H_1-(H_1*hnh)))-AP81-AQ81-AR81-AS81-AT81-AU81-(TP*TCv*tCo2_1*VE)-(TP*TCv*tCo2_2*VE)-(TP*TCv*tCo2_3*VE)-(TP*TCv*tCo2_4*VE)-(TP*TCv*tCo2_5*VE)-(TP*TCv*tCo2_6*VE)-(TP*TCv*tCo2_7*VE)-(TP*TCv*tCo2_8*VE))*(H_9/(TP-H_1-H_2-H_3-H_4-H_5-H_6-H_7-H_8-(hnh*(H_1+H_2+H_3+H_4+H_5+H_6+H_7+H_8))))</f>
        <v>#DIV/0!</v>
      </c>
      <c r="AW79" s="103" t="e">
        <f>(TP-H_1-((TP-H_1-(H_1*hnh)-(TP*TCv*tCo2_1*VE))*H_2/(TP-H_1-(H_1*hnh)))-AP79-AQ79-AR79-AS79-AT79-AU79-AV79-(H_1*hnh)-((TP-H_1-(H_1*hnh)-(TP*TCv*tCo2_1*VE))*H_2*hnh/(TP-H_1-(H_1*hnh)))-AP81-AQ81-AR81-AS81-AT81-AU81-AV81-(TP*TCv*tCo2_1*VE)-(TP*TCv*tCo2_2*VE)-(TP*TCv*tCo2_3*VE)-(TP*TCv*tCo2_4*VE)-(TP*TCv*tCo2_5*VE)-(TP*TCv*tCo2_6*VE)-(TP*TCv*tCo2_7*VE)-(TP*TCv*tCo2_8*VE)-(TP*TCv*tCo2_9*VE))*(H_10/(TP-H_1-H_2-H_3-H_4-H_5-H_6-H_7-H_8-H_9-(hnh*(H_1+H_2+H_3+H_4+H_5+H_6+H_7+H_8+H_9))))</f>
        <v>#DIV/0!</v>
      </c>
      <c r="AX79" s="103" t="e">
        <f>(TP-H_1-((TP-H_1-(H_1*hnh)-(TP*TCv*tCo2_1*VE))*H_2/(TP-H_1-(H_1*hnh)))-AP79-AQ79-AR79-AS79-AT79-AU79-AV79-AW79-(H_1*hnh)-((TP-H_1-(H_1*hnh)-(TP*TCv*tCo2_1*VE))*H_2*hnh/(TP-H_1-(H_1*hnh)))-AP81-AQ81-AR81-AS81-AT81-AU81-AV81-AW81-(TP*TCv*tCo2_1*VE)-(TP*TCv*tCo2_2*VE)-(TP*TCv*tCo2_3*VE)-(TP*TCv*tCo2_4*VE)-(TP*TCv*tCo2_5*VE)-(TP*TCv*tCo2_6*VE)-(TP*TCv*tCo2_7*VE)-(TP*TCv*tCo2_8*VE)-(TP*TCv*tCo2_9*VE)-(TP*TCv*tCo2_10*VE))*(H_11/(TP-H_1-H_2-H_3-H_4-H_5-H_6-H_7-H_8-H_9-H_10-(hnh*(H_1+H_2+H_3+H_4+H_5+H_6+H_7+H_8+H_9+H_10))))</f>
        <v>#DIV/0!</v>
      </c>
      <c r="AZ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H_5/(TP-H_1-H_2-H_3-H_4-(hnh*(H_1+H_2+H_3+H_4))-(TP*VE*(TCv*tCo2_1+TCv*tCo2_2+TCv*tCo2_3+TCv*tCo2_4)))</f>
        <v>#DIV/0!</v>
      </c>
      <c r="BA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H_6/(TP-H_1-H_2-H_3-H_4-H_5-(hnh*(H_1+H_2+H_3+H_4+H_5))-(TP*VE*(TCv*tCo2_1+TCv*tCo2_2+TCv*tCo2_3+TCv*tCo2_4+TCv*tCo2_5)))</f>
        <v>#DIV/0!</v>
      </c>
      <c r="BB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H_7/(TP-H_1-H_2-H_3-H_4-H_5-H_6-(hnh*(H_1+H_2+H_3+H_4+H_5+H_6))-(TP*VE*(TCv*tCo2_1+TCv*tCo2_2+TCv*tCo2_3+TCv*tCo2_4+TCv*tCo2_5+TCv*tCo2_6)))</f>
        <v>#DIV/0!</v>
      </c>
      <c r="BC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H_8/(TP-H_1-H_2-H_3-H_4-H_5-H_6-H_7-(hnh*(H_1+H_2+H_3+H_4+H_5+H_6+H_7))-(TP*VE*(TCv*tCo2_1+TCv*tCo2_2+TCv*tCo2_3+TCv*tCo2_4+TCv*tCo2_5+TCv*tCo2_6+TCv*tCo2_7)))</f>
        <v>#DIV/0!</v>
      </c>
      <c r="BD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H_9/(TP-H_1-H_2-H_3-H_4-H_5-H_6-H_7-H_8-(hnh*(H_1+H_2+H_3+H_4+H_5+H_6+H_7+H_8))-(TP*VE*(TCv*tCo2_1+TCv*tCo2_2+TCv*tCo2_3+TCv*tCo2_4+TCv*tCo2_5+TCv*tCo2_6+TCv*tCo2_7+TCv*tCo2_8)))</f>
        <v>#DIV/0!</v>
      </c>
      <c r="BE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H_10/(TP-H_1-H_2-H_3-H_4-H_5-H_6-H_7-H_8-H_9-(hnh*(H_1+H_2+H_3+H_4+H_5+H_6+H_7+H_8+H_9))-(TP*VE*(TCv*tCo2_1+TCv*tCo2_2+TCv*tCo2_3+TCv*tCo2_4+TCv*tCo2_5+TCv*tCo2_6+TCv*tCo2_7+TCv*tCo2_8+TCv*tCo2_9)))</f>
        <v>#DIV/0!</v>
      </c>
      <c r="BF79"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H_11/(TP-H_1-H_2-H_3-H_4-H_5-H_6-H_7-H_8-H_9-H_10-(hnh*(H_1+H_2+H_3+H_4+H_5+H_6+H_7+H_8+H_9+H_10))-(TP*VE*(TCv*tCo2_1+TCv*tCo2_2+TCv*tCo2_3+TCv*tCo2_4+TCv*tCo2_5+TCv*tCo2_6+TCv*tCo2_7+TCv*tCo2_8+TCv*tCo2_9+TCv*tCo2_10)))</f>
        <v>#DIV/0!</v>
      </c>
    </row>
    <row r="80" spans="1:58" hidden="1" outlineLevel="1" x14ac:dyDescent="0.25">
      <c r="A80" s="73">
        <f>season</f>
        <v>0</v>
      </c>
      <c r="B80" s="73">
        <f>TG</f>
        <v>0</v>
      </c>
      <c r="C80" s="73">
        <f>TP</f>
        <v>0</v>
      </c>
      <c r="D80" s="74">
        <f>TCv</f>
        <v>0</v>
      </c>
      <c r="E80" s="75">
        <f>VE</f>
        <v>0</v>
      </c>
      <c r="F80" s="78" t="e">
        <f>G80/IF(mb=1,SUM(AC80:AN80),IF(mb=2,SUM(AD80:AN80),IF(mb=3,SUM(AE80:AN80),IF(mb=4,SUM(AF80:AN80),IF(mb=5,SUM(AG80:AN80),IF(mb=6,SUM(AH80:AN80),IF(mb=7,SUM(AI80:AN80),IF(mb=8,SUM(AJ80:AN80),0))))))))</f>
        <v>#DIV/0!</v>
      </c>
      <c r="G80" s="42">
        <f>IF(mb=1,SUM(AC80:AN80)-SUM(Q80:AB80),IF(mb=2,SUM(AD80:AN80)-SUM(R80:AB80),IF(mb=3,SUM(AE80:AN80)-SUM(S80:AB80),IF(mb=4,SUM(AF80:AN80)-SUM(T80:AB80),IF(mb=5,SUM(AG80:AN80)-SUM(U80:AB80),IF(mb=6,SUM(AH80:AN80)-SUM(V80:AB80),IF(mb=7,SUM(AI80:AN80)-SUM(W80:AB80),IF(mb=8,SUM(AJ80:AN80)-SUM(X80:AB80),0))))))))</f>
        <v>0</v>
      </c>
      <c r="H80" s="96" t="e">
        <f>1/(VE*IF(mb=1,SUM(AC80:AN80),IF(mb=2,SUM(AD80:AN80),IF(mb=3,SUM(AE80:AN80),IF(mb=4,SUM(AF80:AN80),IF(mb=5,SUM(AG80:AN80),IF(mb=6,SUM(AH80:AN80),IF(mb=7,SUM(AI80:AN80),IF(mb=8,SUM(AJ80:AN80),0))))))))/TP)</f>
        <v>#DIV/0!</v>
      </c>
      <c r="I80" s="93" t="e">
        <f>G80/hnh</f>
        <v>#DIV/0!</v>
      </c>
      <c r="J80" s="42" t="e">
        <f>1/(VE*IF(mb=1,SUM(AC80:AN80),IF(mb=2,SUM(AD80:AN80),IF(mb=3,SUM(AE80:AN80),IF(mb=4,SUM(AF80:AN80),IF(mb=5,SUM(AG80:AN80),IF(mb=6,SUM(AH80:AN80),IF(mb=7,SUM(AI80:AN80),IF(mb=8,SUM(AJ80:AN80),0))))))))/(TP*hnh))</f>
        <v>#DIV/0!</v>
      </c>
      <c r="K80" s="42" t="e">
        <f>M80*mai</f>
        <v>#DIV/0!</v>
      </c>
      <c r="L80" s="42" t="e">
        <f>1/(VE*((IF(mb=1,SUM(AC80:AN80),IF(mb=2,SUM(AD80:AN80),IF(mb=3,SUM(AE80:AN80),IF(mb=4,SUM(AF80:AN80),IF(mb=5,SUM(AG80:AN80),IF(mb=6,SUM(AH80:AN80),IF(mb=7,SUM(AI80:AN80),IF(mb=8,SUM(AJ80:AN80),0))))))))+(IF(mb=1,SUM(AC80:AN80),IF(mb=2,SUM(AD80:AN80),IF(mb=3,SUM(AE80:AN80),IF(mb=4,SUM(AF80:AN80),IF(mb=5,SUM(AG80:AN80),IF(mb=6,SUM(AH80:AN80),IF(mb=7,SUM(AI80:AN80),IF(mb=8,SUM(AJ80:AN80),0)))))))))/hnh)*mai)/TP)</f>
        <v>#DIV/0!</v>
      </c>
      <c r="M80" s="42" t="e">
        <f>G80+I80</f>
        <v>#DIV/0!</v>
      </c>
      <c r="N80" s="42" t="e">
        <f>1/(VE*(IF(mb=1,SUM(AC80:AN80),IF(mb=2,SUM(AD80:AN80),IF(mb=3,SUM(AE80:AN80),IF(mb=4,SUM(AF80:AN80),IF(mb=5,SUM(AG80:AN80),IF(mb=6,SUM(AH80:AN80),IF(mb=7,SUM(AI80:AN80),IF(mb=8,SUM(AJ80:AN80),0))))))))+(IF(mb=1,SUM(AC80:AN80),IF(mb=2,SUM(AD80:AN80),IF(mb=3,SUM(AE80:AN80),IF(mb=4,SUM(AF80:AN80),IF(mb=5,SUM(AG80:AN80),IF(mb=6,SUM(AH80:AN80),IF(mb=7,SUM(AI80:AN80),IF(mb=8,SUM(AJ80:AN80),0)))))))))/hnh)/TP)</f>
        <v>#DIV/0!</v>
      </c>
      <c r="Q80" s="86" t="e">
        <f>IF(ISc=1,nh1_1,IF(ISc=2,H_1*hnh,0))</f>
        <v>#DIV/0!</v>
      </c>
      <c r="R80" s="111" t="e">
        <f>IF(ScI=1,((nh1_2/(TP-(nh1_1/hnh)-nh1_1))*(TP-(nh1_1/hnh)-nh1_1-(TP*TCv*tCo2_1*VE))),IF(ScI=2,(TP-H_1-(H_1*hnh)-(TP*TCv*tCo2_1*VE))*(H_2*hnh/(TP-H_1-(H_1*hnh))),"fal"))</f>
        <v>#DIV/0!</v>
      </c>
      <c r="S80" s="137" t="e">
        <f>IF(ScI=1,(nh1_3/(TP-((nh1_1+nh1_2)/hnh)-nh1_1-nh1_2))*(TP-(nh1_1/hnh)-(R80/hnh)-nh1_1-R80-(TP*VE*(TCv*tCo2_1+TCv*tCo2_2))),IF(ScI=2,(TP-H_1-((TP-H_1-(H_1*hnh)-(TP*TCv*tCo2_1*VE))*H_2/(TP-H_1-(H_1*hnh)))-(H_1*hnh)-((TP-H_1-(H_1*hnh)-(TP*TCv*tCo2_1*VE))*H_2*hnh/(TP-H_1-(H_1*hnh)))-(TP*TCv*tCo2_1*VE)-(TP*TCv*tCo2_2*VE))*(H_3*hnh/(TP-H_1-H_2-(hnh*(H_1+H_2)))),0))</f>
        <v>#DIV/0!</v>
      </c>
      <c r="T80" s="86" t="e">
        <f>IF(ScI=1,(nh1_4/(TP-(nh1_1/hnh)-(nh1_2/hnh)-(nh1_3/hnh)-nh1_1-nh1_2-nh1_3))*(TP-(nh1_1/hnh)-(R80/hnh)-(S80/hnh)-nh1_1-R80-S80-(TP*VE*(TCv*tCo2_1+TCv*tCo2_2+TCv*tCo2_3))),IF(ScI=2,(TP-H_1-((TP-H_1-(H_1*hnh)-(TP*TCv*tCo2_1*VE))*H_2/(TP-H_1-(H_1*hnh)))-((TP-H_1-(((TP-H_1-(H_1*hnh)-(TP*TCv*tCo2_1*VE))*H_2/(TP-H_1-(H_1*hnh))))-(H_1*hnh)-((TP-H_1-(H_1*hnh)-(TP*TCv*tCo2_1*VE))*H_2*hnh/(TP-H_1-(H_1*hnh)))-(TP*TCv*tCo2_1*VE)-(TP*TCv*tCo2_2*VE))*(H_3/(TP-H_1-H_2-(hnh*(H_1+H_2)))))-(H_1*hnh)-((TP-H_1-(H_1*hnh)-(TP*TCv*tCo2_1*VE))*H_2*hnh/(TP-H_1-(H_1*hnh)))-((TP-H_1-(((TP-H_1-(H_1*hnh)-(TP*TCv*tCo2_1*VE))*H_2/(TP-H_1-(H_1*hnh))))-(H_1*hnh)-(((TP-H_1-(H_1*hnh)-(TP*TCv*tCo2_1*VE))*H_2*hnh/(TP-H_1-(H_1*hnh))))-(TP*TCv*tCo2_1*VE)-(TP*TCv*tCo2_2*VE))*(H_3*hnh/(TP-H_1-H_2-(hnh*(H_1+H_2)))))-(TP*TCv*tCo2_1*VE)-(TP*TCv*tCo2_2*VE)-(TP*TCv*tCo2_3*VE))*(H_4*hnh/(TP-H_1-H_2-H_3-(hnh*(H_1+H_2+H_3)))),0))</f>
        <v>#DIV/0!</v>
      </c>
      <c r="U80" s="86" t="e">
        <f>IF(ScI=1,(nh1_5/(TP-(nh1_1/hnh)-(nh1_2/hnh)-(nh1_3/hnh)-(nh1_4/hnh)-nh1_1-nh1_2-nh1_3-nh1_4))*(TP-(nh1_1/hnh)-(R80/hnh)-(S80/hnh)-(T80/hnh)-nh1_1-R80-S80-T80-(TP*VE*(TCv*tCo2_1+TCv*tCo2_2+TCv*tCo2_3+TCv*tCo2_4))),IF(ScI=2,(TP-H_1-(((TP-H_1-(H_1*hnh)-(TP*TCv*tCo2_1*VE))*H_2/(TP-H_1-(H_1*hnh))))-AP79-AQ79-(H_1*hnh)-((TP-H_1-(H_1*hnh)-(TP*TCv*tCo2_1*VE))*H_2*hnh/(TP-H_1-(H_1*hnh)))-AP81-AQ81-(TP*TCv*tCo2_1*VE)-(TP*TCv*tCo2_2*VE)-(TP*TCv*tCo2_3*VE)-(TP*TCv*tCo2_4*VE))*(H_5*hnh/(TP-H_1-H_2-H_3-H_4-(hnh*(H_1+H_2+H_3+H_4)))),0))</f>
        <v>#DIV/0!</v>
      </c>
      <c r="V80" s="86" t="e">
        <f>IF(ScI=1,(nh1_6/(TP-(nh1_1/hnh)-(nh1_2/hnh)-(nh1_3/hnh)-(nh1_4/hnh)-(nh1_5/hnh)-nh1_1-nh1_2-nh1_3-nh1_4-nh1_5))*(TP-(nh1_1/hnh)-(R80/hnh)-(S80/hnh)-(T80/hnh)-(U80/hnh)-nh1_1-R80-S80-T80-U80-(TP*VE*(TCv*tCo2_1+TCv*tCo2_2+TCv*tCo2_3+TCv*tCo2_4+TCv*tCo2_5))),IF(ScI=2,(TP-H_1-((TP-H_1-(H_1*hnh)-(TP*TCv*tCo2_1*VE))*H_2/(TP-H_1-(H_1*hnh)))-AP79-AQ79-AR79-(H_1*hnh)-((TP-H_1-(H_1*hnh)-(TP*TCv*tCo2_1*VE))*H_2*hnh/(TP-H_1-(H_1*hnh)))-AP81-AQ81-AR81-(TP*TCv*tCo2_1*VE)-(TP*TCv*tCo2_2*VE)-(TP*TCv*tCo2_3*VE)-(TP*TCv*tCo2_4*VE)-(TP*TCv*tCo2_5*VE))*(H_6*hnh/(TP-H_1-H_2-H_3-H_4-H_5-(hnh*(H_1+H_2+H_3+H_4+H_5)))),0))</f>
        <v>#DIV/0!</v>
      </c>
      <c r="W80" s="86" t="e">
        <f>IF(ScI=1,(nh1_7/(TP-(nh1_1/hnh)-(nh1_2/hnh)-(nh1_3/hnh)-(nh1_4/hnh)-(nh1_5/hnh)-(nh1_6/hnh)-nh1_1-nh1_2-nh1_3-nh1_4-nh1_5-nh1_6))*(TP-(nh1_1/hnh)-(R80/hnh)-(S80/hnh)-(T80/hnh)-(U80/hnh)-(V80/hnh)-nh1_1-R80-S80-T80-U80-V80-(TP*VE*(TCv*tCo2_1+TCv*tCo2_2+TCv*tCo2_3+TCv*tCo2_4+TCv*tCo2_5+TCv*tCo2_6))),IF(ScI=2,(TP-H_1-((TP-H_1-(H_1*hnh)-(TP*TCv*tCo2_1*VE))*H_2/(TP-H_1-(H_1*hnh)))-AP79-AQ79-AR79-AS79-(H_1*hnh)-((TP-H_1-(H_1*hnh)-(TP*TCv*tCo2_1*VE))*H_2*hnh/(TP-H_1-(H_1*hnh)))-AP81-AQ81-AR81-AS81-(TP*TCv*tCo2_1*VE)-(TP*TCv*tCo2_2*VE)-(TP*TCv*tCo2_3*VE)-(TP*TCv*tCo2_4*VE)-(TP*TCv*tCo2_5*VE)-(TP*TCv*tCo2_6*VE))*(H_7*hnh/(TP-H_1-H_2-H_3-H_4-H_5-H_6-(hnh*(H_1+H_2+H_3+H_4+H_5+H_6)))),0))</f>
        <v>#DIV/0!</v>
      </c>
      <c r="X80" s="86" t="e">
        <f>IF(ScI=1,(nh1_8/(TP-(nh1_1/hnh)-(nh1_2/hnh)-(nh1_3/hnh)-(nh1_4/hnh)-(nh1_5/hnh)-(nh1_6/hnh)-(nh1_7/hnh)-nh1_1-nh1_2-nh1_3-nh1_4-nh1_5-nh1_6-nh1_7))*(TP-(nh1_1/hnh)-(R80/hnh)-(S80/hnh)-(T80/hnh)-(U80/hnh)-(V80/hnh)-(W80/hnh)-nh1_1-R80-S80-T80-U80-V80-W80-(TP*VE*(TCv*tCo2_1+TCv*tCo2_2+TCv*tCo2_3+TCv*tCo2_4+TCv*tCo2_5+TCv*tCo2_6+TCv*tCo2_7))),IF(ScI=2,(TP-H_1-((TP-H_1-(H_1*hnh)-(TP*TCv*tCo2_1*VE))*H_2/(TP-H_1-(H_1*hnh)))-AP79-AQ79-AR79-AS79-AT79-(H_1*hnh)-((TP-H_1-(H_1*hnh)-(TP*TCv*tCo2_1*VE))*H_2*hnh/(TP-H_1-(H_1*hnh)))-AP81-AQ81-AR81-AS81-AT81-(TP*TCv*tCo2_1*VE)-(TP*TCv*tCo2_2*VE)-(TP*TCv*tCo2_3*VE)-(TP*TCv*tCo2_4*VE)-(TP*TCv*tCo2_5*VE)-(TP*TCv*tCo2_6*VE)-(TP*TCv*tCo2_7*VE))*(H_8*hnh/(TP-H_1-H_2-H_3-H_4-H_5-H_6-H_7-(hnh*(H_1+H_2+H_3+H_4+H_5+H_6+H_7)))),0))</f>
        <v>#DIV/0!</v>
      </c>
      <c r="Y80" s="86" t="e">
        <f>IF(ScI=1,(nh1_9/(TP-(nh1_1/hnh)-(nh1_2/hnh)-(nh1_3/hnh)-(nh1_4/hnh)-(nh1_5/hnh)-(nh1_6/hnh)-(nh1_7/hnh)-(nh1_8/hnh)-nh1_1-nh1_2-nh1_3-nh1_4-nh1_5-nh1_6-nh1_7-nh1_8))*(TP-(nh1_1/hnh)-(R80/hnh)-(S80/hnh)-(T80/hnh)-(U80/hnh)-(V80/hnh)-(W80/hnh)-(X80/hnh)-nh1_1-R80-S80-T80-U80-V80-W80-X80-(TP*VE*(TCv*tCo2_1+TCv*tCo2_2+TCv*tCo2_3+TCv*tCo2_4+TCv*tCo2_5+TCv*tCo2_6+TCv*tCo2_7+TCv*tCo2_8))),IF(ScI=2,(TP-H_1-((TP-H_1-(H_1*hnh)-(TP*TCv*tCo2_1*VE))*H_2/(TP-H_1-(H_1*hnh)))-AP79-AQ79-AR79-AS79-AT79-AU79-(H_1*hnh)-((TP-H_1-(H_1*hnh)-(TP*TCv*tCo2_1*VE))*H_2*hnh/(TP-H_1-(H_1*hnh)))-AP81-AQ81-AR81-AS81-AT81-AU81-(TP*TCv*tCo2_1*VE)-(TP*TCv*tCo2_2*VE)-(TP*TCv*tCo2_3*VE)-(TP*TCv*tCo2_4*VE)-(TP*TCv*tCo2_5*VE)-(TP*TCv*tCo2_6*VE)-(TP*TCv*tCo2_7*VE)-(TP*TCv*tCo2_8*VE))*(H_9*hnh/(TP-H_1-H_2-H_3-H_4-H_5-H_6-H_7-H_8-(hnh*(H_1+H_2+H_3+H_4+H_5+H_6+H_7+H_8)))),0))</f>
        <v>#DIV/0!</v>
      </c>
      <c r="Z80" s="86" t="e">
        <f>IF(ScI=1,(nh1_10/(TP-(nh1_1/hnh)-(nh1_2/hnh)-(nh1_3/hnh)-(nh1_4/hnh)-(nh1_5/hnh)-(nh1_6/hnh)-(nh1_7/hnh)-(nh1_8/hnh)-(nh1_9/hnh)-nh1_1-nh1_2-nh1_3-nh1_4-nh1_5-nh1_6-nh1_7-nh1_8-nh1_9))*(TP-(nh1_1/hnh)-(R80/hnh)-(S80/hnh)-(T80/hnh)-(U80/hnh)-(V80/hnh)-(W80/hnh)-(X80/hnh)-(Y80/hnh)-nh1_1-R80-S80-T80-U80-V80-W80-X80-Y80-(TP*VE*(TCv*tCo2_1+TCv*tCo2_2+TCv*tCo2_3+TCv*tCo2_4+TCv*tCo2_5+TCv*tCo2_6+TCv*tCo2_7+TCv*tCo2_8+TCv*tCo2_9))),IF(ScI=2,(TP-H_1-((TP-H_1-(H_1*hnh)-(TP*TCv*tCo2_1*VE))*H_2/(TP-H_1-(H_1*hnh)))-AP79-AQ79-AR79-AS79-AT79-AU79-AV79-(H_1*hnh)-((TP-H_1-(H_1*hnh)-(TP*TCv*tCo2_1*VE))*H_2*hnh/(TP-H_1-(H_1*hnh)))-AP81-AQ81-AR81-AS81-AT81-AU81-AV81-(TP*TCv*tCo2_1*VE)-(TP*TCv*tCo2_2*VE)-(TP*TCv*tCo2_3*VE)-(TP*TCv*tCo2_4*VE)-(TP*TCv*tCo2_5*VE)-(TP*TCv*tCo2_6*VE)-(TP*TCv*tCo2_7*VE)-(TP*TCv*tCo2_8*VE)-(TP*TCv*tCo2_9*VE))*(H_10*hnh/(TP-H_1-H_2-H_3-H_4-H_5-H_6-H_7-H_8-H_9-(hnh*(H_1+H_2+H_3+H_4+H_5+H_6+H_7+H_8+H_9)))),0))</f>
        <v>#DIV/0!</v>
      </c>
      <c r="AA80" s="86" t="e">
        <f>IF(ScI=1,(nh1_11/(TP-(nh1_1/hnh)-(nh1_2/hnh)-(nh1_3/hnh)-(nh1_4/hnh)-(nh1_5/hnh)-(nh1_6/hnh)-(nh1_7/hnh)-(nh1_8/hnh)-(nh1_9/hnh)-(nh1_10/hnh)-nh1_1-nh1_2-nh1_3-nh1_4-nh1_5-nh1_6-nh1_7-nh1_8-nh1_9-nh1_10))*(TP-(nh1_1/hnh)-(R80/hnh)-(S80/hnh)-(T80/hnh)-(U80/hnh)-(V80/hnh)-(W80/hnh)-(X80/hnh)-(Y80/hnh)-(Z80/hnh)-nh1_1-R80-S80-T80-U80-V80-W80-X80-Y80-Z80-(TP*VE*(TCv*tCo2_1+TCv*tCo2_2+TCv*tCo2_3+TCv*tCo2_4+TCv*tCo2_5+TCv*tCo2_6+TCv*tCo2_7+TCv*tCo2_8+TCv*tCo2_9+TCv*tCo2_10))),IF(ScI=2,(TP-H_1-((TP-H_1-(H_1*hnh)-(TP*TCv*tCo2_1*VE))*H_2/(TP-H_1-(H_1*hnh)))-AP79-AQ79-AR79-AS79-AT79-AU79-AV79-AW79-(H_1*hnh)-((TP-H_1-(H_1*hnh)-(TP*TCv*tCo2_1*VE))*H_2*hnh/(TP-H_1-(H_1*hnh)))-AP81-AQ81-AR81-AS81-AT81-AU81-AV81-AW81-(TP*TCv*tCo2_1*VE)-(TP*TCv*tCo2_2*VE)-(TP*TCv*tCo2_3*VE)-(TP*TCv*tCo2_4*VE)-(TP*TCv*tCo2_5*VE)-(TP*TCv*tCo2_6*VE)-(TP*TCv*tCo2_7*VE)-(TP*TCv*tCo2_8*VE)-(TP*TCv*tCo2_9*VE)-(TP*TCv*tCo2_10*VE))*(H_11*hnh/(TP-H_1-H_2-H_3-H_4-H_5-H_6-H_7-H_8-H_9-H_10-(hnh*(H_1+H_2+H_3+H_4+H_5+H_6+H_7+H_8+H_9+H_10)))),0))</f>
        <v>#DIV/0!</v>
      </c>
      <c r="AB80" s="86" t="e">
        <f>IF(ScI=1,(nh1_12/(TP-(nh1_1/hnh)-(nh1_2/hnh)-(nh1_3/hnh)-(nh1_4/hnh)-(nh1_5/hnh)-(nh1_6/hnh)-(nh1_7/hnh)-(nh1_8/hnh)-(nh1_9/hnh)-(nh1_10/hnh)-(nh1_11/hnh)-nh1_1-nh1_2-nh1_3-nh1_4-nh1_5-nh1_6-nh1_7-nh1_8-nh1_9-nh1_10-nh1_11))*(TP-(nh1_1/hnh)-(R80/hnh)-(S80/hnh)-(T80/hnh)-(U80/hnh)-(V80/hnh)-(W80/hnh)-(X80/hnh)-(Y80/hnh)-(Z80/hnh)-(AA80/hnh)-nh1_1-R80-S80-T80-U80-V80-W80-X80-Y80-Z80-AA80-(TP*VE*(TCv*tCo2_1+TCv*tCo2_2+TCv*tCo2_3+TCv*tCo2_4+TCv*tCo2_5+TCv*tCo2_6+TCv*tCo2_7+TCv*tCo2_8+TCv*tCo2_9+TCv*tCo2_10+TCv*tCo2_11))),IF(ScI=2,(TP-H_1-((TP-H_1-(H_1*hnh)-(TP*TCv*tCo2_1*VE))*H_2/(TP-H_1-(H_1*hnh)))-AP79-AQ79-AR79-AS79-AT79-AU79-AV79-AW79-AX79-(H_1*hnh)-((TP-H_1-(H_1*hnh)-(TP*TCv*tCo2_1*VE))*H_2*hnh/(TP-H_1-(H_1*hnh)))-AP81-AQ81-AR81-AS81-AT81-AU81-AV81-AW81-AX81-(TP*TCv*tCo2_1*VE)-(TP*TCv*tCo2_2*VE)-(TP*TCv*tCo2_3*VE)-(TP*TCv*tCo2_4*VE)-(TP*TCv*tCo2_5*VE)-(TP*TCv*tCo2_6*VE)-(TP*TCv*tCo2_7*VE)-(TP*TCv*tCo2_8*VE)-(TP*TCv*tCo2_9*VE)-(TP*TCv*tCo2_10*VE)-(TP*TCv*tCo2_11*VE))*(H_12*hnh/(TP-H_1-H_2-H_3-H_4-H_5-H_6-H_7-H_8-H_9-H_10-H_11-(hnh*(H_1+H_2+H_3+H_4+H_5+H_6+H_7+H_8+H_9+H_10+H_11)))),0))</f>
        <v>#DIV/0!</v>
      </c>
      <c r="AC80" s="88">
        <f>IF(ScI=1,H_1*hnh,IF(ScI=2,H_1*hnh,0))</f>
        <v>0</v>
      </c>
      <c r="AD80" s="88" t="e">
        <f>IF(ScI=1,(TP-H_1-(H_1*hnh))*H_2*hnh/(TP-H_1-(H_1*hnh)-(TP*TCv*tCo2_1*VE)),IF(ScI=2,H_2*hnh,0))</f>
        <v>#DIV/0!</v>
      </c>
      <c r="AE80" s="88" t="e">
        <f>IF(ScI=1,(TP-H_1-((TP-H_1-(H_1*hnh))*H_2/(TP-H_1-(H_1*hnh)-(TP*TCv*tCo2_1*VE)))-(H_1*hnh)-((TP-H_1-(H_1*hnh))*H_2*hnh/(TP-H_1-(H_1*hnh)-(TP*TCv*tCo2_1*VE))))*H_3*hnh/(TP-H_1-H_2-(hnh*(H_1+H_2))-(TP*VE*(TCv*tCo2_1+TCv*tCo2_2))),IF(ScI=2,H_3*hnh,0))</f>
        <v>#DIV/0!</v>
      </c>
      <c r="AF80" s="88" t="e">
        <f>IF(ScI=1,(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IF(ScI=2,H_4*hnh,0))</f>
        <v>#DIV/0!</v>
      </c>
      <c r="AG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H_5*hnh/(TP-H_1-H_2-H_3-H_4-(hnh*(H_1+H_2+H_3+H_4))-(TP*VE*(TCv*tCo2_1+TCv*tCo2_2+TCv*tCo2_3+TCv*tCo2_4))),IF(ScI=2,H_5*hnh,0))</f>
        <v>#DIV/0!</v>
      </c>
      <c r="AH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H_6*hnh/(TP-H_1-H_2-H_3-H_4-H_5-(hnh*(H_1+H_2+H_3+H_4+H_5))-(TP*VE*(TCv*tCo2_1+TCv*tCo2_2+TCv*tCo2_3+TCv*tCo2_4+TCv*tCo2_5))),IF(ScI=2,H_6*hnh,0))</f>
        <v>#DIV/0!</v>
      </c>
      <c r="AI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H_7*hnh/(TP-H_1-H_2-H_3-H_4-H_5-H_6-(hnh*(H_1+H_2+H_3+H_4+H_5+H_6))-(TP*VE*(TCv*tCo2_1+TCv*tCo2_2+TCv*tCo2_3+TCv*tCo2_4+TCv*tCo2_5+TCv*tCo2_6))),IF(ScI=2,H_7*hnh,0))</f>
        <v>#DIV/0!</v>
      </c>
      <c r="AJ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H_8*hnh/(TP-H_1-H_2-H_3-H_4-H_5-H_6-H_7-(hnh*(H_1+H_2+H_3+H_4+H_5+H_6+H_7))-(TP*VE*(TCv*tCo2_1+TCv*tCo2_2+TCv*tCo2_3+TCv*tCo2_4+TCv*tCo2_5+TCv*tCo2_6+TCv*tCo2_7))),IF(ScI=2,H_8*hnh,0))</f>
        <v>#DIV/0!</v>
      </c>
      <c r="AK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H_9*hnh/(TP-H_1-H_2-H_3-H_4-H_5-H_6-H_7-H_8-(hnh*(H_1+H_2+H_3+H_4+H_5+H_6+H_7+H_8))-(TP*VE*(TCv*tCo2_1+TCv*tCo2_2+TCv*tCo2_3+TCv*tCo2_4+TCv*tCo2_5+TCv*tCo2_6+TCv*tCo2_7+TCv*tCo2_8))),IF(ScI=2,H_9*hnh,0))</f>
        <v>#DIV/0!</v>
      </c>
      <c r="AL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H_10*hnh/(TP-H_1-H_2-H_3-H_4-H_5-H_6-H_7-H_8-H_9-(hnh*(H_1+H_2+H_3+H_4+H_5+H_6+H_7+H_8+H_9))-(TP*VE*(TCv*tCo2_1+TCv*tCo2_2+TCv*tCo2_3+TCv*tCo2_4+TCv*tCo2_5+TCv*tCo2_6+TCv*tCo2_7+TCv*tCo2_8+TCv*tCo2_9))),IF(ScI=2,H_10*hnh,0))</f>
        <v>#DIV/0!</v>
      </c>
      <c r="AM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H_11*hnh/(TP-H_1-H_2-H_3-H_4-H_5-H_6-H_7-H_8-H_9-H_10-(hnh*(H_1+H_2+H_3+H_4+H_5+H_6+H_7+H_8+H_9+H_10))-(TP*VE*(TCv*tCo2_1+TCv*tCo2_2+TCv*tCo2_3+TCv*tCo2_4+TCv*tCo2_5+TCv*tCo2_6+TCv*tCo2_7+TCv*tCo2_8+TCv*tCo2_9+TCv*tCo2_10))),IF(ScI=2,H_11*hnh,0))</f>
        <v>#DIV/0!</v>
      </c>
      <c r="AN80" s="88" t="e">
        <f>IF(ScI=1,(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BF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BF81)*H_12*hnh/(TP-H_1-H_2-H_3-H_4-H_5-H_6-H_7-H_8-H_9-H_10-H_11-(hnh*(H_1+H_2+H_3+H_4+H_5+H_6+H_7+H_8+H_9+H_10+H_11))-(TP*VE*(TCv*tCo2_1+TCv*tCo2_2+TCv*tCo2_3+TCv*tCo2_4+TCv*tCo2_5+TCv*tCo2_6+TCv*tCo2_7+TCv*tCo2_8+TCv*tCo2_9+TCv*tCo2_10+TCv*tCo2_11))),IF(ScI=2,H_12*hnh,0))</f>
        <v>#DIV/0!</v>
      </c>
      <c r="AP80" s="103" t="s">
        <v>82</v>
      </c>
      <c r="AQ80" s="103" t="s">
        <v>83</v>
      </c>
      <c r="AR80" s="103" t="s">
        <v>84</v>
      </c>
      <c r="AS80" s="103" t="s">
        <v>85</v>
      </c>
      <c r="AT80" s="103" t="s">
        <v>86</v>
      </c>
      <c r="AU80" s="103" t="s">
        <v>87</v>
      </c>
      <c r="AV80" s="103" t="s">
        <v>88</v>
      </c>
      <c r="AW80" s="103" t="s">
        <v>89</v>
      </c>
      <c r="AX80" s="103" t="s">
        <v>90</v>
      </c>
      <c r="AZ80" s="103" t="s">
        <v>106</v>
      </c>
      <c r="BA80" s="103" t="s">
        <v>92</v>
      </c>
      <c r="BB80" s="103" t="s">
        <v>98</v>
      </c>
      <c r="BC80" s="103" t="s">
        <v>99</v>
      </c>
      <c r="BD80" s="103" t="s">
        <v>100</v>
      </c>
      <c r="BE80" s="103" t="s">
        <v>101</v>
      </c>
      <c r="BF80" s="103" t="s">
        <v>102</v>
      </c>
    </row>
    <row r="81" spans="1:58" hidden="1" outlineLevel="1" x14ac:dyDescent="0.25">
      <c r="F81" s="113"/>
      <c r="G81" s="31"/>
      <c r="H81" s="31"/>
      <c r="I81" s="31"/>
      <c r="J81" s="31"/>
      <c r="K81" s="31"/>
      <c r="L81" s="31"/>
      <c r="M81" s="31"/>
      <c r="N81" s="31"/>
      <c r="Q81" s="31"/>
      <c r="R81" s="97"/>
      <c r="S81" s="97"/>
      <c r="T81" s="97"/>
      <c r="U81" s="97"/>
      <c r="V81" s="97"/>
      <c r="W81" s="97"/>
      <c r="X81" s="97"/>
      <c r="Y81" s="97"/>
      <c r="Z81" s="97"/>
      <c r="AA81" s="97"/>
      <c r="AB81" s="97"/>
      <c r="AC81" s="98"/>
      <c r="AD81" s="98"/>
      <c r="AE81" s="98"/>
      <c r="AF81" s="98"/>
      <c r="AG81" s="98"/>
      <c r="AH81" s="98"/>
      <c r="AI81" s="98"/>
      <c r="AJ81" s="98"/>
      <c r="AK81" s="98"/>
      <c r="AL81" s="98"/>
      <c r="AM81" s="98"/>
      <c r="AN81" s="98"/>
      <c r="AP81" s="103" t="e">
        <f>((TP-H_1-((TP-H_1-(H_1*hnh)-(TP*TCv*tCo2_1*VE))*H_2/(TP-H_1-(H_1*hnh)))-(H_1*hnh)-((TP-H_1-(H_1*hnh)-(TP*TCv*tCo2_1*VE))*H_2*hnh/(TP-H_1-(H_1*hnh)))-(TP*TCv*tCo2_1*VE)-(TP*TCv*tCo2_2*VE))*(H_3*hnh/(TP-H_1-H_2-(hnh*(H_1+H_2)))))</f>
        <v>#DIV/0!</v>
      </c>
      <c r="AQ81" s="103" t="e">
        <f>(TP-H_1-((TP-H_1-(H_1*hnh)-(TP*TCv*tCo2_1*VE))*H_2/(TP-H_1-(H_1*hnh)))-AP79-(H_1*hnh)-((TP-H_1-(H_1*hnh)-(TP*TCv*tCo2_1*VE))*H_2*hnh/(TP-H_1-(H_1*hnh)))-AP81-(TP*TCv*tCo2_1*VE)-(TP*TCv*tCo2_2*VE)-(TP*TCv*tCo2_3*VE))*(H_4*hnh/(TP-H_1-H_2-H_3-(hnh*(H_1+H_2+H_3))))</f>
        <v>#DIV/0!</v>
      </c>
      <c r="AR81" s="103" t="e">
        <f>(TP-H_1-((TP-H_1-(H_1*hnh)-(TP*TCv*tCo2_1*VE))*H_2/(TP-H_1-(H_1*hnh)))-AP79-AQ79-(H_1*hnh)-((TP-H_1-(H_1*hnh)-(TP*TCv*tCo2_1*VE))*H_2*hnh/(TP-H_1-(H_1*hnh)))-AP81-AQ81-(TP*TCv*tCo2_1*VE)-(TP*TCv*tCo2_2*VE)-(TP*TCv*tCo2_3*VE)-(TP*TCv*tCo2_4*VE))*(H_5*hnh/(TP-H_1-H_2-H_3-H_4-(hnh*(H_1+H_2+H_3+H_4))))</f>
        <v>#DIV/0!</v>
      </c>
      <c r="AS81" s="103" t="e">
        <f>(TP-H_1-((TP-H_1-(H_1*hnh)-(TP*TCv*tCo2_1*VE))*H_2/(TP-H_1-(H_1*hnh)))-AP79-AQ79-AR79-(H_1*hnh)-((TP-H_1-(H_1*hnh)-(TP*TCv*tCo2_1*VE))*H_2*hnh/(TP-H_1-(H_1*hnh)))-AP81-AQ81-AR81-(TP*TCv*tCo2_1*VE)-(TP*TCv*tCo2_2*VE)-(TP*TCv*tCo2_3*VE)-(TP*TCv*tCo2_4*VE)-(TP*TCv*tCo2_5*VE))*(H_6*hnh/(TP-H_1-H_2-H_3-H_4-H_5-(hnh*(H_1+H_2+H_3+H_4+H_5))))</f>
        <v>#DIV/0!</v>
      </c>
      <c r="AT81" s="103" t="e">
        <f>(TP-H_1-((TP-H_1-(H_1*hnh)-(TP*TCv*tCo2_1*VE))*H_2/(TP-H_1-(H_1*hnh)))-AP79-AQ79-AR79-AS79-(H_1*hnh)-((TP-H_1-(H_1*hnh)-(TP*TCv*tCo2_1*VE))*H_2*hnh/(TP-H_1-(H_1*hnh)))-AP81-AQ81-AR81-AS81-(TP*TCv*tCo2_1*VE)-(TP*TCv*tCo2_2*VE)-(TP*TCv*tCo2_3*VE)-(TP*TCv*tCo2_4*VE)-(TP*TCv*tCo2_5*VE)-(TP*TCv*tCo2_6*VE))*(H_7*hnh/(TP-H_1-H_2-H_3-H_4-H_5-H_6-(hnh*(H_1+H_2+H_3+H_4+H_5+H_6))))</f>
        <v>#DIV/0!</v>
      </c>
      <c r="AU81" s="103" t="e">
        <f>(TP-H_1-((TP-H_1-(H_1*hnh)-(TP*TCv*tCo2_1*VE))*H_2/(TP-H_1-(H_1*hnh)))-AP79-AQ79-AR79-AS79-AT79-(H_1*hnh)-((TP-H_1-(H_1*hnh)-(TP*TCv*tCo2_1*VE))*H_2*hnh/(TP-H_1-(H_1*hnh)))-AP81-AQ81-AR81-AS81-AT81-(TP*TCv*tCo2_1*VE)-(TP*TCv*tCo2_2*VE)-(TP*TCv*tCo2_3*VE)-(TP*TCv*tCo2_4*VE)-(TP*TCv*tCo2_5*VE)-(TP*TCv*tCo2_6*VE)-(TP*TCv*tCo2_7*VE))*(H_8*hnh/(TP-H_1-H_2-H_3-H_4-H_5-H_6-H_7-(hnh*(H_1+H_2+H_3+H_4+H_5+H_6+H_7))))</f>
        <v>#DIV/0!</v>
      </c>
      <c r="AV81" s="103" t="e">
        <f>(TP-H_1-((TP-H_1-(H_1*hnh)-(TP*TCv*tCo2_1*VE))*H_2/(TP-H_1-(H_1*hnh)))-AP79-AQ79-AR79-AS79-AT79-AU79-(H_1*hnh)-((TP-H_1-(H_1*hnh)-(TP*TCv*tCo2_1*VE))*H_2*hnh/(TP-H_1-(H_1*hnh)))-AP81-AQ81-AR81-AS81-AT81-AU81-(TP*TCv*tCo2_1*VE)-(TP*TCv*tCo2_2*VE)-(TP*TCv*tCo2_3*VE)-(TP*TCv*tCo2_4*VE)-(TP*TCv*tCo2_5*VE)-(TP*TCv*tCo2_6*VE)-(TP*TCv*tCo2_7*VE)-(TP*TCv*tCo2_8*VE))*(H_9*hnh/(TP-H_1-H_2-H_3-H_4-H_5-H_6-H_7-H_8-(hnh*(H_1+H_2+H_3+H_4+H_5+H_6+H_7+H_8))))</f>
        <v>#DIV/0!</v>
      </c>
      <c r="AW81" s="103" t="e">
        <f>(TP-H_1-((TP-H_1-(H_1*hnh)-(TP*TCv*tCo2_1*VE))*H_2/(TP-H_1-(H_1*hnh)))-AP79-AQ79-AR79-AS79-AT79-AU79-AV79-(H_1*hnh)-((TP-H_1-(H_1*hnh)-(TP*TCv*tCo2_1*VE))*H_2*hnh/(TP-H_1-(H_1*hnh)))-AP81-AQ81-AR81-AS81-AT81-AU81-AV81-(TP*TCv*tCo2_1*VE)-(TP*TCv*tCo2_2*VE)-(TP*TCv*tCo2_3*VE)-(TP*TCv*tCo2_4*VE)-(TP*TCv*tCo2_5*VE)-(TP*TCv*tCo2_6*VE)-(TP*TCv*tCo2_7*VE)-(TP*TCv*tCo2_8*VE)-(TP*TCv*tCo2_9*VE))*(H_10*hnh/(TP-H_1-H_2-H_3-H_4-H_5-H_6-H_7-H_8-H_9-(hnh*(H_1+H_2+H_3+H_4+H_5+H_6+H_7+H_8+H_9))))</f>
        <v>#DIV/0!</v>
      </c>
      <c r="AX81" s="103" t="e">
        <f>(TP-H_1-((TP-H_1-(H_1*hnh)-(TP*TCv*tCo2_1*VE))*H_2/(TP-H_1-(H_1*hnh)))-AP79-AQ79-AR79-AS79-AT79-AU79-AV79-AW79-(H_1*hnh)-((TP-H_1-(H_1*hnh)-(TP*TCv*tCo2_1*VE))*H_2*hnh/(TP-H_1-(H_1*hnh)))-AP81-AQ81-AR81-AS81-AT81-AU81-AV81-AW81-(TP*TCv*tCo2_1*VE)-(TP*TCv*tCo2_2*VE)-(TP*TCv*tCo2_3*VE)-(TP*TCv*tCo2_4*VE)-(TP*TCv*tCo2_5*VE)-(TP*TCv*tCo2_6*VE)-(TP*TCv*tCo2_7*VE)-(TP*TCv*tCo2_8*VE)-(TP*TCv*tCo2_9*VE)-(TP*TCv*tCo2_10*VE))*(H_11*hnh/(TP-H_1-H_2-H_3-H_4-H_5-H_6-H_7-H_8-H_9-H_10-(hnh*(H_1+H_2+H_3+H_4+H_5+H_6+H_7+H_8+H_9+H_10))))</f>
        <v>#DIV/0!</v>
      </c>
      <c r="AZ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H_5*hnh/(TP-H_1-H_2-H_3-H_4-(hnh*(H_1+H_2+H_3+H_4))-(TP*VE*(TCv*tCo2_1+TCv*tCo2_2+TCv*tCo2_3+TCv*tCo2_4)))</f>
        <v>#DIV/0!</v>
      </c>
      <c r="BA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H_6*hnh/(TP-H_1-H_2-H_3-H_4-H_5-(hnh*(H_1+H_2+H_3+H_4+H_5))-(TP*VE*(TCv*tCo2_1+TCv*tCo2_2+TCv*tCo2_3+TCv*tCo2_4+TCv*tCo2_5)))</f>
        <v>#DIV/0!</v>
      </c>
      <c r="BB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H_7*hnh/(TP-H_1-H_2-H_3-H_4-H_5-H_6-(hnh*(H_1+H_2+H_3+H_4+H_5+H_6))-(TP*VE*(TCv*tCo2_1+TCv*tCo2_2+TCv*tCo2_3+TCv*tCo2_4+TCv*tCo2_5+TCv*tCo2_6)))</f>
        <v>#DIV/0!</v>
      </c>
      <c r="BC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H_8*hnh/(TP-H_1-H_2-H_3-H_4-H_5-H_6-H_7-(hnh*(H_1+H_2+H_3+H_4+H_5+H_6+H_7))-(TP*VE*(TCv*tCo2_1+TCv*tCo2_2+TCv*tCo2_3+TCv*tCo2_4+TCv*tCo2_5+TCv*tCo2_6+TCv*tCo2_7)))</f>
        <v>#DIV/0!</v>
      </c>
      <c r="BD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H_9*hnh/(TP-H_1-H_2-H_3-H_4-H_5-H_6-H_7-H_8-(hnh*(H_1+H_2+H_3+H_4+H_5+H_6+H_7+H_8))-(TP*VE*(TCv*tCo2_1+TCv*tCo2_2+TCv*tCo2_3+TCv*tCo2_4+TCv*tCo2_5+TCv*tCo2_6+TCv*tCo2_7+TCv*tCo2_8)))</f>
        <v>#DIV/0!</v>
      </c>
      <c r="BE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H_10*hnh/(TP-H_1-H_2-H_3-H_4-H_5-H_6-H_7-H_8-H_9-(hnh*(H_1+H_2+H_3+H_4+H_5+H_6+H_7+H_8+H_9))-(TP*VE*(TCv*tCo2_1+TCv*tCo2_2+TCv*tCo2_3+TCv*tCo2_4+TCv*tCo2_5+TCv*tCo2_6+TCv*tCo2_7+TCv*tCo2_8+TCv*tCo2_9)))</f>
        <v>#DIV/0!</v>
      </c>
      <c r="BF81" s="103" t="e">
        <f>(TP-H_1-((TP-H_1-(H_1*hnh))*H_2/(TP-H_1-(H_1*hnh)-(TP*TCv*tCo2_1*VE)))-((TP-H_1-((TP-H_1-(H_1*hnh))*H_2/(TP-H_1-(H_1*hnh)-(TP*TCv*tCo2_1*VE)))-(H_1*hnh)-((TP-H_1-(H_1*hnh))*H_2*hnh/(TP-H_1-(H_1*hnh)-(TP*TCv*tCo2_1*VE))))*H_3/(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TP-H_1-H_2-H_3-(hnh*(H_1+H_2+H_3))-(TP*VE*(TCv*tCo2_1+TCv*tCo2_2+TCv*tCo2_3))))-AZ79-BA79-BB79-BC79-BD79-BE79-(H_1*hnh)-((TP-H_1-(H_1*hnh))*H_2*hnh/(TP-H_1-(H_1*hnh)-(TP*TCv*tCo2_1*VE)))-((TP-H_1-((TP-H_1-(H_1*hnh))*H_2/(TP-H_1-(H_1*hnh)-(TP*TCv*tCo2_1*VE)))-(H_1*hnh)-((TP-H_1-(H_1*hnh))*H_2*hnh/(TP-H_1-(H_1*hnh)-(TP*TCv*tCo2_1*VE))))*H_3*hnh/(TP-H_1-H_2-(hnh*(H_1+H_2))-(TP*VE*(TCv*tCo2_1+TCv*tCo2_2))))-((TP-H_1-((TP-H_1-(H_1*hnh))*H_2/(TP-H_1-(H_1*hnh)-(TP*TCv*tCo2_1*VE)))-((TP-H_1-((TP-H_1-(H_1*hnh))*H_2/(TP-H_1-(H_1*hnh)-(TP*TCv*tCo2_1*VE)))-(H_1*hnh)-((TP-H_1-(H_1*hnh))*H_2*hnh/(TP-H_1-(H_1*hnh)-(TP*TCv*tCo2_1*VE))))*H_3/(TP-H_1-H_2-(hnh*(H_1+H_2))-(TP*VE*(TCv*tCo2_1+TCv*tCo2_2))))-(H_1*hnh)-((TP-H_1-(H_1*hnh))*H_2*hnh/(TP-H_1-(H_1*hnh)-(TP*TCv*tCo2_1*VE)))-((TP-H_1-((TP-H_1-(H_1*hnh))*H_2/(TP-H_1-(H_1*hnh)-(TP*TCv*tCo2_1*VE)))-(H_1*hnh)-((TP-H_1-(H_1*hnh))*H_2*hnh/(TP-H_1-(H_1*hnh)-(TP*TCv*tCo2_1*VE))))*H_3*hnh/(TP-H_1-H_2-(hnh*(H_1+H_2))-(TP*VE*(TCv*tCo2_1+TCv*tCo2_2)))))*H_4*hnh/(TP-H_1-H_2-H_3-(hnh*(H_1+H_2+H_3))-(TP*VE*(TCv*tCo2_1+TCv*tCo2_2+TCv*tCo2_3))))-AZ81-BA81-BB81-BC81-BD81-BE81)*H_11*hnh/(TP-H_1-H_2-H_3-H_4-H_5-H_6-H_7-H_8-H_9-H_10-(hnh*(H_1+H_2+H_3+H_4+H_5+H_6+H_7+H_8+H_9+H_10))-(TP*VE*(TCv*tCo2_1+TCv*tCo2_2+TCv*tCo2_3+TCv*tCo2_4+TCv*tCo2_5+TCv*tCo2_6+TCv*tCo2_7+TCv*tCo2_8+TCv*tCo2_9+TCv*tCo2_10)))</f>
        <v>#DIV/0!</v>
      </c>
    </row>
    <row r="82" spans="1:58" hidden="1" outlineLevel="1" x14ac:dyDescent="0.25">
      <c r="F82" s="112"/>
    </row>
    <row r="83" spans="1:58" hidden="1" outlineLevel="1" x14ac:dyDescent="0.25"/>
    <row r="84" spans="1:58" collapsed="1" x14ac:dyDescent="0.25"/>
    <row r="85" spans="1:58" s="105" customFormat="1" x14ac:dyDescent="0.25">
      <c r="A85" s="104" t="s">
        <v>161</v>
      </c>
      <c r="B85" s="104"/>
    </row>
    <row r="86" spans="1:58" hidden="1" outlineLevel="1" x14ac:dyDescent="0.25">
      <c r="Q86" s="102" t="s">
        <v>72</v>
      </c>
      <c r="R86" s="102"/>
      <c r="S86" s="102"/>
      <c r="T86" s="102"/>
      <c r="U86" s="102"/>
      <c r="V86" s="102"/>
      <c r="W86" s="102"/>
      <c r="X86" s="102"/>
      <c r="Y86" s="102"/>
      <c r="Z86" s="102"/>
      <c r="AA86" s="102"/>
      <c r="AB86" s="102"/>
      <c r="AC86" s="101" t="s">
        <v>104</v>
      </c>
      <c r="AD86" s="101"/>
      <c r="AE86" s="101"/>
      <c r="AF86" s="101"/>
      <c r="AG86" s="101"/>
      <c r="AH86" s="101"/>
      <c r="AI86" s="101"/>
      <c r="AJ86" s="101"/>
      <c r="AK86" s="101"/>
      <c r="AL86" s="101"/>
      <c r="AM86" s="101"/>
      <c r="AN86" s="101"/>
      <c r="AP86" s="103">
        <v>3</v>
      </c>
      <c r="AQ86" s="103">
        <v>4</v>
      </c>
      <c r="AR86" s="103">
        <v>5</v>
      </c>
      <c r="AS86" s="103">
        <v>6</v>
      </c>
      <c r="AT86" s="103">
        <v>7</v>
      </c>
      <c r="AU86" s="103">
        <v>8</v>
      </c>
      <c r="AV86" s="103">
        <v>9</v>
      </c>
      <c r="AW86" s="103">
        <v>10</v>
      </c>
      <c r="AX86" s="103">
        <v>11</v>
      </c>
      <c r="AZ86" s="103">
        <v>5</v>
      </c>
      <c r="BA86" s="103">
        <v>6</v>
      </c>
      <c r="BB86" s="103">
        <v>7</v>
      </c>
      <c r="BC86" s="103">
        <v>8</v>
      </c>
      <c r="BD86" s="103">
        <v>9</v>
      </c>
      <c r="BE86" s="103">
        <v>10</v>
      </c>
      <c r="BF86" s="103">
        <v>11</v>
      </c>
    </row>
    <row r="87" spans="1:58" ht="28.7" hidden="1" customHeight="1" outlineLevel="1" x14ac:dyDescent="0.25">
      <c r="A87" s="11" t="s">
        <v>47</v>
      </c>
      <c r="B87" s="11"/>
      <c r="C87" s="11"/>
      <c r="D87" s="11"/>
      <c r="E87" s="11"/>
      <c r="F87" s="11"/>
      <c r="G87" s="109" t="s">
        <v>50</v>
      </c>
      <c r="H87" s="109"/>
      <c r="I87" s="110" t="s">
        <v>44</v>
      </c>
      <c r="J87" s="110"/>
      <c r="K87" s="101" t="s">
        <v>58</v>
      </c>
      <c r="L87" s="101"/>
      <c r="M87" s="110" t="s">
        <v>45</v>
      </c>
      <c r="N87" s="110"/>
      <c r="Q87" s="102" t="s">
        <v>1</v>
      </c>
      <c r="R87" s="102"/>
      <c r="S87" s="102"/>
      <c r="T87" s="102"/>
      <c r="U87" s="102"/>
      <c r="V87" s="102"/>
      <c r="W87" s="102"/>
      <c r="X87" s="102"/>
      <c r="Y87" s="102"/>
      <c r="Z87" s="102"/>
      <c r="AA87" s="102"/>
      <c r="AB87" s="102"/>
      <c r="AC87" s="101" t="s">
        <v>71</v>
      </c>
      <c r="AD87" s="101"/>
      <c r="AE87" s="101"/>
      <c r="AF87" s="101"/>
      <c r="AG87" s="101"/>
      <c r="AH87" s="101"/>
      <c r="AI87" s="101"/>
      <c r="AJ87" s="101"/>
      <c r="AK87" s="101"/>
      <c r="AL87" s="101"/>
      <c r="AM87" s="101"/>
      <c r="AN87" s="101"/>
      <c r="AP87" s="103" t="s">
        <v>73</v>
      </c>
      <c r="AQ87" s="103" t="s">
        <v>74</v>
      </c>
      <c r="AR87" s="103" t="s">
        <v>75</v>
      </c>
      <c r="AS87" s="103" t="s">
        <v>76</v>
      </c>
      <c r="AT87" s="103" t="s">
        <v>77</v>
      </c>
      <c r="AU87" s="103" t="s">
        <v>78</v>
      </c>
      <c r="AV87" s="103" t="s">
        <v>79</v>
      </c>
      <c r="AW87" s="103" t="s">
        <v>80</v>
      </c>
      <c r="AX87" s="103" t="s">
        <v>81</v>
      </c>
      <c r="AZ87" s="103" t="s">
        <v>105</v>
      </c>
      <c r="BA87" s="103" t="s">
        <v>91</v>
      </c>
      <c r="BB87" s="103" t="s">
        <v>93</v>
      </c>
      <c r="BC87" s="103" t="s">
        <v>94</v>
      </c>
      <c r="BD87" s="103" t="s">
        <v>95</v>
      </c>
      <c r="BE87" s="103" t="s">
        <v>96</v>
      </c>
      <c r="BF87" s="103" t="s">
        <v>97</v>
      </c>
    </row>
    <row r="88" spans="1:58" ht="45" hidden="1" outlineLevel="1" x14ac:dyDescent="0.25">
      <c r="A88" s="70" t="s">
        <v>40</v>
      </c>
      <c r="B88" s="70" t="s">
        <v>41</v>
      </c>
      <c r="C88" s="70" t="s">
        <v>53</v>
      </c>
      <c r="D88" s="70" t="s">
        <v>48</v>
      </c>
      <c r="E88" s="70" t="s">
        <v>42</v>
      </c>
      <c r="F88" s="76" t="s">
        <v>49</v>
      </c>
      <c r="G88" s="71" t="s">
        <v>51</v>
      </c>
      <c r="H88" s="71" t="s">
        <v>52</v>
      </c>
      <c r="I88" s="72" t="s">
        <v>51</v>
      </c>
      <c r="J88" s="72" t="s">
        <v>52</v>
      </c>
      <c r="K88" s="77" t="s">
        <v>51</v>
      </c>
      <c r="L88" s="77" t="s">
        <v>52</v>
      </c>
      <c r="M88" s="72" t="s">
        <v>51</v>
      </c>
      <c r="N88" s="72" t="s">
        <v>52</v>
      </c>
      <c r="Q88" s="102">
        <v>1</v>
      </c>
      <c r="R88" s="102">
        <v>2</v>
      </c>
      <c r="S88" s="102">
        <v>3</v>
      </c>
      <c r="T88" s="102">
        <v>4</v>
      </c>
      <c r="U88" s="102">
        <v>5</v>
      </c>
      <c r="V88" s="102">
        <v>6</v>
      </c>
      <c r="W88" s="102">
        <v>7</v>
      </c>
      <c r="X88" s="102">
        <v>8</v>
      </c>
      <c r="Y88" s="102">
        <v>9</v>
      </c>
      <c r="Z88" s="102">
        <v>10</v>
      </c>
      <c r="AA88" s="102">
        <v>11</v>
      </c>
      <c r="AB88" s="102">
        <v>12</v>
      </c>
      <c r="AC88" s="101">
        <v>1</v>
      </c>
      <c r="AD88" s="101">
        <v>2</v>
      </c>
      <c r="AE88" s="101">
        <v>3</v>
      </c>
      <c r="AF88" s="101">
        <v>4</v>
      </c>
      <c r="AG88" s="101">
        <v>5</v>
      </c>
      <c r="AH88" s="101">
        <v>6</v>
      </c>
      <c r="AI88" s="101">
        <v>7</v>
      </c>
      <c r="AJ88" s="101">
        <v>8</v>
      </c>
      <c r="AK88" s="101">
        <v>9</v>
      </c>
      <c r="AL88" s="101">
        <v>10</v>
      </c>
      <c r="AM88" s="101">
        <v>11</v>
      </c>
      <c r="AN88" s="101">
        <v>12</v>
      </c>
      <c r="AP88" s="103" t="e">
        <f>((TP-H_1-((TP-H_1-(H_1*hnh)-(TP*TCv*tCo3_1*VE))*H_2/(TP-H_1-(H_1*hnh)))-(H_1*hnh)-((TP-H_1-(H_1*hnh)-(TP*TCv*tCo3_1*VE))*H_2*hnh/(TP-H_1-(H_1*hnh)))-(TP*TCv*tCo3_1*VE)-(TP*TCv*tCo3_2*VE))*(H_3/(TP-H_1-H_2-(hnh*(H_1+H_2)))))</f>
        <v>#DIV/0!</v>
      </c>
      <c r="AQ88" s="103" t="e">
        <f>(TP-H_1-((TP-H_1-(H_1*hnh)-(TP*TCv*tCo3_1*VE))*H_2/(TP-H_1-(H_1*hnh)))-AP88-(H_1*hnh)-((TP-H_1-(H_1*hnh)-(TP*TCv*tCo3_1*VE))*H_2*hnh/(TP-H_1-(H_1*hnh)))-AP90-(TP*TCv*tCo3_1*VE)-(TP*TCv*tCo3_2*VE)-(TP*TCv*tCo3_3*VE))*(H_4/(TP-H_1-H_2-H_3-(hnh*(H_1+H_2+H_3))))</f>
        <v>#DIV/0!</v>
      </c>
      <c r="AR88" s="103" t="e">
        <f>(TP-H_1-((TP-H_1-(H_1*hnh)-(TP*TCv*tCo3_1*VE))*H_2/(TP-H_1-(H_1*hnh)))-AP88-AQ88-(H_1*hnh)-((TP-H_1-(H_1*hnh)-(TP*TCv*tCo3_1*VE))*H_2*hnh/(TP-H_1-(H_1*hnh)))-AP90-AQ90-(TP*TCv*tCo3_1*VE)-(TP*TCv*tCo3_2*VE)-(TP*TCv*tCo3_3*VE)-(TP*TCv*tCo3_4*VE))*(H_5/(TP-H_1-H_2-H_3-H_4-(hnh*(H_1+H_2+H_3+H_4))))</f>
        <v>#DIV/0!</v>
      </c>
      <c r="AS88" s="103" t="e">
        <f>(TP-H_1-((TP-H_1-(H_1*hnh)-(TP*TCv*tCo3_1*VE))*H_2/(TP-H_1-(H_1*hnh)))-AP88-AQ88-AR88-(H_1*hnh)-((TP-H_1-(H_1*hnh)-(TP*TCv*tCo3_1*VE))*H_2*hnh/(TP-H_1-(H_1*hnh)))-AP90-AQ90-AR90-(TP*TCv*tCo3_1*VE)-(TP*TCv*tCo3_2*VE)-(TP*TCv*tCo3_3*VE)-(TP*TCv*tCo3_4*VE)-(TP*TCv*tCo3_5*VE))*(H_6/(TP-H_1-H_2-H_3-H_4-H_5-(hnh*(H_1+H_2+H_3+H_4+H_5))))</f>
        <v>#DIV/0!</v>
      </c>
      <c r="AT88" s="103" t="e">
        <f>(TP-H_1-((TP-H_1-(H_1*hnh)-(TP*TCv*tCo3_1*VE))*H_2/(TP-H_1-(H_1*hnh)))-AP88-AQ88-AR88-AS88-(H_1*hnh)-((TP-H_1-(H_1*hnh)-(TP*TCv*tCo3_1*VE))*H_2*hnh/(TP-H_1-(H_1*hnh)))-AP90-AQ90-AR90-AS90-(TP*TCv*tCo3_1*VE)-(TP*TCv*tCo3_2*VE)-(TP*TCv*tCo3_3*VE)-(TP*TCv*tCo3_4*VE)-(TP*TCv*tCo3_5*VE)-(TP*TCv*tCo3_6*VE))*(H_7/(TP-H_1-H_2-H_3-H_4-H_5-H_6-(hnh*(H_1+H_2+H_3+H_4+H_5+H_6))))</f>
        <v>#DIV/0!</v>
      </c>
      <c r="AU88" s="103" t="e">
        <f>(TP-H_1-((TP-H_1-(H_1*hnh)-(TP*TCv*tCo3_1*VE))*H_2/(TP-H_1-(H_1*hnh)))-AP88-AQ88-AR88-AS88-AT88-(H_1*hnh)-((TP-H_1-(H_1*hnh)-(TP*TCv*tCo3_1*VE))*H_2*hnh/(TP-H_1-(H_1*hnh)))-AP90-AQ90-AR90-AS90-AT90-(TP*TCv*tCo3_1*VE)-(TP*TCv*tCo3_2*VE)-(TP*TCv*tCo3_3*VE)-(TP*TCv*tCo3_4*VE)-(TP*TCv*tCo3_5*VE)-(TP*TCv*tCo3_6*VE)-(TP*TCv*tCo3_7*VE))*(H_8/(TP-H_1-H_2-H_3-H_4-H_5-H_6-H_7-(hnh*(H_1+H_2+H_3+H_4+H_5+H_6+H_7))))</f>
        <v>#DIV/0!</v>
      </c>
      <c r="AV88" s="103" t="e">
        <f>(TP-H_1-((TP-H_1-(H_1*hnh)-(TP*TCv*tCo3_1*VE))*H_2/(TP-H_1-(H_1*hnh)))-AP88-AQ88-AR88-AS88-AT88-AU88-(H_1*hnh)-((TP-H_1-(H_1*hnh)-(TP*TCv*tCo3_1*VE))*H_2*hnh/(TP-H_1-(H_1*hnh)))-AP90-AQ90-AR90-AS90-AT90-AU90-(TP*TCv*tCo3_1*VE)-(TP*TCv*tCo3_2*VE)-(TP*TCv*tCo3_3*VE)-(TP*TCv*tCo3_4*VE)-(TP*TCv*tCo3_5*VE)-(TP*TCv*tCo3_6*VE)-(TP*TCv*tCo3_7*VE)-(TP*TCv*tCo3_8*VE))*(H_9/(TP-H_1-H_2-H_3-H_4-H_5-H_6-H_7-H_8-(hnh*(H_1+H_2+H_3+H_4+H_5+H_6+H_7+H_8))))</f>
        <v>#DIV/0!</v>
      </c>
      <c r="AW88" s="103" t="e">
        <f>(TP-H_1-((TP-H_1-(H_1*hnh)-(TP*TCv*tCo3_1*VE))*H_2/(TP-H_1-(H_1*hnh)))-AP88-AQ88-AR88-AS88-AT88-AU88-AV88-(H_1*hnh)-((TP-H_1-(H_1*hnh)-(TP*TCv*tCo3_1*VE))*H_2*hnh/(TP-H_1-(H_1*hnh)))-AP90-AQ90-AR90-AS90-AT90-AU90-AV90-(TP*TCv*tCo3_1*VE)-(TP*TCv*tCo3_2*VE)-(TP*TCv*tCo3_3*VE)-(TP*TCv*tCo3_4*VE)-(TP*TCv*tCo3_5*VE)-(TP*TCv*tCo3_6*VE)-(TP*TCv*tCo3_7*VE)-(TP*TCv*tCo3_8*VE)-(TP*TCv*tCo3_9*VE))*(H_10/(TP-H_1-H_2-H_3-H_4-H_5-H_6-H_7-H_8-H_9-(hnh*(H_1+H_2+H_3+H_4+H_5+H_6+H_7+H_8+H_9))))</f>
        <v>#DIV/0!</v>
      </c>
      <c r="AX88" s="103" t="e">
        <f>(TP-H_1-((TP-H_1-(H_1*hnh)-(TP*TCv*tCo3_1*VE))*H_2/(TP-H_1-(H_1*hnh)))-AP88-AQ88-AR88-AS88-AT88-AU88-AV88-AW88-(H_1*hnh)-((TP-H_1-(H_1*hnh)-(TP*TCv*tCo3_1*VE))*H_2*hnh/(TP-H_1-(H_1*hnh)))-AP90-AQ90-AR90-AS90-AT90-AU90-AV90-AW90-(TP*TCv*tCo3_1*VE)-(TP*TCv*tCo3_2*VE)-(TP*TCv*tCo3_3*VE)-(TP*TCv*tCo3_4*VE)-(TP*TCv*tCo3_5*VE)-(TP*TCv*tCo3_6*VE)-(TP*TCv*tCo3_7*VE)-(TP*TCv*tCo3_8*VE)-(TP*TCv*tCo3_9*VE)-(TP*TCv*tCo3_10*VE))*(H_11/(TP-H_1-H_2-H_3-H_4-H_5-H_6-H_7-H_8-H_9-H_10-(hnh*(H_1+H_2+H_3+H_4+H_5+H_6+H_7+H_8+H_9+H_10))))</f>
        <v>#DIV/0!</v>
      </c>
      <c r="AZ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H_5/(TP-H_1-H_2-H_3-H_4-(hnh*(H_1+H_2+H_3+H_4))-(TP*VE*(TCv*tCo3_1+TCv*tCo3_2+TCv*tCo3_3+TCv*tCo3_4)))</f>
        <v>#DIV/0!</v>
      </c>
      <c r="BA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H_6/(TP-H_1-H_2-H_3-H_4-H_5-(hnh*(H_1+H_2+H_3+H_4+H_5))-(TP*VE*(TCv*tCo3_1+TCv*tCo3_2+TCv*tCo3_3+TCv*tCo3_4+TCv*tCo3_5)))</f>
        <v>#DIV/0!</v>
      </c>
      <c r="BB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H_7/(TP-H_1-H_2-H_3-H_4-H_5-H_6-(hnh*(H_1+H_2+H_3+H_4+H_5+H_6))-(TP*VE*(TCv*tCo3_1+TCv*tCo3_2+TCv*tCo3_3+TCv*tCo3_4+TCv*tCo3_5+TCv*tCo3_6)))</f>
        <v>#DIV/0!</v>
      </c>
      <c r="BC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H_8/(TP-H_1-H_2-H_3-H_4-H_5-H_6-H_7-(hnh*(H_1+H_2+H_3+H_4+H_5+H_6+H_7))-(TP*VE*(TCv*tCo3_1+TCv*tCo3_2+TCv*tCo3_3+TCv*tCo3_4+TCv*tCo3_5+TCv*tCo3_6+TCv*tCo3_7)))</f>
        <v>#DIV/0!</v>
      </c>
      <c r="BD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H_9/(TP-H_1-H_2-H_3-H_4-H_5-H_6-H_7-H_8-(hnh*(H_1+H_2+H_3+H_4+H_5+H_6+H_7+H_8))-(TP*VE*(TCv*tCo3_1+TCv*tCo3_2+TCv*tCo3_3+TCv*tCo3_4+TCv*tCo3_5+TCv*tCo3_6+TCv*tCo3_7+TCv*tCo3_8)))</f>
        <v>#DIV/0!</v>
      </c>
      <c r="BE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H_10/(TP-H_1-H_2-H_3-H_4-H_5-H_6-H_7-H_8-H_9-(hnh*(H_1+H_2+H_3+H_4+H_5+H_6+H_7+H_8+H_9))-(TP*VE*(TCv*tCo3_1+TCv*tCo3_2+TCv*tCo3_3+TCv*tCo3_4+TCv*tCo3_5+TCv*tCo3_6+TCv*tCo3_7+TCv*tCo3_8+TCv*tCo3_9)))</f>
        <v>#DIV/0!</v>
      </c>
      <c r="BF88"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H_11/(TP-H_1-H_2-H_3-H_4-H_5-H_6-H_7-H_8-H_9-H_10-(hnh*(H_1+H_2+H_3+H_4+H_5+H_6+H_7+H_8+H_9+H_10))-(TP*VE*(TCv*tCo3_1+TCv*tCo3_2+TCv*tCo3_3+TCv*tCo3_4+TCv*tCo3_5+TCv*tCo3_6+TCv*tCo3_7+TCv*tCo3_8+TCv*tCo3_9+TCv*tCo3_10)))</f>
        <v>#DIV/0!</v>
      </c>
    </row>
    <row r="89" spans="1:58" hidden="1" outlineLevel="1" x14ac:dyDescent="0.25">
      <c r="A89" s="73">
        <f>season</f>
        <v>0</v>
      </c>
      <c r="B89" s="73">
        <f>TG</f>
        <v>0</v>
      </c>
      <c r="C89" s="73">
        <f>TP</f>
        <v>0</v>
      </c>
      <c r="D89" s="74">
        <f>TCv</f>
        <v>0</v>
      </c>
      <c r="E89" s="75">
        <f>VE</f>
        <v>0</v>
      </c>
      <c r="F89" s="78" t="e">
        <f>G89/IF(mb=1,SUM(AC89:AN89),IF(mb=2,SUM(AD89:AN89),IF(mb=3,SUM(AE89:AN89),IF(mb=4,SUM(AF89:AN89),IF(mb=5,SUM(AG89:AN89),IF(mb=6,SUM(AH89:AN89),IF(mb=7,SUM(AI89:AN89),IF(mb=8,SUM(AJ89:AN89),0))))))))</f>
        <v>#DIV/0!</v>
      </c>
      <c r="G89" s="42">
        <f>IF(mb=1,SUM(AC89:AN89)-SUM(Q89:AB89),IF(mb=2,SUM(AD89:AN89)-SUM(R89:AB89),IF(mb=3,SUM(AE89:AN89)-SUM(S89:AB89),IF(mb=4,SUM(AF89:AN89)-SUM(T89:AB89),IF(mb=5,SUM(AG89:AN89)-SUM(U89:AB89),IF(mb=6,SUM(AH89:AN89)-SUM(V89:AB89),IF(mb=7,SUM(AI89:AN89)-SUM(W89:AB89),IF(mb=8,SUM(AJ89:AN89)-SUM(X89:AB89),0))))))))</f>
        <v>0</v>
      </c>
      <c r="H89" s="96" t="e">
        <f>1/(VE*IF(mb=1,SUM(AC89:AN89),IF(mb=2,SUM(AD89:AN89),IF(mb=3,SUM(AE89:AN89),IF(mb=4,SUM(AF89:AN89),IF(mb=5,SUM(AG89:AN89),IF(mb=6,SUM(AH89:AN89),IF(mb=7,SUM(AI89:AN89),IF(mb=8,SUM(AJ89:AN89),0))))))))/TP)</f>
        <v>#DIV/0!</v>
      </c>
      <c r="I89" s="93" t="e">
        <f>G89/hnh</f>
        <v>#DIV/0!</v>
      </c>
      <c r="J89" s="42" t="e">
        <f>1/(VE*IF(mb=1,SUM(AC89:AN89),IF(mb=2,SUM(AD89:AN89),IF(mb=3,SUM(AE89:AN89),IF(mb=4,SUM(AF89:AN89),IF(mb=5,SUM(AG89:AN89),IF(mb=6,SUM(AH89:AN89),IF(mb=7,SUM(AI89:AN89),IF(mb=8,SUM(AJ89:AN89),0))))))))/(TP*hnh))</f>
        <v>#DIV/0!</v>
      </c>
      <c r="K89" s="42" t="e">
        <f>M89*mai</f>
        <v>#DIV/0!</v>
      </c>
      <c r="L89" s="42" t="e">
        <f>1/(VE*((IF(mb=1,SUM(AC89:AN89),IF(mb=2,SUM(AD89:AN89),IF(mb=3,SUM(AE89:AN89),IF(mb=4,SUM(AF89:AN89),IF(mb=5,SUM(AG89:AN89),IF(mb=6,SUM(AH89:AN89),IF(mb=7,SUM(AI89:AN89),IF(mb=8,SUM(AJ89:AN89),0))))))))+(IF(mb=1,SUM(AC89:AN89),IF(mb=2,SUM(AD89:AN89),IF(mb=3,SUM(AE89:AN89),IF(mb=4,SUM(AF89:AN89),IF(mb=5,SUM(AG89:AN89),IF(mb=6,SUM(AH89:AN89),IF(mb=7,SUM(AI89:AN89),IF(mb=8,SUM(AJ89:AN89),0)))))))))/hnh)*mai)/TP)</f>
        <v>#DIV/0!</v>
      </c>
      <c r="M89" s="42" t="e">
        <f>G89+I89</f>
        <v>#DIV/0!</v>
      </c>
      <c r="N89" s="42" t="e">
        <f>1/(VE*(IF(mb=1,SUM(AC89:AN89),IF(mb=2,SUM(AD89:AN89),IF(mb=3,SUM(AE89:AN89),IF(mb=4,SUM(AF89:AN89),IF(mb=5,SUM(AG89:AN89),IF(mb=6,SUM(AH89:AN89),IF(mb=7,SUM(AI89:AN89),IF(mb=8,SUM(AJ89:AN89),0))))))))+(IF(mb=1,SUM(AC89:AN89),IF(mb=2,SUM(AD89:AN89),IF(mb=3,SUM(AE89:AN89),IF(mb=4,SUM(AF89:AN89),IF(mb=5,SUM(AG89:AN89),IF(mb=6,SUM(AH89:AN89),IF(mb=7,SUM(AI89:AN89),IF(mb=8,SUM(AJ89:AN89),0)))))))))/hnh)/TP)</f>
        <v>#DIV/0!</v>
      </c>
      <c r="Q89" s="86" t="e">
        <f>IF(ISc=1,nh1_1,IF(ISc=2,H_1*hnh,0))</f>
        <v>#DIV/0!</v>
      </c>
      <c r="R89" s="111" t="e">
        <f>IF(ScI=1,((nh1_2/(TP-(nh1_1/hnh)-nh1_1))*(TP-(nh1_1/hnh)-nh1_1-(TP*TCv*tCo3_1*VE))),IF(ScI=2,(TP-H_1-(H_1*hnh)-(TP*TCv*tCo3_1*VE))*(H_2*hnh/(TP-H_1-(H_1*hnh))),"fal"))</f>
        <v>#DIV/0!</v>
      </c>
      <c r="S89" s="137" t="e">
        <f>IF(ScI=1,(nh1_3/(TP-((nh1_1+nh1_2)/hnh)-nh1_1-nh1_2))*(TP-(nh1_1/hnh)-(R89/hnh)-nh1_1-R89-(TP*VE*(TCv*tCo3_1+TCv*tCo3_2))),IF(ScI=2,(TP-H_1-((TP-H_1-(H_1*hnh)-(TP*TCv*tCo3_1*VE))*H_2/(TP-H_1-(H_1*hnh)))-(H_1*hnh)-((TP-H_1-(H_1*hnh)-(TP*TCv*tCo3_1*VE))*H_2*hnh/(TP-H_1-(H_1*hnh)))-(TP*TCv*tCo3_1*VE)-(TP*TCv*tCo3_2*VE))*(H_3*hnh/(TP-H_1-H_2-(hnh*(H_1+H_2)))),0))</f>
        <v>#DIV/0!</v>
      </c>
      <c r="T89" s="86" t="e">
        <f>IF(ScI=1,(nh1_4/(TP-(nh1_1/hnh)-(nh1_2/hnh)-(nh1_3/hnh)-nh1_1-nh1_2-nh1_3))*(TP-(nh1_1/hnh)-(R89/hnh)-(S89/hnh)-nh1_1-R89-S89-(TP*VE*(TCv*tCo3_1+TCv*tCo3_2+TCv*tCo3_3))),IF(ScI=2,(TP-H_1-((TP-H_1-(H_1*hnh)-(TP*TCv*tCo3_1*VE))*H_2/(TP-H_1-(H_1*hnh)))-((TP-H_1-(((TP-H_1-(H_1*hnh)-(TP*TCv*tCo3_1*VE))*H_2/(TP-H_1-(H_1*hnh))))-(H_1*hnh)-((TP-H_1-(H_1*hnh)-(TP*TCv*tCo3_1*VE))*H_2*hnh/(TP-H_1-(H_1*hnh)))-(TP*TCv*tCo3_1*VE)-(TP*TCv*tCo3_2*VE))*(H_3/(TP-H_1-H_2-(hnh*(H_1+H_2)))))-(H_1*hnh)-((TP-H_1-(H_1*hnh)-(TP*TCv*tCo3_1*VE))*H_2*hnh/(TP-H_1-(H_1*hnh)))-((TP-H_1-(((TP-H_1-(H_1*hnh)-(TP*TCv*tCo3_1*VE))*H_2/(TP-H_1-(H_1*hnh))))-(H_1*hnh)-(((TP-H_1-(H_1*hnh)-(TP*TCv*tCo3_1*VE))*H_2*hnh/(TP-H_1-(H_1*hnh))))-(TP*TCv*tCo3_1*VE)-(TP*TCv*tCo3_2*VE))*(H_3*hnh/(TP-H_1-H_2-(hnh*(H_1+H_2)))))-(TP*TCv*tCo3_1*VE)-(TP*TCv*tCo3_2*VE)-(TP*TCv*tCo3_3*VE))*(H_4*hnh/(TP-H_1-H_2-H_3-(hnh*(H_1+H_2+H_3)))),0))</f>
        <v>#DIV/0!</v>
      </c>
      <c r="U89" s="86" t="e">
        <f>IF(ScI=1,(nh1_5/(TP-(nh1_1/hnh)-(nh1_2/hnh)-(nh1_3/hnh)-(nh1_4/hnh)-nh1_1-nh1_2-nh1_3-nh1_4))*(TP-(nh1_1/hnh)-(R89/hnh)-(S89/hnh)-(T89/hnh)-nh1_1-R89-S89-T89-(TP*VE*(TCv*tCo3_1+TCv*tCo3_2+TCv*tCo3_3+TCv*tCo3_4))),IF(ScI=2,(TP-H_1-(((TP-H_1-(H_1*hnh)-(TP*TCv*tCo3_1*VE))*H_2/(TP-H_1-(H_1*hnh))))-AP88-AQ88-(H_1*hnh)-((TP-H_1-(H_1*hnh)-(TP*TCv*tCo3_1*VE))*H_2*hnh/(TP-H_1-(H_1*hnh)))-AP90-AQ90-(TP*TCv*tCo3_1*VE)-(TP*TCv*tCo3_2*VE)-(TP*TCv*tCo3_3*VE)-(TP*TCv*tCo3_4*VE))*(H_5*hnh/(TP-H_1-H_2-H_3-H_4-(hnh*(H_1+H_2+H_3+H_4)))),0))</f>
        <v>#DIV/0!</v>
      </c>
      <c r="V89" s="86" t="e">
        <f>IF(ScI=1,(nh1_6/(TP-(nh1_1/hnh)-(nh1_2/hnh)-(nh1_3/hnh)-(nh1_4/hnh)-(nh1_5/hnh)-nh1_1-nh1_2-nh1_3-nh1_4-nh1_5))*(TP-(nh1_1/hnh)-(R89/hnh)-(S89/hnh)-(T89/hnh)-(U89/hnh)-nh1_1-R89-S89-T89-U89-(TP*VE*(TCv*tCo3_1+TCv*tCo3_2+TCv*tCo3_3+TCv*tCo3_4+TCv*tCo3_5))),IF(ScI=2,(TP-H_1-((TP-H_1-(H_1*hnh)-(TP*TCv*tCo3_1*VE))*H_2/(TP-H_1-(H_1*hnh)))-AP88-AQ88-AR88-(H_1*hnh)-((TP-H_1-(H_1*hnh)-(TP*TCv*tCo3_1*VE))*H_2*hnh/(TP-H_1-(H_1*hnh)))-AP90-AQ90-AR90-(TP*TCv*tCo3_1*VE)-(TP*TCv*tCo3_2*VE)-(TP*TCv*tCo3_3*VE)-(TP*TCv*tCo3_4*VE)-(TP*TCv*tCo3_5*VE))*(H_6*hnh/(TP-H_1-H_2-H_3-H_4-H_5-(hnh*(H_1+H_2+H_3+H_4+H_5)))),0))</f>
        <v>#DIV/0!</v>
      </c>
      <c r="W89" s="86" t="e">
        <f>IF(ScI=1,(nh1_7/(TP-(nh1_1/hnh)-(nh1_2/hnh)-(nh1_3/hnh)-(nh1_4/hnh)-(nh1_5/hnh)-(nh1_6/hnh)-nh1_1-nh1_2-nh1_3-nh1_4-nh1_5-nh1_6))*(TP-(nh1_1/hnh)-(R89/hnh)-(S89/hnh)-(T89/hnh)-(U89/hnh)-(V89/hnh)-nh1_1-R89-S89-T89-U89-V89-(TP*VE*(TCv*tCo3_1+TCv*tCo3_2+TCv*tCo3_3+TCv*tCo3_4+TCv*tCo3_5+TCv*tCo3_6))),IF(ScI=2,(TP-H_1-((TP-H_1-(H_1*hnh)-(TP*TCv*tCo3_1*VE))*H_2/(TP-H_1-(H_1*hnh)))-AP88-AQ88-AR88-AS88-(H_1*hnh)-((TP-H_1-(H_1*hnh)-(TP*TCv*tCo3_1*VE))*H_2*hnh/(TP-H_1-(H_1*hnh)))-AP90-AQ90-AR90-AS90-(TP*TCv*tCo3_1*VE)-(TP*TCv*tCo3_2*VE)-(TP*TCv*tCo3_3*VE)-(TP*TCv*tCo3_4*VE)-(TP*TCv*tCo3_5*VE)-(TP*TCv*tCo3_6*VE))*(H_7*hnh/(TP-H_1-H_2-H_3-H_4-H_5-H_6-(hnh*(H_1+H_2+H_3+H_4+H_5+H_6)))),0))</f>
        <v>#DIV/0!</v>
      </c>
      <c r="X89" s="86" t="e">
        <f>IF(ScI=1,(nh1_8/(TP-(nh1_1/hnh)-(nh1_2/hnh)-(nh1_3/hnh)-(nh1_4/hnh)-(nh1_5/hnh)-(nh1_6/hnh)-(nh1_7/hnh)-nh1_1-nh1_2-nh1_3-nh1_4-nh1_5-nh1_6-nh1_7))*(TP-(nh1_1/hnh)-(R89/hnh)-(S89/hnh)-(T89/hnh)-(U89/hnh)-(V89/hnh)-(W89/hnh)-nh1_1-R89-S89-T89-U89-V89-W89-(TP*VE*(TCv*tCo3_1+TCv*tCo3_2+TCv*tCo3_3+TCv*tCo3_4+TCv*tCo3_5+TCv*tCo3_6+TCv*tCo3_7))),IF(ScI=2,(TP-H_1-((TP-H_1-(H_1*hnh)-(TP*TCv*tCo3_1*VE))*H_2/(TP-H_1-(H_1*hnh)))-AP88-AQ88-AR88-AS88-AT88-(H_1*hnh)-((TP-H_1-(H_1*hnh)-(TP*TCv*tCo3_1*VE))*H_2*hnh/(TP-H_1-(H_1*hnh)))-AP90-AQ90-AR90-AS90-AT90-(TP*TCv*tCo3_1*VE)-(TP*TCv*tCo3_2*VE)-(TP*TCv*tCo3_3*VE)-(TP*TCv*tCo3_4*VE)-(TP*TCv*tCo3_5*VE)-(TP*TCv*tCo3_6*VE)-(TP*TCv*tCo3_7*VE))*(H_8*hnh/(TP-H_1-H_2-H_3-H_4-H_5-H_6-H_7-(hnh*(H_1+H_2+H_3+H_4+H_5+H_6+H_7)))),0))</f>
        <v>#DIV/0!</v>
      </c>
      <c r="Y89" s="86" t="e">
        <f>IF(ScI=1,(nh1_9/(TP-(nh1_1/hnh)-(nh1_2/hnh)-(nh1_3/hnh)-(nh1_4/hnh)-(nh1_5/hnh)-(nh1_6/hnh)-(nh1_7/hnh)-(nh1_8/hnh)-nh1_1-nh1_2-nh1_3-nh1_4-nh1_5-nh1_6-nh1_7-nh1_8))*(TP-(nh1_1/hnh)-(R89/hnh)-(S89/hnh)-(T89/hnh)-(U89/hnh)-(V89/hnh)-(W89/hnh)-(X89/hnh)-nh1_1-R89-S89-T89-U89-V89-W89-X89-(TP*VE*(TCv*tCo3_1+TCv*tCo3_2+TCv*tCo3_3+TCv*tCo3_4+TCv*tCo3_5+TCv*tCo3_6+TCv*tCo3_7+TCv*tCo3_8))),IF(ScI=2,(TP-H_1-((TP-H_1-(H_1*hnh)-(TP*TCv*tCo3_1*VE))*H_2/(TP-H_1-(H_1*hnh)))-AP88-AQ88-AR88-AS88-AT88-AU88-(H_1*hnh)-((TP-H_1-(H_1*hnh)-(TP*TCv*tCo3_1*VE))*H_2*hnh/(TP-H_1-(H_1*hnh)))-AP90-AQ90-AR90-AS90-AT90-AU90-(TP*TCv*tCo3_1*VE)-(TP*TCv*tCo3_2*VE)-(TP*TCv*tCo3_3*VE)-(TP*TCv*tCo3_4*VE)-(TP*TCv*tCo3_5*VE)-(TP*TCv*tCo3_6*VE)-(TP*TCv*tCo3_7*VE)-(TP*TCv*tCo3_8*VE))*(H_9*hnh/(TP-H_1-H_2-H_3-H_4-H_5-H_6-H_7-H_8-(hnh*(H_1+H_2+H_3+H_4+H_5+H_6+H_7+H_8)))),0))</f>
        <v>#DIV/0!</v>
      </c>
      <c r="Z89" s="86" t="e">
        <f>IF(ScI=1,(nh1_10/(TP-(nh1_1/hnh)-(nh1_2/hnh)-(nh1_3/hnh)-(nh1_4/hnh)-(nh1_5/hnh)-(nh1_6/hnh)-(nh1_7/hnh)-(nh1_8/hnh)-(nh1_9/hnh)-nh1_1-nh1_2-nh1_3-nh1_4-nh1_5-nh1_6-nh1_7-nh1_8-nh1_9))*(TP-(nh1_1/hnh)-(R89/hnh)-(S89/hnh)-(T89/hnh)-(U89/hnh)-(V89/hnh)-(W89/hnh)-(X89/hnh)-(Y89/hnh)-nh1_1-R89-S89-T89-U89-V89-W89-X89-Y89-(TP*VE*(TCv*tCo3_1+TCv*tCo3_2+TCv*tCo3_3+TCv*tCo3_4+TCv*tCo3_5+TCv*tCo3_6+TCv*tCo3_7+TCv*tCo3_8+TCv*tCo3_9))),IF(ScI=2,(TP-H_1-((TP-H_1-(H_1*hnh)-(TP*TCv*tCo3_1*VE))*H_2/(TP-H_1-(H_1*hnh)))-AP88-AQ88-AR88-AS88-AT88-AU88-AV88-(H_1*hnh)-((TP-H_1-(H_1*hnh)-(TP*TCv*tCo3_1*VE))*H_2*hnh/(TP-H_1-(H_1*hnh)))-AP90-AQ90-AR90-AS90-AT90-AU90-AV90-(TP*TCv*tCo3_1*VE)-(TP*TCv*tCo3_2*VE)-(TP*TCv*tCo3_3*VE)-(TP*TCv*tCo3_4*VE)-(TP*TCv*tCo3_5*VE)-(TP*TCv*tCo3_6*VE)-(TP*TCv*tCo3_7*VE)-(TP*TCv*tCo3_8*VE)-(TP*TCv*tCo3_9*VE))*(H_10*hnh/(TP-H_1-H_2-H_3-H_4-H_5-H_6-H_7-H_8-H_9-(hnh*(H_1+H_2+H_3+H_4+H_5+H_6+H_7+H_8+H_9)))),0))</f>
        <v>#DIV/0!</v>
      </c>
      <c r="AA89" s="86" t="e">
        <f>IF(ScI=1,(nh1_11/(TP-(nh1_1/hnh)-(nh1_2/hnh)-(nh1_3/hnh)-(nh1_4/hnh)-(nh1_5/hnh)-(nh1_6/hnh)-(nh1_7/hnh)-(nh1_8/hnh)-(nh1_9/hnh)-(nh1_10/hnh)-nh1_1-nh1_2-nh1_3-nh1_4-nh1_5-nh1_6-nh1_7-nh1_8-nh1_9-nh1_10))*(TP-(nh1_1/hnh)-(R89/hnh)-(S89/hnh)-(T89/hnh)-(U89/hnh)-(V89/hnh)-(W89/hnh)-(X89/hnh)-(Y89/hnh)-(Z89/hnh)-nh1_1-R89-S89-T89-U89-V89-W89-X89-Y89-Z89-(TP*VE*(TCv*tCo3_1+TCv*tCo3_2+TCv*tCo3_3+TCv*tCo3_4+TCv*tCo3_5+TCv*tCo3_6+TCv*tCo3_7+TCv*tCo3_8+TCv*tCo3_9+TCv*tCo3_10))),IF(ScI=2,(TP-H_1-((TP-H_1-(H_1*hnh)-(TP*TCv*tCo3_1*VE))*H_2/(TP-H_1-(H_1*hnh)))-AP88-AQ88-AR88-AS88-AT88-AU88-AV88-AW88-(H_1*hnh)-((TP-H_1-(H_1*hnh)-(TP*TCv*tCo3_1*VE))*H_2*hnh/(TP-H_1-(H_1*hnh)))-AP90-AQ90-AR90-AS90-AT90-AU90-AV90-AW90-(TP*TCv*tCo3_1*VE)-(TP*TCv*tCo3_2*VE)-(TP*TCv*tCo3_3*VE)-(TP*TCv*tCo3_4*VE)-(TP*TCv*tCo3_5*VE)-(TP*TCv*tCo3_6*VE)-(TP*TCv*tCo3_7*VE)-(TP*TCv*tCo3_8*VE)-(TP*TCv*tCo3_9*VE)-(TP*TCv*tCo3_10*VE))*(H_11*hnh/(TP-H_1-H_2-H_3-H_4-H_5-H_6-H_7-H_8-H_9-H_10-(hnh*(H_1+H_2+H_3+H_4+H_5+H_6+H_7+H_8+H_9+H_10)))),0))</f>
        <v>#DIV/0!</v>
      </c>
      <c r="AB89" s="86" t="e">
        <f>IF(ScI=1,(nh1_12/(TP-(nh1_1/hnh)-(nh1_2/hnh)-(nh1_3/hnh)-(nh1_4/hnh)-(nh1_5/hnh)-(nh1_6/hnh)-(nh1_7/hnh)-(nh1_8/hnh)-(nh1_9/hnh)-(nh1_10/hnh)-(nh1_11/hnh)-nh1_1-nh1_2-nh1_3-nh1_4-nh1_5-nh1_6-nh1_7-nh1_8-nh1_9-nh1_10-nh1_11))*(TP-(nh1_1/hnh)-(R89/hnh)-(S89/hnh)-(T89/hnh)-(U89/hnh)-(V89/hnh)-(W89/hnh)-(X89/hnh)-(Y89/hnh)-(Z89/hnh)-(AA89/hnh)-nh1_1-R89-S89-T89-U89-V89-W89-X89-Y89-Z89-AA89-(TP*VE*(TCv*tCo3_1+TCv*tCo3_2+TCv*tCo3_3+TCv*tCo3_4+TCv*tCo3_5+TCv*tCo3_6+TCv*tCo3_7+TCv*tCo3_8+TCv*tCo3_9+TCv*tCo3_10+TCv*tCo3_11))),IF(ScI=2,(TP-H_1-((TP-H_1-(H_1*hnh)-(TP*TCv*tCo3_1*VE))*H_2/(TP-H_1-(H_1*hnh)))-AP88-AQ88-AR88-AS88-AT88-AU88-AV88-AW88-AX88-(H_1*hnh)-((TP-H_1-(H_1*hnh)-(TP*TCv*tCo3_1*VE))*H_2*hnh/(TP-H_1-(H_1*hnh)))-AP90-AQ90-AR90-AS90-AT90-AU90-AV90-AW90-AX90-(TP*TCv*tCo3_1*VE)-(TP*TCv*tCo3_2*VE)-(TP*TCv*tCo3_3*VE)-(TP*TCv*tCo3_4*VE)-(TP*TCv*tCo3_5*VE)-(TP*TCv*tCo3_6*VE)-(TP*TCv*tCo3_7*VE)-(TP*TCv*tCo3_8*VE)-(TP*TCv*tCo3_9*VE)-(TP*TCv*tCo3_10*VE)-(TP*TCv*tCo3_11*VE))*(H_12*hnh/(TP-H_1-H_2-H_3-H_4-H_5-H_6-H_7-H_8-H_9-H_10-H_11-(hnh*(H_1+H_2+H_3+H_4+H_5+H_6+H_7+H_8+H_9+H_10+H_11)))),0))</f>
        <v>#DIV/0!</v>
      </c>
      <c r="AC89" s="88">
        <f>IF(ScI=1,H_1*hnh,IF(ScI=2,H_1*hnh,0))</f>
        <v>0</v>
      </c>
      <c r="AD89" s="88" t="e">
        <f>IF(ScI=1,(TP-H_1-(H_1*hnh))*H_2*hnh/(TP-H_1-(H_1*hnh)-(TP*TCv*tCo3_1*VE)),IF(ScI=2,H_2*hnh,0))</f>
        <v>#DIV/0!</v>
      </c>
      <c r="AE89" s="88" t="e">
        <f>IF(ScI=1,(TP-H_1-((TP-H_1-(H_1*hnh))*H_2/(TP-H_1-(H_1*hnh)-(TP*TCv*tCo3_1*VE)))-(H_1*hnh)-((TP-H_1-(H_1*hnh))*H_2*hnh/(TP-H_1-(H_1*hnh)-(TP*TCv*tCo3_1*VE))))*H_3*hnh/(TP-H_1-H_2-(hnh*(H_1+H_2))-(TP*VE*(TCv*tCo3_1+TCv*tCo3_2))),IF(ScI=2,H_3*hnh,0))</f>
        <v>#DIV/0!</v>
      </c>
      <c r="AF89" s="88" t="e">
        <f>IF(ScI=1,(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IF(ScI=2,H_4*hnh,0))</f>
        <v>#DIV/0!</v>
      </c>
      <c r="AG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H_5*hnh/(TP-H_1-H_2-H_3-H_4-(hnh*(H_1+H_2+H_3+H_4))-(TP*VE*(TCv*tCo3_1+TCv*tCo3_2+TCv*tCo3_3+TCv*tCo3_4))),IF(ScI=2,H_5*hnh,0))</f>
        <v>#DIV/0!</v>
      </c>
      <c r="AH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H_6*hnh/(TP-H_1-H_2-H_3-H_4-H_5-(hnh*(H_1+H_2+H_3+H_4+H_5))-(TP*VE*(TCv*tCo3_1+TCv*tCo3_2+TCv*tCo3_3+TCv*tCo3_4+TCv*tCo3_5))),IF(ScI=2,H_6*hnh,0))</f>
        <v>#DIV/0!</v>
      </c>
      <c r="AI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H_7*hnh/(TP-H_1-H_2-H_3-H_4-H_5-H_6-(hnh*(H_1+H_2+H_3+H_4+H_5+H_6))-(TP*VE*(TCv*tCo3_1+TCv*tCo3_2+TCv*tCo3_3+TCv*tCo3_4+TCv*tCo3_5+TCv*tCo3_6))),IF(ScI=2,H_7*hnh,0))</f>
        <v>#DIV/0!</v>
      </c>
      <c r="AJ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H_8*hnh/(TP-H_1-H_2-H_3-H_4-H_5-H_6-H_7-(hnh*(H_1+H_2+H_3+H_4+H_5+H_6+H_7))-(TP*VE*(TCv*tCo3_1+TCv*tCo3_2+TCv*tCo3_3+TCv*tCo3_4+TCv*tCo3_5+TCv*tCo3_6+TCv*tCo3_7))),IF(ScI=2,H_8*hnh,0))</f>
        <v>#DIV/0!</v>
      </c>
      <c r="AK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H_9*hnh/(TP-H_1-H_2-H_3-H_4-H_5-H_6-H_7-H_8-(hnh*(H_1+H_2+H_3+H_4+H_5+H_6+H_7+H_8))-(TP*VE*(TCv*tCo3_1+TCv*tCo3_2+TCv*tCo3_3+TCv*tCo3_4+TCv*tCo3_5+TCv*tCo3_6+TCv*tCo3_7+TCv*tCo3_8))),IF(ScI=2,H_9*hnh,0))</f>
        <v>#DIV/0!</v>
      </c>
      <c r="AL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H_10*hnh/(TP-H_1-H_2-H_3-H_4-H_5-H_6-H_7-H_8-H_9-(hnh*(H_1+H_2+H_3+H_4+H_5+H_6+H_7+H_8+H_9))-(TP*VE*(TCv*tCo3_1+TCv*tCo3_2+TCv*tCo3_3+TCv*tCo3_4+TCv*tCo3_5+TCv*tCo3_6+TCv*tCo3_7+TCv*tCo3_8+TCv*tCo3_9))),IF(ScI=2,H_10*hnh,0))</f>
        <v>#DIV/0!</v>
      </c>
      <c r="AM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H_11*hnh/(TP-H_1-H_2-H_3-H_4-H_5-H_6-H_7-H_8-H_9-H_10-(hnh*(H_1+H_2+H_3+H_4+H_5+H_6+H_7+H_8+H_9+H_10))-(TP*VE*(TCv*tCo3_1+TCv*tCo3_2+TCv*tCo3_3+TCv*tCo3_4+TCv*tCo3_5+TCv*tCo3_6+TCv*tCo3_7+TCv*tCo3_8+TCv*tCo3_9+TCv*tCo3_10))),IF(ScI=2,H_11*hnh,0))</f>
        <v>#DIV/0!</v>
      </c>
      <c r="AN89" s="88" t="e">
        <f>IF(ScI=1,(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BF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BF90)*H_12*hnh/(TP-H_1-H_2-H_3-H_4-H_5-H_6-H_7-H_8-H_9-H_10-H_11-(hnh*(H_1+H_2+H_3+H_4+H_5+H_6+H_7+H_8+H_9+H_10+H_11))-(TP*VE*(TCv*tCo3_1+TCv*tCo3_2+TCv*tCo3_3+TCv*tCo3_4+TCv*tCo3_5+TCv*tCo3_6+TCv*tCo3_7+TCv*tCo3_8+TCv*tCo3_9+TCv*tCo3_10+TCv*tCo3_11))),IF(ScI=2,H_12*hnh,0))</f>
        <v>#DIV/0!</v>
      </c>
      <c r="AP89" s="103" t="s">
        <v>82</v>
      </c>
      <c r="AQ89" s="103" t="s">
        <v>83</v>
      </c>
      <c r="AR89" s="103" t="s">
        <v>84</v>
      </c>
      <c r="AS89" s="103" t="s">
        <v>85</v>
      </c>
      <c r="AT89" s="103" t="s">
        <v>86</v>
      </c>
      <c r="AU89" s="103" t="s">
        <v>87</v>
      </c>
      <c r="AV89" s="103" t="s">
        <v>88</v>
      </c>
      <c r="AW89" s="103" t="s">
        <v>89</v>
      </c>
      <c r="AX89" s="103" t="s">
        <v>90</v>
      </c>
      <c r="AZ89" s="103" t="s">
        <v>106</v>
      </c>
      <c r="BA89" s="103" t="s">
        <v>92</v>
      </c>
      <c r="BB89" s="103" t="s">
        <v>98</v>
      </c>
      <c r="BC89" s="103" t="s">
        <v>99</v>
      </c>
      <c r="BD89" s="103" t="s">
        <v>100</v>
      </c>
      <c r="BE89" s="103" t="s">
        <v>101</v>
      </c>
      <c r="BF89" s="103" t="s">
        <v>102</v>
      </c>
    </row>
    <row r="90" spans="1:58" hidden="1" outlineLevel="1" x14ac:dyDescent="0.25">
      <c r="F90" s="113"/>
      <c r="G90" s="31"/>
      <c r="H90" s="31"/>
      <c r="I90" s="31"/>
      <c r="J90" s="31"/>
      <c r="K90" s="31"/>
      <c r="L90" s="31"/>
      <c r="M90" s="31"/>
      <c r="N90" s="31"/>
      <c r="Q90" s="31"/>
      <c r="R90" s="97"/>
      <c r="S90" s="97"/>
      <c r="T90" s="97"/>
      <c r="U90" s="97"/>
      <c r="V90" s="97"/>
      <c r="W90" s="97"/>
      <c r="X90" s="97"/>
      <c r="Y90" s="97"/>
      <c r="Z90" s="97"/>
      <c r="AA90" s="97"/>
      <c r="AB90" s="97"/>
      <c r="AC90" s="98"/>
      <c r="AD90" s="98"/>
      <c r="AE90" s="98"/>
      <c r="AF90" s="98"/>
      <c r="AG90" s="98"/>
      <c r="AH90" s="98"/>
      <c r="AI90" s="98"/>
      <c r="AJ90" s="98"/>
      <c r="AK90" s="98"/>
      <c r="AL90" s="98"/>
      <c r="AM90" s="98"/>
      <c r="AN90" s="98"/>
      <c r="AP90" s="103" t="e">
        <f>((TP-H_1-((TP-H_1-(H_1*hnh)-(TP*TCv*tCo3_1*VE))*H_2/(TP-H_1-(H_1*hnh)))-(H_1*hnh)-((TP-H_1-(H_1*hnh)-(TP*TCv*tCo3_1*VE))*H_2*hnh/(TP-H_1-(H_1*hnh)))-(TP*TCv*tCo3_1*VE)-(TP*TCv*tCo3_2*VE))*(H_3*hnh/(TP-H_1-H_2-(hnh*(H_1+H_2)))))</f>
        <v>#DIV/0!</v>
      </c>
      <c r="AQ90" s="103" t="e">
        <f>(TP-H_1-((TP-H_1-(H_1*hnh)-(TP*TCv*tCo3_1*VE))*H_2/(TP-H_1-(H_1*hnh)))-AP88-(H_1*hnh)-((TP-H_1-(H_1*hnh)-(TP*TCv*tCo3_1*VE))*H_2*hnh/(TP-H_1-(H_1*hnh)))-AP90-(TP*TCv*tCo3_1*VE)-(TP*TCv*tCo3_2*VE)-(TP*TCv*tCo3_3*VE))*(H_4*hnh/(TP-H_1-H_2-H_3-(hnh*(H_1+H_2+H_3))))</f>
        <v>#DIV/0!</v>
      </c>
      <c r="AR90" s="103" t="e">
        <f>(TP-H_1-((TP-H_1-(H_1*hnh)-(TP*TCv*tCo3_1*VE))*H_2/(TP-H_1-(H_1*hnh)))-AP88-AQ88-(H_1*hnh)-((TP-H_1-(H_1*hnh)-(TP*TCv*tCo3_1*VE))*H_2*hnh/(TP-H_1-(H_1*hnh)))-AP90-AQ90-(TP*TCv*tCo3_1*VE)-(TP*TCv*tCo3_2*VE)-(TP*TCv*tCo3_3*VE)-(TP*TCv*tCo3_4*VE))*(H_5*hnh/(TP-H_1-H_2-H_3-H_4-(hnh*(H_1+H_2+H_3+H_4))))</f>
        <v>#DIV/0!</v>
      </c>
      <c r="AS90" s="103" t="e">
        <f>(TP-H_1-((TP-H_1-(H_1*hnh)-(TP*TCv*tCo3_1*VE))*H_2/(TP-H_1-(H_1*hnh)))-AP88-AQ88-AR88-(H_1*hnh)-((TP-H_1-(H_1*hnh)-(TP*TCv*tCo3_1*VE))*H_2*hnh/(TP-H_1-(H_1*hnh)))-AP90-AQ90-AR90-(TP*TCv*tCo3_1*VE)-(TP*TCv*tCo3_2*VE)-(TP*TCv*tCo3_3*VE)-(TP*TCv*tCo3_4*VE)-(TP*TCv*tCo3_5*VE))*(H_6*hnh/(TP-H_1-H_2-H_3-H_4-H_5-(hnh*(H_1+H_2+H_3+H_4+H_5))))</f>
        <v>#DIV/0!</v>
      </c>
      <c r="AT90" s="103" t="e">
        <f>(TP-H_1-((TP-H_1-(H_1*hnh)-(TP*TCv*tCo3_1*VE))*H_2/(TP-H_1-(H_1*hnh)))-AP88-AQ88-AR88-AS88-(H_1*hnh)-((TP-H_1-(H_1*hnh)-(TP*TCv*tCo3_1*VE))*H_2*hnh/(TP-H_1-(H_1*hnh)))-AP90-AQ90-AR90-AS90-(TP*TCv*tCo3_1*VE)-(TP*TCv*tCo3_2*VE)-(TP*TCv*tCo3_3*VE)-(TP*TCv*tCo3_4*VE)-(TP*TCv*tCo3_5*VE)-(TP*TCv*tCo3_6*VE))*(H_7*hnh/(TP-H_1-H_2-H_3-H_4-H_5-H_6-(hnh*(H_1+H_2+H_3+H_4+H_5+H_6))))</f>
        <v>#DIV/0!</v>
      </c>
      <c r="AU90" s="103" t="e">
        <f>(TP-H_1-((TP-H_1-(H_1*hnh)-(TP*TCv*tCo3_1*VE))*H_2/(TP-H_1-(H_1*hnh)))-AP88-AQ88-AR88-AS88-AT88-(H_1*hnh)-((TP-H_1-(H_1*hnh)-(TP*TCv*tCo3_1*VE))*H_2*hnh/(TP-H_1-(H_1*hnh)))-AP90-AQ90-AR90-AS90-AT90-(TP*TCv*tCo3_1*VE)-(TP*TCv*tCo3_2*VE)-(TP*TCv*tCo3_3*VE)-(TP*TCv*tCo3_4*VE)-(TP*TCv*tCo3_5*VE)-(TP*TCv*tCo3_6*VE)-(TP*TCv*tCo3_7*VE))*(H_8*hnh/(TP-H_1-H_2-H_3-H_4-H_5-H_6-H_7-(hnh*(H_1+H_2+H_3+H_4+H_5+H_6+H_7))))</f>
        <v>#DIV/0!</v>
      </c>
      <c r="AV90" s="103" t="e">
        <f>(TP-H_1-((TP-H_1-(H_1*hnh)-(TP*TCv*tCo3_1*VE))*H_2/(TP-H_1-(H_1*hnh)))-AP88-AQ88-AR88-AS88-AT88-AU88-(H_1*hnh)-((TP-H_1-(H_1*hnh)-(TP*TCv*tCo3_1*VE))*H_2*hnh/(TP-H_1-(H_1*hnh)))-AP90-AQ90-AR90-AS90-AT90-AU90-(TP*TCv*tCo3_1*VE)-(TP*TCv*tCo3_2*VE)-(TP*TCv*tCo3_3*VE)-(TP*TCv*tCo3_4*VE)-(TP*TCv*tCo3_5*VE)-(TP*TCv*tCo3_6*VE)-(TP*TCv*tCo3_7*VE)-(TP*TCv*tCo3_8*VE))*(H_9*hnh/(TP-H_1-H_2-H_3-H_4-H_5-H_6-H_7-H_8-(hnh*(H_1+H_2+H_3+H_4+H_5+H_6+H_7+H_8))))</f>
        <v>#DIV/0!</v>
      </c>
      <c r="AW90" s="103" t="e">
        <f>(TP-H_1-((TP-H_1-(H_1*hnh)-(TP*TCv*tCo3_1*VE))*H_2/(TP-H_1-(H_1*hnh)))-AP88-AQ88-AR88-AS88-AT88-AU88-AV88-(H_1*hnh)-((TP-H_1-(H_1*hnh)-(TP*TCv*tCo3_1*VE))*H_2*hnh/(TP-H_1-(H_1*hnh)))-AP90-AQ90-AR90-AS90-AT90-AU90-AV90-(TP*TCv*tCo3_1*VE)-(TP*TCv*tCo3_2*VE)-(TP*TCv*tCo3_3*VE)-(TP*TCv*tCo3_4*VE)-(TP*TCv*tCo3_5*VE)-(TP*TCv*tCo3_6*VE)-(TP*TCv*tCo3_7*VE)-(TP*TCv*tCo3_8*VE)-(TP*TCv*tCo3_9*VE))*(H_10*hnh/(TP-H_1-H_2-H_3-H_4-H_5-H_6-H_7-H_8-H_9-(hnh*(H_1+H_2+H_3+H_4+H_5+H_6+H_7+H_8+H_9))))</f>
        <v>#DIV/0!</v>
      </c>
      <c r="AX90" s="103" t="e">
        <f>(TP-H_1-((TP-H_1-(H_1*hnh)-(TP*TCv*tCo3_1*VE))*H_2/(TP-H_1-(H_1*hnh)))-AP88-AQ88-AR88-AS88-AT88-AU88-AV88-AW88-(H_1*hnh)-((TP-H_1-(H_1*hnh)-(TP*TCv*tCo3_1*VE))*H_2*hnh/(TP-H_1-(H_1*hnh)))-AP90-AQ90-AR90-AS90-AT90-AU90-AV90-AW90-(TP*TCv*tCo3_1*VE)-(TP*TCv*tCo3_2*VE)-(TP*TCv*tCo3_3*VE)-(TP*TCv*tCo3_4*VE)-(TP*TCv*tCo3_5*VE)-(TP*TCv*tCo3_6*VE)-(TP*TCv*tCo3_7*VE)-(TP*TCv*tCo3_8*VE)-(TP*TCv*tCo3_9*VE)-(TP*TCv*tCo3_10*VE))*(H_11*hnh/(TP-H_1-H_2-H_3-H_4-H_5-H_6-H_7-H_8-H_9-H_10-(hnh*(H_1+H_2+H_3+H_4+H_5+H_6+H_7+H_8+H_9+H_10))))</f>
        <v>#DIV/0!</v>
      </c>
      <c r="AZ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H_5*hnh/(TP-H_1-H_2-H_3-H_4-(hnh*(H_1+H_2+H_3+H_4))-(TP*VE*(TCv*tCo3_1+TCv*tCo3_2+TCv*tCo3_3+TCv*tCo3_4)))</f>
        <v>#DIV/0!</v>
      </c>
      <c r="BA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H_6*hnh/(TP-H_1-H_2-H_3-H_4-H_5-(hnh*(H_1+H_2+H_3+H_4+H_5))-(TP*VE*(TCv*tCo3_1+TCv*tCo3_2+TCv*tCo3_3+TCv*tCo3_4+TCv*tCo3_5)))</f>
        <v>#DIV/0!</v>
      </c>
      <c r="BB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H_7*hnh/(TP-H_1-H_2-H_3-H_4-H_5-H_6-(hnh*(H_1+H_2+H_3+H_4+H_5+H_6))-(TP*VE*(TCv*tCo3_1+TCv*tCo3_2+TCv*tCo3_3+TCv*tCo3_4+TCv*tCo3_5+TCv*tCo3_6)))</f>
        <v>#DIV/0!</v>
      </c>
      <c r="BC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H_8*hnh/(TP-H_1-H_2-H_3-H_4-H_5-H_6-H_7-(hnh*(H_1+H_2+H_3+H_4+H_5+H_6+H_7))-(TP*VE*(TCv*tCo3_1+TCv*tCo3_2+TCv*tCo3_3+TCv*tCo3_4+TCv*tCo3_5+TCv*tCo3_6+TCv*tCo3_7)))</f>
        <v>#DIV/0!</v>
      </c>
      <c r="BD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H_9*hnh/(TP-H_1-H_2-H_3-H_4-H_5-H_6-H_7-H_8-(hnh*(H_1+H_2+H_3+H_4+H_5+H_6+H_7+H_8))-(TP*VE*(TCv*tCo3_1+TCv*tCo3_2+TCv*tCo3_3+TCv*tCo3_4+TCv*tCo3_5+TCv*tCo3_6+TCv*tCo3_7+TCv*tCo3_8)))</f>
        <v>#DIV/0!</v>
      </c>
      <c r="BE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H_10*hnh/(TP-H_1-H_2-H_3-H_4-H_5-H_6-H_7-H_8-H_9-(hnh*(H_1+H_2+H_3+H_4+H_5+H_6+H_7+H_8+H_9))-(TP*VE*(TCv*tCo3_1+TCv*tCo3_2+TCv*tCo3_3+TCv*tCo3_4+TCv*tCo3_5+TCv*tCo3_6+TCv*tCo3_7+TCv*tCo3_8+TCv*tCo3_9)))</f>
        <v>#DIV/0!</v>
      </c>
      <c r="BF90" s="103" t="e">
        <f>(TP-H_1-((TP-H_1-(H_1*hnh))*H_2/(TP-H_1-(H_1*hnh)-(TP*TCv*tCo3_1*VE)))-((TP-H_1-((TP-H_1-(H_1*hnh))*H_2/(TP-H_1-(H_1*hnh)-(TP*TCv*tCo3_1*VE)))-(H_1*hnh)-((TP-H_1-(H_1*hnh))*H_2*hnh/(TP-H_1-(H_1*hnh)-(TP*TCv*tCo3_1*VE))))*H_3/(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TP-H_1-H_2-H_3-(hnh*(H_1+H_2+H_3))-(TP*VE*(TCv*tCo3_1+TCv*tCo3_2+TCv*tCo3_3))))-AZ88-BA88-BB88-BC88-BD88-BE88-(H_1*hnh)-((TP-H_1-(H_1*hnh))*H_2*hnh/(TP-H_1-(H_1*hnh)-(TP*TCv*tCo3_1*VE)))-((TP-H_1-((TP-H_1-(H_1*hnh))*H_2/(TP-H_1-(H_1*hnh)-(TP*TCv*tCo3_1*VE)))-(H_1*hnh)-((TP-H_1-(H_1*hnh))*H_2*hnh/(TP-H_1-(H_1*hnh)-(TP*TCv*tCo3_1*VE))))*H_3*hnh/(TP-H_1-H_2-(hnh*(H_1+H_2))-(TP*VE*(TCv*tCo3_1+TCv*tCo3_2))))-((TP-H_1-((TP-H_1-(H_1*hnh))*H_2/(TP-H_1-(H_1*hnh)-(TP*TCv*tCo3_1*VE)))-((TP-H_1-((TP-H_1-(H_1*hnh))*H_2/(TP-H_1-(H_1*hnh)-(TP*TCv*tCo3_1*VE)))-(H_1*hnh)-((TP-H_1-(H_1*hnh))*H_2*hnh/(TP-H_1-(H_1*hnh)-(TP*TCv*tCo3_1*VE))))*H_3/(TP-H_1-H_2-(hnh*(H_1+H_2))-(TP*VE*(TCv*tCo3_1+TCv*tCo3_2))))-(H_1*hnh)-((TP-H_1-(H_1*hnh))*H_2*hnh/(TP-H_1-(H_1*hnh)-(TP*TCv*tCo3_1*VE)))-((TP-H_1-((TP-H_1-(H_1*hnh))*H_2/(TP-H_1-(H_1*hnh)-(TP*TCv*tCo3_1*VE)))-(H_1*hnh)-((TP-H_1-(H_1*hnh))*H_2*hnh/(TP-H_1-(H_1*hnh)-(TP*TCv*tCo3_1*VE))))*H_3*hnh/(TP-H_1-H_2-(hnh*(H_1+H_2))-(TP*VE*(TCv*tCo3_1+TCv*tCo3_2)))))*H_4*hnh/(TP-H_1-H_2-H_3-(hnh*(H_1+H_2+H_3))-(TP*VE*(TCv*tCo3_1+TCv*tCo3_2+TCv*tCo3_3))))-AZ90-BA90-BB90-BC90-BD90-BE90)*H_11*hnh/(TP-H_1-H_2-H_3-H_4-H_5-H_6-H_7-H_8-H_9-H_10-(hnh*(H_1+H_2+H_3+H_4+H_5+H_6+H_7+H_8+H_9+H_10))-(TP*VE*(TCv*tCo3_1+TCv*tCo3_2+TCv*tCo3_3+TCv*tCo3_4+TCv*tCo3_5+TCv*tCo3_6+TCv*tCo3_7+TCv*tCo3_8+TCv*tCo3_9+TCv*tCo3_10)))</f>
        <v>#DIV/0!</v>
      </c>
    </row>
    <row r="91" spans="1:58" hidden="1" outlineLevel="1" x14ac:dyDescent="0.25">
      <c r="F91" s="112"/>
    </row>
    <row r="92" spans="1:58" hidden="1" outlineLevel="1" x14ac:dyDescent="0.25"/>
    <row r="93" spans="1:58" collapsed="1" x14ac:dyDescent="0.25"/>
    <row r="94" spans="1:58" s="105" customFormat="1" x14ac:dyDescent="0.25">
      <c r="A94" s="104" t="s">
        <v>295</v>
      </c>
      <c r="B94" s="104"/>
    </row>
    <row r="95" spans="1:58" hidden="1" outlineLevel="1" x14ac:dyDescent="0.25">
      <c r="Q95" s="102" t="s">
        <v>72</v>
      </c>
      <c r="R95" s="102"/>
      <c r="S95" s="102"/>
      <c r="T95" s="102"/>
      <c r="U95" s="102"/>
      <c r="V95" s="102"/>
      <c r="W95" s="102"/>
      <c r="X95" s="102"/>
      <c r="Y95" s="102"/>
      <c r="Z95" s="102"/>
      <c r="AA95" s="102"/>
      <c r="AB95" s="102"/>
      <c r="AC95" s="101" t="s">
        <v>104</v>
      </c>
      <c r="AD95" s="101"/>
      <c r="AE95" s="101"/>
      <c r="AF95" s="101"/>
      <c r="AG95" s="101"/>
      <c r="AH95" s="101"/>
      <c r="AI95" s="101"/>
      <c r="AJ95" s="101"/>
      <c r="AK95" s="101"/>
      <c r="AL95" s="101"/>
      <c r="AM95" s="101"/>
      <c r="AN95" s="101"/>
      <c r="AP95" s="103">
        <v>3</v>
      </c>
      <c r="AQ95" s="103">
        <v>4</v>
      </c>
      <c r="AR95" s="103">
        <v>5</v>
      </c>
      <c r="AS95" s="103">
        <v>6</v>
      </c>
      <c r="AT95" s="103">
        <v>7</v>
      </c>
      <c r="AU95" s="103">
        <v>8</v>
      </c>
      <c r="AV95" s="103">
        <v>9</v>
      </c>
      <c r="AW95" s="103">
        <v>10</v>
      </c>
      <c r="AX95" s="103">
        <v>11</v>
      </c>
      <c r="AZ95" s="103">
        <v>5</v>
      </c>
      <c r="BA95" s="103">
        <v>6</v>
      </c>
      <c r="BB95" s="103">
        <v>7</v>
      </c>
      <c r="BC95" s="103">
        <v>8</v>
      </c>
      <c r="BD95" s="103">
        <v>9</v>
      </c>
      <c r="BE95" s="103">
        <v>10</v>
      </c>
      <c r="BF95" s="103">
        <v>11</v>
      </c>
    </row>
    <row r="96" spans="1:58" ht="28.7" hidden="1" customHeight="1" outlineLevel="1" x14ac:dyDescent="0.25">
      <c r="A96" s="11" t="s">
        <v>47</v>
      </c>
      <c r="B96" s="11"/>
      <c r="C96" s="11"/>
      <c r="D96" s="11"/>
      <c r="E96" s="11"/>
      <c r="F96" s="11"/>
      <c r="G96" s="109" t="s">
        <v>50</v>
      </c>
      <c r="H96" s="109"/>
      <c r="I96" s="110" t="s">
        <v>44</v>
      </c>
      <c r="J96" s="110"/>
      <c r="K96" s="101" t="s">
        <v>58</v>
      </c>
      <c r="L96" s="101"/>
      <c r="M96" s="110" t="s">
        <v>45</v>
      </c>
      <c r="N96" s="110"/>
      <c r="Q96" s="102" t="s">
        <v>1</v>
      </c>
      <c r="R96" s="102"/>
      <c r="S96" s="102"/>
      <c r="T96" s="102"/>
      <c r="U96" s="102"/>
      <c r="V96" s="102"/>
      <c r="W96" s="102"/>
      <c r="X96" s="102"/>
      <c r="Y96" s="102"/>
      <c r="Z96" s="102"/>
      <c r="AA96" s="102"/>
      <c r="AB96" s="102"/>
      <c r="AC96" s="101" t="s">
        <v>71</v>
      </c>
      <c r="AD96" s="101"/>
      <c r="AE96" s="101"/>
      <c r="AF96" s="101"/>
      <c r="AG96" s="101"/>
      <c r="AH96" s="101"/>
      <c r="AI96" s="101"/>
      <c r="AJ96" s="101"/>
      <c r="AK96" s="101"/>
      <c r="AL96" s="101"/>
      <c r="AM96" s="101"/>
      <c r="AN96" s="101"/>
      <c r="AP96" s="103" t="s">
        <v>73</v>
      </c>
      <c r="AQ96" s="103" t="s">
        <v>74</v>
      </c>
      <c r="AR96" s="103" t="s">
        <v>75</v>
      </c>
      <c r="AS96" s="103" t="s">
        <v>76</v>
      </c>
      <c r="AT96" s="103" t="s">
        <v>77</v>
      </c>
      <c r="AU96" s="103" t="s">
        <v>78</v>
      </c>
      <c r="AV96" s="103" t="s">
        <v>79</v>
      </c>
      <c r="AW96" s="103" t="s">
        <v>80</v>
      </c>
      <c r="AX96" s="103" t="s">
        <v>81</v>
      </c>
      <c r="AZ96" s="103" t="s">
        <v>105</v>
      </c>
      <c r="BA96" s="103" t="s">
        <v>91</v>
      </c>
      <c r="BB96" s="103" t="s">
        <v>93</v>
      </c>
      <c r="BC96" s="103" t="s">
        <v>94</v>
      </c>
      <c r="BD96" s="103" t="s">
        <v>95</v>
      </c>
      <c r="BE96" s="103" t="s">
        <v>96</v>
      </c>
      <c r="BF96" s="103" t="s">
        <v>97</v>
      </c>
    </row>
    <row r="97" spans="1:58" ht="45" hidden="1" outlineLevel="1" x14ac:dyDescent="0.25">
      <c r="A97" s="70" t="s">
        <v>40</v>
      </c>
      <c r="B97" s="70" t="s">
        <v>41</v>
      </c>
      <c r="C97" s="70" t="s">
        <v>53</v>
      </c>
      <c r="D97" s="70" t="s">
        <v>48</v>
      </c>
      <c r="E97" s="70" t="s">
        <v>42</v>
      </c>
      <c r="F97" s="76" t="s">
        <v>49</v>
      </c>
      <c r="G97" s="71" t="s">
        <v>51</v>
      </c>
      <c r="H97" s="71" t="s">
        <v>52</v>
      </c>
      <c r="I97" s="72" t="s">
        <v>51</v>
      </c>
      <c r="J97" s="72" t="s">
        <v>52</v>
      </c>
      <c r="K97" s="77" t="s">
        <v>51</v>
      </c>
      <c r="L97" s="77" t="s">
        <v>52</v>
      </c>
      <c r="M97" s="72" t="s">
        <v>51</v>
      </c>
      <c r="N97" s="72" t="s">
        <v>52</v>
      </c>
      <c r="Q97" s="102">
        <v>1</v>
      </c>
      <c r="R97" s="102">
        <v>2</v>
      </c>
      <c r="S97" s="102">
        <v>3</v>
      </c>
      <c r="T97" s="102">
        <v>4</v>
      </c>
      <c r="U97" s="102">
        <v>5</v>
      </c>
      <c r="V97" s="102">
        <v>6</v>
      </c>
      <c r="W97" s="102">
        <v>7</v>
      </c>
      <c r="X97" s="102">
        <v>8</v>
      </c>
      <c r="Y97" s="102">
        <v>9</v>
      </c>
      <c r="Z97" s="102">
        <v>10</v>
      </c>
      <c r="AA97" s="102">
        <v>11</v>
      </c>
      <c r="AB97" s="102">
        <v>12</v>
      </c>
      <c r="AC97" s="101">
        <v>1</v>
      </c>
      <c r="AD97" s="101">
        <v>2</v>
      </c>
      <c r="AE97" s="101">
        <v>3</v>
      </c>
      <c r="AF97" s="101">
        <v>4</v>
      </c>
      <c r="AG97" s="101">
        <v>5</v>
      </c>
      <c r="AH97" s="101">
        <v>6</v>
      </c>
      <c r="AI97" s="101">
        <v>7</v>
      </c>
      <c r="AJ97" s="101">
        <v>8</v>
      </c>
      <c r="AK97" s="101">
        <v>9</v>
      </c>
      <c r="AL97" s="101">
        <v>10</v>
      </c>
      <c r="AM97" s="101">
        <v>11</v>
      </c>
      <c r="AN97" s="101">
        <v>12</v>
      </c>
      <c r="AP97" s="103" t="e">
        <f>((TP-H_1-((TP-H_1-(H_1*hnh)-(TP*TCv*tCo4_1*VE))*H_2/(TP-H_1-(H_1*hnh)))-(H_1*hnh)-((TP-H_1-(H_1*hnh)-(TP*TCv*tCo4_1*VE))*H_2*hnh/(TP-H_1-(H_1*hnh)))-(TP*TCv*tCo4_1*VE)-(TP*TCv*tCo4_2*VE))*(H_3/(TP-H_1-H_2-(hnh*(H_1+H_2)))))</f>
        <v>#DIV/0!</v>
      </c>
      <c r="AQ97" s="103" t="e">
        <f>(TP-H_1-((TP-H_1-(H_1*hnh)-(TP*TCv*tCo4_1*VE))*H_2/(TP-H_1-(H_1*hnh)))-AP97-(H_1*hnh)-((TP-H_1-(H_1*hnh)-(TP*TCv*tCo4_1*VE))*H_2*hnh/(TP-H_1-(H_1*hnh)))-AP99-(TP*TCv*tCo4_1*VE)-(TP*TCv*tCo4_2*VE)-(TP*TCv*tCo4_3*VE))*(H_4/(TP-H_1-H_2-H_3-(hnh*(H_1+H_2+H_3))))</f>
        <v>#DIV/0!</v>
      </c>
      <c r="AR97" s="103" t="e">
        <f>(TP-H_1-((TP-H_1-(H_1*hnh)-(TP*TCv*tCo4_1*VE))*H_2/(TP-H_1-(H_1*hnh)))-AP97-AQ97-(H_1*hnh)-((TP-H_1-(H_1*hnh)-(TP*TCv*tCo4_1*VE))*H_2*hnh/(TP-H_1-(H_1*hnh)))-AP99-AQ99-(TP*TCv*tCo4_1*VE)-(TP*TCv*tCo4_2*VE)-(TP*TCv*tCo4_3*VE)-(TP*TCv*tCo4_4*VE))*(H_5/(TP-H_1-H_2-H_3-H_4-(hnh*(H_1+H_2+H_3+H_4))))</f>
        <v>#DIV/0!</v>
      </c>
      <c r="AS97" s="103" t="e">
        <f>(TP-H_1-((TP-H_1-(H_1*hnh)-(TP*TCv*tCo4_1*VE))*H_2/(TP-H_1-(H_1*hnh)))-AP97-AQ97-AR97-(H_1*hnh)-((TP-H_1-(H_1*hnh)-(TP*TCv*tCo4_1*VE))*H_2*hnh/(TP-H_1-(H_1*hnh)))-AP99-AQ99-AR99-(TP*TCv*tCo4_1*VE)-(TP*TCv*tCo4_2*VE)-(TP*TCv*tCo4_3*VE)-(TP*TCv*tCo4_4*VE)-(TP*TCv*tCo4_5*VE))*(H_6/(TP-H_1-H_2-H_3-H_4-H_5-(hnh*(H_1+H_2+H_3+H_4+H_5))))</f>
        <v>#DIV/0!</v>
      </c>
      <c r="AT97" s="103" t="e">
        <f>(TP-H_1-((TP-H_1-(H_1*hnh)-(TP*TCv*tCo4_1*VE))*H_2/(TP-H_1-(H_1*hnh)))-AP97-AQ97-AR97-AS97-(H_1*hnh)-((TP-H_1-(H_1*hnh)-(TP*TCv*tCo4_1*VE))*H_2*hnh/(TP-H_1-(H_1*hnh)))-AP99-AQ99-AR99-AS99-(TP*TCv*tCo4_1*VE)-(TP*TCv*tCo4_2*VE)-(TP*TCv*tCo4_3*VE)-(TP*TCv*tCo4_4*VE)-(TP*TCv*tCo4_5*VE)-(TP*TCv*tCo4_6*VE))*(H_7/(TP-H_1-H_2-H_3-H_4-H_5-H_6-(hnh*(H_1+H_2+H_3+H_4+H_5+H_6))))</f>
        <v>#DIV/0!</v>
      </c>
      <c r="AU97" s="103" t="e">
        <f>(TP-H_1-((TP-H_1-(H_1*hnh)-(TP*TCv*tCo4_1*VE))*H_2/(TP-H_1-(H_1*hnh)))-AP97-AQ97-AR97-AS97-AT97-(H_1*hnh)-((TP-H_1-(H_1*hnh)-(TP*TCv*tCo4_1*VE))*H_2*hnh/(TP-H_1-(H_1*hnh)))-AP99-AQ99-AR99-AS99-AT99-(TP*TCv*tCo4_1*VE)-(TP*TCv*tCo4_2*VE)-(TP*TCv*tCo4_3*VE)-(TP*TCv*tCo4_4*VE)-(TP*TCv*tCo4_5*VE)-(TP*TCv*tCo4_6*VE)-(TP*TCv*tCo4_7*VE))*(H_8/(TP-H_1-H_2-H_3-H_4-H_5-H_6-H_7-(hnh*(H_1+H_2+H_3+H_4+H_5+H_6+H_7))))</f>
        <v>#DIV/0!</v>
      </c>
      <c r="AV97" s="103" t="e">
        <f>(TP-H_1-((TP-H_1-(H_1*hnh)-(TP*TCv*tCo4_1*VE))*H_2/(TP-H_1-(H_1*hnh)))-AP97-AQ97-AR97-AS97-AT97-AU97-(H_1*hnh)-((TP-H_1-(H_1*hnh)-(TP*TCv*tCo4_1*VE))*H_2*hnh/(TP-H_1-(H_1*hnh)))-AP99-AQ99-AR99-AS99-AT99-AU99-(TP*TCv*tCo4_1*VE)-(TP*TCv*tCo4_2*VE)-(TP*TCv*tCo4_3*VE)-(TP*TCv*tCo4_4*VE)-(TP*TCv*tCo4_5*VE)-(TP*TCv*tCo4_6*VE)-(TP*TCv*tCo4_7*VE)-(TP*TCv*tCo4_8*VE))*(H_9/(TP-H_1-H_2-H_3-H_4-H_5-H_6-H_7-H_8-(hnh*(H_1+H_2+H_3+H_4+H_5+H_6+H_7+H_8))))</f>
        <v>#DIV/0!</v>
      </c>
      <c r="AW97" s="103" t="e">
        <f>(TP-H_1-((TP-H_1-(H_1*hnh)-(TP*TCv*tCo4_1*VE))*H_2/(TP-H_1-(H_1*hnh)))-AP97-AQ97-AR97-AS97-AT97-AU97-AV97-(H_1*hnh)-((TP-H_1-(H_1*hnh)-(TP*TCv*tCo4_1*VE))*H_2*hnh/(TP-H_1-(H_1*hnh)))-AP99-AQ99-AR99-AS99-AT99-AU99-AV99-(TP*TCv*tCo4_1*VE)-(TP*TCv*tCo4_2*VE)-(TP*TCv*tCo4_3*VE)-(TP*TCv*tCo4_4*VE)-(TP*TCv*tCo4_5*VE)-(TP*TCv*tCo4_6*VE)-(TP*TCv*tCo4_7*VE)-(TP*TCv*tCo4_8*VE)-(TP*TCv*tCo4_9*VE))*(H_10/(TP-H_1-H_2-H_3-H_4-H_5-H_6-H_7-H_8-H_9-(hnh*(H_1+H_2+H_3+H_4+H_5+H_6+H_7+H_8+H_9))))</f>
        <v>#DIV/0!</v>
      </c>
      <c r="AX97" s="103" t="e">
        <f>(TP-H_1-((TP-H_1-(H_1*hnh)-(TP*TCv*tCo4_1*VE))*H_2/(TP-H_1-(H_1*hnh)))-AP97-AQ97-AR97-AS97-AT97-AU97-AV97-AW97-(H_1*hnh)-((TP-H_1-(H_1*hnh)-(TP*TCv*tCo4_1*VE))*H_2*hnh/(TP-H_1-(H_1*hnh)))-AP99-AQ99-AR99-AS99-AT99-AU99-AV99-AW99-(TP*TCv*tCo4_1*VE)-(TP*TCv*tCo4_2*VE)-(TP*TCv*tCo4_3*VE)-(TP*TCv*tCo4_4*VE)-(TP*TCv*tCo4_5*VE)-(TP*TCv*tCo4_6*VE)-(TP*TCv*tCo4_7*VE)-(TP*TCv*tCo4_8*VE)-(TP*TCv*tCo4_9*VE)-(TP*TCv*tCo4_10*VE))*(H_11/(TP-H_1-H_2-H_3-H_4-H_5-H_6-H_7-H_8-H_9-H_10-(hnh*(H_1+H_2+H_3+H_4+H_5+H_6+H_7+H_8+H_9+H_10))))</f>
        <v>#DIV/0!</v>
      </c>
      <c r="AZ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H_5/(TP-H_1-H_2-H_3-H_4-(hnh*(H_1+H_2+H_3+H_4))-(TP*VE*(TCv*tCo4_1+TCv*tCo4_2+TCv*tCo4_3+TCv*tCo4_4)))</f>
        <v>#DIV/0!</v>
      </c>
      <c r="BA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H_6/(TP-H_1-H_2-H_3-H_4-H_5-(hnh*(H_1+H_2+H_3+H_4+H_5))-(TP*VE*(TCv*tCo4_1+TCv*tCo4_2+TCv*tCo4_3+TCv*tCo4_4+TCv*tCo4_5)))</f>
        <v>#DIV/0!</v>
      </c>
      <c r="BB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H_7/(TP-H_1-H_2-H_3-H_4-H_5-H_6-(hnh*(H_1+H_2+H_3+H_4+H_5+H_6))-(TP*VE*(TCv*tCo4_1+TCv*tCo4_2+TCv*tCo4_3+TCv*tCo4_4+TCv*tCo4_5+TCv*tCo4_6)))</f>
        <v>#DIV/0!</v>
      </c>
      <c r="BC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H_8/(TP-H_1-H_2-H_3-H_4-H_5-H_6-H_7-(hnh*(H_1+H_2+H_3+H_4+H_5+H_6+H_7))-(TP*VE*(TCv*tCo4_1+TCv*tCo4_2+TCv*tCo4_3+TCv*tCo4_4+TCv*tCo4_5+TCv*tCo4_6+TCv*tCo4_7)))</f>
        <v>#DIV/0!</v>
      </c>
      <c r="BD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H_9/(TP-H_1-H_2-H_3-H_4-H_5-H_6-H_7-H_8-(hnh*(H_1+H_2+H_3+H_4+H_5+H_6+H_7+H_8))-(TP*VE*(TCv*tCo4_1+TCv*tCo4_2+TCv*tCo4_3+TCv*tCo4_4+TCv*tCo4_5+TCv*tCo4_6+TCv*tCo4_7+TCv*tCo4_8)))</f>
        <v>#DIV/0!</v>
      </c>
      <c r="BE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H_10/(TP-H_1-H_2-H_3-H_4-H_5-H_6-H_7-H_8-H_9-(hnh*(H_1+H_2+H_3+H_4+H_5+H_6+H_7+H_8+H_9))-(TP*VE*(TCv*tCo4_1+TCv*tCo4_2+TCv*tCo4_3+TCv*tCo4_4+TCv*tCo4_5+TCv*tCo4_6+TCv*tCo4_7+TCv*tCo4_8+TCv*tCo4_9)))</f>
        <v>#DIV/0!</v>
      </c>
      <c r="BF97"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H_11/(TP-H_1-H_2-H_3-H_4-H_5-H_6-H_7-H_8-H_9-H_10-(hnh*(H_1+H_2+H_3+H_4+H_5+H_6+H_7+H_8+H_9+H_10))-(TP*VE*(TCv*tCo4_1+TCv*tCo4_2+TCv*tCo4_3+TCv*tCo4_4+TCv*tCo4_5+TCv*tCo4_6+TCv*tCo4_7+TCv*tCo4_8+TCv*tCo4_9+TCv*tCo4_10)))</f>
        <v>#DIV/0!</v>
      </c>
    </row>
    <row r="98" spans="1:58" hidden="1" outlineLevel="1" x14ac:dyDescent="0.25">
      <c r="A98" s="73">
        <f>season</f>
        <v>0</v>
      </c>
      <c r="B98" s="73">
        <f>TG</f>
        <v>0</v>
      </c>
      <c r="C98" s="73">
        <f>TP</f>
        <v>0</v>
      </c>
      <c r="D98" s="74">
        <f>TCv</f>
        <v>0</v>
      </c>
      <c r="E98" s="75">
        <f>VE</f>
        <v>0</v>
      </c>
      <c r="F98" s="78" t="e">
        <f>G98/IF(mb=1,SUM(AC98:AN98),IF(mb=2,SUM(AD98:AN98),IF(mb=3,SUM(AE98:AN98),IF(mb=4,SUM(AF98:AN98),IF(mb=5,SUM(AG98:AN98),IF(mb=6,SUM(AH98:AN98),IF(mb=7,SUM(AI98:AN98),IF(mb=8,SUM(AJ98:AN98),0))))))))</f>
        <v>#DIV/0!</v>
      </c>
      <c r="G98" s="42">
        <f>IF(mb=1,SUM(AC98:AN98)-SUM(Q98:AB98),IF(mb=2,SUM(AD98:AN98)-SUM(R98:AB98),IF(mb=3,SUM(AE98:AN98)-SUM(S98:AB98),IF(mb=4,SUM(AF98:AN98)-SUM(T98:AB98),IF(mb=5,SUM(AG98:AN98)-SUM(U98:AB98),IF(mb=6,SUM(AH98:AN98)-SUM(V98:AB98),IF(mb=7,SUM(AI98:AN98)-SUM(W98:AB98),IF(mb=8,SUM(AJ98:AN98)-SUM(X98:AB98),0))))))))</f>
        <v>0</v>
      </c>
      <c r="H98" s="96" t="e">
        <f>1/(VE*IF(mb=1,SUM(AC98:AN98),IF(mb=2,SUM(AD98:AN98),IF(mb=3,SUM(AE98:AN98),IF(mb=4,SUM(AF98:AN98),IF(mb=5,SUM(AG98:AN98),IF(mb=6,SUM(AH98:AN98),IF(mb=7,SUM(AI98:AN98),IF(mb=8,SUM(AJ98:AN98),0))))))))/TP)</f>
        <v>#DIV/0!</v>
      </c>
      <c r="I98" s="93" t="e">
        <f>G98/hnh</f>
        <v>#DIV/0!</v>
      </c>
      <c r="J98" s="42" t="e">
        <f>1/(VE*IF(mb=1,SUM(AC98:AN98),IF(mb=2,SUM(AD98:AN98),IF(mb=3,SUM(AE98:AN98),IF(mb=4,SUM(AF98:AN98),IF(mb=5,SUM(AG98:AN98),IF(mb=6,SUM(AH98:AN98),IF(mb=7,SUM(AI98:AN98),IF(mb=8,SUM(AJ98:AN98),0))))))))/(TP*hnh))</f>
        <v>#DIV/0!</v>
      </c>
      <c r="K98" s="42" t="e">
        <f>M98*mai</f>
        <v>#DIV/0!</v>
      </c>
      <c r="L98" s="42" t="e">
        <f>1/(VE*((IF(mb=1,SUM(AC98:AN98),IF(mb=2,SUM(AD98:AN98),IF(mb=3,SUM(AE98:AN98),IF(mb=4,SUM(AF98:AN98),IF(mb=5,SUM(AG98:AN98),IF(mb=6,SUM(AH98:AN98),IF(mb=7,SUM(AI98:AN98),IF(mb=8,SUM(AJ98:AN98),0))))))))+(IF(mb=1,SUM(AC98:AN98),IF(mb=2,SUM(AD98:AN98),IF(mb=3,SUM(AE98:AN98),IF(mb=4,SUM(AF98:AN98),IF(mb=5,SUM(AG98:AN98),IF(mb=6,SUM(AH98:AN98),IF(mb=7,SUM(AI98:AN98),IF(mb=8,SUM(AJ98:AN98),0)))))))))/hnh)*mai)/TP)</f>
        <v>#DIV/0!</v>
      </c>
      <c r="M98" s="42" t="e">
        <f>G98+I98</f>
        <v>#DIV/0!</v>
      </c>
      <c r="N98" s="42" t="e">
        <f>1/(VE*(IF(mb=1,SUM(AC98:AN98),IF(mb=2,SUM(AD98:AN98),IF(mb=3,SUM(AE98:AN98),IF(mb=4,SUM(AF98:AN98),IF(mb=5,SUM(AG98:AN98),IF(mb=6,SUM(AH98:AN98),IF(mb=7,SUM(AI98:AN98),IF(mb=8,SUM(AJ98:AN98),0))))))))+(IF(mb=1,SUM(AC98:AN98),IF(mb=2,SUM(AD98:AN98),IF(mb=3,SUM(AE98:AN98),IF(mb=4,SUM(AF98:AN98),IF(mb=5,SUM(AG98:AN98),IF(mb=6,SUM(AH98:AN98),IF(mb=7,SUM(AI98:AN98),IF(mb=8,SUM(AJ98:AN98),0)))))))))/hnh)/TP)</f>
        <v>#DIV/0!</v>
      </c>
      <c r="Q98" s="86" t="e">
        <f>IF(ISc=1,nh1_1,IF(ISc=2,H_1*hnh,0))</f>
        <v>#DIV/0!</v>
      </c>
      <c r="R98" s="111" t="e">
        <f>IF(ScI=1,((nh1_2/(TP-(nh1_1/hnh)-nh1_1))*(TP-(nh1_1/hnh)-nh1_1-(TP*TCv*tCo4_1*VE))),IF(ScI=2,(TP-H_1-(H_1*hnh)-(TP*TCv*tCo4_1*VE))*(H_2*hnh/(TP-H_1-(H_1*hnh))),"fal"))</f>
        <v>#DIV/0!</v>
      </c>
      <c r="S98" s="137" t="e">
        <f>IF(ScI=1,(nh1_3/(TP-((nh1_1+nh1_2)/hnh)-nh1_1-nh1_2))*(TP-(nh1_1/hnh)-(R98/hnh)-nh1_1-R98-(TP*VE*(TCv*tCo4_1+TCv*tCo4_2))),IF(ScI=2,(TP-H_1-((TP-H_1-(H_1*hnh)-(TP*TCv*tCo4_1*VE))*H_2/(TP-H_1-(H_1*hnh)))-(H_1*hnh)-((TP-H_1-(H_1*hnh)-(TP*TCv*tCo4_1*VE))*H_2*hnh/(TP-H_1-(H_1*hnh)))-(TP*TCv*tCo4_1*VE)-(TP*TCv*tCo4_2*VE))*(H_3*hnh/(TP-H_1-H_2-(hnh*(H_1+H_2)))),0))</f>
        <v>#DIV/0!</v>
      </c>
      <c r="T98" s="86" t="e">
        <f>IF(ScI=1,(nh1_4/(TP-(nh1_1/hnh)-(nh1_2/hnh)-(nh1_3/hnh)-nh1_1-nh1_2-nh1_3))*(TP-(nh1_1/hnh)-(R98/hnh)-(S98/hnh)-nh1_1-R98-S98-(TP*VE*(TCv*tCo4_1+TCv*tCo4_2+TCv*tCo4_3))),IF(ScI=2,(TP-H_1-((TP-H_1-(H_1*hnh)-(TP*TCv*tCo4_1*VE))*H_2/(TP-H_1-(H_1*hnh)))-((TP-H_1-(((TP-H_1-(H_1*hnh)-(TP*TCv*tCo4_1*VE))*H_2/(TP-H_1-(H_1*hnh))))-(H_1*hnh)-((TP-H_1-(H_1*hnh)-(TP*TCv*tCo4_1*VE))*H_2*hnh/(TP-H_1-(H_1*hnh)))-(TP*TCv*tCo4_1*VE)-(TP*TCv*tCo4_2*VE))*(H_3/(TP-H_1-H_2-(hnh*(H_1+H_2)))))-(H_1*hnh)-((TP-H_1-(H_1*hnh)-(TP*TCv*tCo4_1*VE))*H_2*hnh/(TP-H_1-(H_1*hnh)))-((TP-H_1-(((TP-H_1-(H_1*hnh)-(TP*TCv*tCo4_1*VE))*H_2/(TP-H_1-(H_1*hnh))))-(H_1*hnh)-(((TP-H_1-(H_1*hnh)-(TP*TCv*tCo4_1*VE))*H_2*hnh/(TP-H_1-(H_1*hnh))))-(TP*TCv*tCo4_1*VE)-(TP*TCv*tCo4_2*VE))*(H_3*hnh/(TP-H_1-H_2-(hnh*(H_1+H_2)))))-(TP*TCv*tCo4_1*VE)-(TP*TCv*tCo4_2*VE)-(TP*TCv*tCo4_3*VE))*(H_4*hnh/(TP-H_1-H_2-H_3-(hnh*(H_1+H_2+H_3)))),0))</f>
        <v>#DIV/0!</v>
      </c>
      <c r="U98" s="86" t="e">
        <f>IF(ScI=1,(nh1_5/(TP-(nh1_1/hnh)-(nh1_2/hnh)-(nh1_3/hnh)-(nh1_4/hnh)-nh1_1-nh1_2-nh1_3-nh1_4))*(TP-(nh1_1/hnh)-(R98/hnh)-(S98/hnh)-(T98/hnh)-nh1_1-R98-S98-T98-(TP*VE*(TCv*tCo4_1+TCv*tCo4_2+TCv*tCo4_3+TCv*tCo4_4))),IF(ScI=2,(TP-H_1-(((TP-H_1-(H_1*hnh)-(TP*TCv*tCo4_1*VE))*H_2/(TP-H_1-(H_1*hnh))))-AP97-AQ97-(H_1*hnh)-((TP-H_1-(H_1*hnh)-(TP*TCv*tCo4_1*VE))*H_2*hnh/(TP-H_1-(H_1*hnh)))-AP99-AQ99-(TP*TCv*tCo4_1*VE)-(TP*TCv*tCo4_2*VE)-(TP*TCv*tCo4_3*VE)-(TP*TCv*tCo4_4*VE))*(H_5*hnh/(TP-H_1-H_2-H_3-H_4-(hnh*(H_1+H_2+H_3+H_4)))),0))</f>
        <v>#DIV/0!</v>
      </c>
      <c r="V98" s="86" t="e">
        <f>IF(ScI=1,(nh1_6/(TP-(nh1_1/hnh)-(nh1_2/hnh)-(nh1_3/hnh)-(nh1_4/hnh)-(nh1_5/hnh)-nh1_1-nh1_2-nh1_3-nh1_4-nh1_5))*(TP-(nh1_1/hnh)-(R98/hnh)-(S98/hnh)-(T98/hnh)-(U98/hnh)-nh1_1-R98-S98-T98-U98-(TP*VE*(TCv*tCo4_1+TCv*tCo4_2+TCv*tCo4_3+TCv*tCo4_4+TCv*tCo4_5))),IF(ScI=2,(TP-H_1-((TP-H_1-(H_1*hnh)-(TP*TCv*tCo4_1*VE))*H_2/(TP-H_1-(H_1*hnh)))-AP97-AQ97-AR97-(H_1*hnh)-((TP-H_1-(H_1*hnh)-(TP*TCv*tCo4_1*VE))*H_2*hnh/(TP-H_1-(H_1*hnh)))-AP99-AQ99-AR99-(TP*TCv*tCo4_1*VE)-(TP*TCv*tCo4_2*VE)-(TP*TCv*tCo4_3*VE)-(TP*TCv*tCo4_4*VE)-(TP*TCv*tCo4_5*VE))*(H_6*hnh/(TP-H_1-H_2-H_3-H_4-H_5-(hnh*(H_1+H_2+H_3+H_4+H_5)))),0))</f>
        <v>#DIV/0!</v>
      </c>
      <c r="W98" s="86" t="e">
        <f>IF(ScI=1,(nh1_7/(TP-(nh1_1/hnh)-(nh1_2/hnh)-(nh1_3/hnh)-(nh1_4/hnh)-(nh1_5/hnh)-(nh1_6/hnh)-nh1_1-nh1_2-nh1_3-nh1_4-nh1_5-nh1_6))*(TP-(nh1_1/hnh)-(R98/hnh)-(S98/hnh)-(T98/hnh)-(U98/hnh)-(V98/hnh)-nh1_1-R98-S98-T98-U98-V98-(TP*VE*(TCv*tCo4_1+TCv*tCo4_2+TCv*tCo4_3+TCv*tCo4_4+TCv*tCo4_5+TCv*tCo4_6))),IF(ScI=2,(TP-H_1-((TP-H_1-(H_1*hnh)-(TP*TCv*tCo4_1*VE))*H_2/(TP-H_1-(H_1*hnh)))-AP97-AQ97-AR97-AS97-(H_1*hnh)-((TP-H_1-(H_1*hnh)-(TP*TCv*tCo4_1*VE))*H_2*hnh/(TP-H_1-(H_1*hnh)))-AP99-AQ99-AR99-AS99-(TP*TCv*tCo4_1*VE)-(TP*TCv*tCo4_2*VE)-(TP*TCv*tCo4_3*VE)-(TP*TCv*tCo4_4*VE)-(TP*TCv*tCo4_5*VE)-(TP*TCv*tCo4_6*VE))*(H_7*hnh/(TP-H_1-H_2-H_3-H_4-H_5-H_6-(hnh*(H_1+H_2+H_3+H_4+H_5+H_6)))),0))</f>
        <v>#DIV/0!</v>
      </c>
      <c r="X98" s="86" t="e">
        <f>IF(ScI=1,(nh1_8/(TP-(nh1_1/hnh)-(nh1_2/hnh)-(nh1_3/hnh)-(nh1_4/hnh)-(nh1_5/hnh)-(nh1_6/hnh)-(nh1_7/hnh)-nh1_1-nh1_2-nh1_3-nh1_4-nh1_5-nh1_6-nh1_7))*(TP-(nh1_1/hnh)-(R98/hnh)-(S98/hnh)-(T98/hnh)-(U98/hnh)-(V98/hnh)-(W98/hnh)-nh1_1-R98-S98-T98-U98-V98-W98-(TP*VE*(TCv*tCo4_1+TCv*tCo4_2+TCv*tCo4_3+TCv*tCo4_4+TCv*tCo4_5+TCv*tCo4_6+TCv*tCo4_7))),IF(ScI=2,(TP-H_1-((TP-H_1-(H_1*hnh)-(TP*TCv*tCo4_1*VE))*H_2/(TP-H_1-(H_1*hnh)))-AP97-AQ97-AR97-AS97-AT97-(H_1*hnh)-((TP-H_1-(H_1*hnh)-(TP*TCv*tCo4_1*VE))*H_2*hnh/(TP-H_1-(H_1*hnh)))-AP99-AQ99-AR99-AS99-AT99-(TP*TCv*tCo4_1*VE)-(TP*TCv*tCo4_2*VE)-(TP*TCv*tCo4_3*VE)-(TP*TCv*tCo4_4*VE)-(TP*TCv*tCo4_5*VE)-(TP*TCv*tCo4_6*VE)-(TP*TCv*tCo4_7*VE))*(H_8*hnh/(TP-H_1-H_2-H_3-H_4-H_5-H_6-H_7-(hnh*(H_1+H_2+H_3+H_4+H_5+H_6+H_7)))),0))</f>
        <v>#DIV/0!</v>
      </c>
      <c r="Y98" s="86" t="e">
        <f>IF(ScI=1,(nh1_9/(TP-(nh1_1/hnh)-(nh1_2/hnh)-(nh1_3/hnh)-(nh1_4/hnh)-(nh1_5/hnh)-(nh1_6/hnh)-(nh1_7/hnh)-(nh1_8/hnh)-nh1_1-nh1_2-nh1_3-nh1_4-nh1_5-nh1_6-nh1_7-nh1_8))*(TP-(nh1_1/hnh)-(R98/hnh)-(S98/hnh)-(T98/hnh)-(U98/hnh)-(V98/hnh)-(W98/hnh)-(X98/hnh)-nh1_1-R98-S98-T98-U98-V98-W98-X98-(TP*VE*(TCv*tCo4_1+TCv*tCo4_2+TCv*tCo4_3+TCv*tCo4_4+TCv*tCo4_5+TCv*tCo4_6+TCv*tCo4_7+TCv*tCo4_8))),IF(ScI=2,(TP-H_1-((TP-H_1-(H_1*hnh)-(TP*TCv*tCo4_1*VE))*H_2/(TP-H_1-(H_1*hnh)))-AP97-AQ97-AR97-AS97-AT97-AU97-(H_1*hnh)-((TP-H_1-(H_1*hnh)-(TP*TCv*tCo4_1*VE))*H_2*hnh/(TP-H_1-(H_1*hnh)))-AP99-AQ99-AR99-AS99-AT99-AU99-(TP*TCv*tCo4_1*VE)-(TP*TCv*tCo4_2*VE)-(TP*TCv*tCo4_3*VE)-(TP*TCv*tCo4_4*VE)-(TP*TCv*tCo4_5*VE)-(TP*TCv*tCo4_6*VE)-(TP*TCv*tCo4_7*VE)-(TP*TCv*tCo4_8*VE))*(H_9*hnh/(TP-H_1-H_2-H_3-H_4-H_5-H_6-H_7-H_8-(hnh*(H_1+H_2+H_3+H_4+H_5+H_6+H_7+H_8)))),0))</f>
        <v>#DIV/0!</v>
      </c>
      <c r="Z98" s="86" t="e">
        <f>IF(ScI=1,(nh1_10/(TP-(nh1_1/hnh)-(nh1_2/hnh)-(nh1_3/hnh)-(nh1_4/hnh)-(nh1_5/hnh)-(nh1_6/hnh)-(nh1_7/hnh)-(nh1_8/hnh)-(nh1_9/hnh)-nh1_1-nh1_2-nh1_3-nh1_4-nh1_5-nh1_6-nh1_7-nh1_8-nh1_9))*(TP-(nh1_1/hnh)-(R98/hnh)-(S98/hnh)-(T98/hnh)-(U98/hnh)-(V98/hnh)-(W98/hnh)-(X98/hnh)-(Y98/hnh)-nh1_1-R98-S98-T98-U98-V98-W98-X98-Y98-(TP*VE*(TCv*tCo4_1+TCv*tCo4_2+TCv*tCo4_3+TCv*tCo4_4+TCv*tCo4_5+TCv*tCo4_6+TCv*tCo4_7+TCv*tCo4_8+TCv*tCo4_9))),IF(ScI=2,(TP-H_1-((TP-H_1-(H_1*hnh)-(TP*TCv*tCo4_1*VE))*H_2/(TP-H_1-(H_1*hnh)))-AP97-AQ97-AR97-AS97-AT97-AU97-AV97-(H_1*hnh)-((TP-H_1-(H_1*hnh)-(TP*TCv*tCo4_1*VE))*H_2*hnh/(TP-H_1-(H_1*hnh)))-AP99-AQ99-AR99-AS99-AT99-AU99-AV99-(TP*TCv*tCo4_1*VE)-(TP*TCv*tCo4_2*VE)-(TP*TCv*tCo4_3*VE)-(TP*TCv*tCo4_4*VE)-(TP*TCv*tCo4_5*VE)-(TP*TCv*tCo4_6*VE)-(TP*TCv*tCo4_7*VE)-(TP*TCv*tCo4_8*VE)-(TP*TCv*tCo4_9*VE))*(H_10*hnh/(TP-H_1-H_2-H_3-H_4-H_5-H_6-H_7-H_8-H_9-(hnh*(H_1+H_2+H_3+H_4+H_5+H_6+H_7+H_8+H_9)))),0))</f>
        <v>#DIV/0!</v>
      </c>
      <c r="AA98" s="86" t="e">
        <f>IF(ScI=1,(nh1_11/(TP-(nh1_1/hnh)-(nh1_2/hnh)-(nh1_3/hnh)-(nh1_4/hnh)-(nh1_5/hnh)-(nh1_6/hnh)-(nh1_7/hnh)-(nh1_8/hnh)-(nh1_9/hnh)-(nh1_10/hnh)-nh1_1-nh1_2-nh1_3-nh1_4-nh1_5-nh1_6-nh1_7-nh1_8-nh1_9-nh1_10))*(TP-(nh1_1/hnh)-(R98/hnh)-(S98/hnh)-(T98/hnh)-(U98/hnh)-(V98/hnh)-(W98/hnh)-(X98/hnh)-(Y98/hnh)-(Z98/hnh)-nh1_1-R98-S98-T98-U98-V98-W98-X98-Y98-Z98-(TP*VE*(TCv*tCo4_1+TCv*tCo4_2+TCv*tCo4_3+TCv*tCo4_4+TCv*tCo4_5+TCv*tCo4_6+TCv*tCo4_7+TCv*tCo4_8+TCv*tCo4_9+TCv*tCo4_10))),IF(ScI=2,(TP-H_1-((TP-H_1-(H_1*hnh)-(TP*TCv*tCo4_1*VE))*H_2/(TP-H_1-(H_1*hnh)))-AP97-AQ97-AR97-AS97-AT97-AU97-AV97-AW97-(H_1*hnh)-((TP-H_1-(H_1*hnh)-(TP*TCv*tCo4_1*VE))*H_2*hnh/(TP-H_1-(H_1*hnh)))-AP99-AQ99-AR99-AS99-AT99-AU99-AV99-AW99-(TP*TCv*tCo4_1*VE)-(TP*TCv*tCo4_2*VE)-(TP*TCv*tCo4_3*VE)-(TP*TCv*tCo4_4*VE)-(TP*TCv*tCo4_5*VE)-(TP*TCv*tCo4_6*VE)-(TP*TCv*tCo4_7*VE)-(TP*TCv*tCo4_8*VE)-(TP*TCv*tCo4_9*VE)-(TP*TCv*tCo4_10*VE))*(H_11*hnh/(TP-H_1-H_2-H_3-H_4-H_5-H_6-H_7-H_8-H_9-H_10-(hnh*(H_1+H_2+H_3+H_4+H_5+H_6+H_7+H_8+H_9+H_10)))),0))</f>
        <v>#DIV/0!</v>
      </c>
      <c r="AB98" s="86" t="e">
        <f>IF(ScI=1,(nh1_12/(TP-(nh1_1/hnh)-(nh1_2/hnh)-(nh1_3/hnh)-(nh1_4/hnh)-(nh1_5/hnh)-(nh1_6/hnh)-(nh1_7/hnh)-(nh1_8/hnh)-(nh1_9/hnh)-(nh1_10/hnh)-(nh1_11/hnh)-nh1_1-nh1_2-nh1_3-nh1_4-nh1_5-nh1_6-nh1_7-nh1_8-nh1_9-nh1_10-nh1_11))*(TP-(nh1_1/hnh)-(R98/hnh)-(S98/hnh)-(T98/hnh)-(U98/hnh)-(V98/hnh)-(W98/hnh)-(X98/hnh)-(Y98/hnh)-(Z98/hnh)-(AA98/hnh)-nh1_1-R98-S98-T98-U98-V98-W98-X98-Y98-Z98-AA98-(TP*VE*(TCv*tCo4_1+TCv*tCo4_2+TCv*tCo4_3+TCv*tCo4_4+TCv*tCo4_5+TCv*tCo4_6+TCv*tCo4_7+TCv*tCo4_8+TCv*tCo4_9+TCv*tCo4_10+TCv*tCo4_11))),IF(ScI=2,(TP-H_1-((TP-H_1-(H_1*hnh)-(TP*TCv*tCo4_1*VE))*H_2/(TP-H_1-(H_1*hnh)))-AP97-AQ97-AR97-AS97-AT97-AU97-AV97-AW97-AX97-(H_1*hnh)-((TP-H_1-(H_1*hnh)-(TP*TCv*tCo4_1*VE))*H_2*hnh/(TP-H_1-(H_1*hnh)))-AP99-AQ99-AR99-AS99-AT99-AU99-AV99-AW99-AX99-(TP*TCv*tCo4_1*VE)-(TP*TCv*tCo4_2*VE)-(TP*TCv*tCo4_3*VE)-(TP*TCv*tCo4_4*VE)-(TP*TCv*tCo4_5*VE)-(TP*TCv*tCo4_6*VE)-(TP*TCv*tCo4_7*VE)-(TP*TCv*tCo4_8*VE)-(TP*TCv*tCo4_9*VE)-(TP*TCv*tCo4_10*VE)-(TP*TCv*tCo4_11*VE))*(H_12*hnh/(TP-H_1-H_2-H_3-H_4-H_5-H_6-H_7-H_8-H_9-H_10-H_11-(hnh*(H_1+H_2+H_3+H_4+H_5+H_6+H_7+H_8+H_9+H_10+H_11)))),0))</f>
        <v>#DIV/0!</v>
      </c>
      <c r="AC98" s="88">
        <f>IF(ScI=1,H_1*hnh,IF(ScI=2,H_1*hnh,0))</f>
        <v>0</v>
      </c>
      <c r="AD98" s="88" t="e">
        <f>IF(ScI=1,(TP-H_1-(H_1*hnh))*H_2*hnh/(TP-H_1-(H_1*hnh)-(TP*TCv*tCo4_1*VE)),IF(ScI=2,H_2*hnh,0))</f>
        <v>#DIV/0!</v>
      </c>
      <c r="AE98" s="88" t="e">
        <f>IF(ScI=1,(TP-H_1-((TP-H_1-(H_1*hnh))*H_2/(TP-H_1-(H_1*hnh)-(TP*TCv*tCo4_1*VE)))-(H_1*hnh)-((TP-H_1-(H_1*hnh))*H_2*hnh/(TP-H_1-(H_1*hnh)-(TP*TCv*tCo4_1*VE))))*H_3*hnh/(TP-H_1-H_2-(hnh*(H_1+H_2))-(TP*VE*(TCv*tCo4_1+TCv*tCo4_2))),IF(ScI=2,H_3*hnh,0))</f>
        <v>#DIV/0!</v>
      </c>
      <c r="AF98" s="88" t="e">
        <f>IF(ScI=1,(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IF(ScI=2,H_4*hnh,0))</f>
        <v>#DIV/0!</v>
      </c>
      <c r="AG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H_5*hnh/(TP-H_1-H_2-H_3-H_4-(hnh*(H_1+H_2+H_3+H_4))-(TP*VE*(TCv*tCo4_1+TCv*tCo4_2+TCv*tCo4_3+TCv*tCo4_4))),IF(ScI=2,H_5*hnh,0))</f>
        <v>#DIV/0!</v>
      </c>
      <c r="AH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H_6*hnh/(TP-H_1-H_2-H_3-H_4-H_5-(hnh*(H_1+H_2+H_3+H_4+H_5))-(TP*VE*(TCv*tCo4_1+TCv*tCo4_2+TCv*tCo4_3+TCv*tCo4_4+TCv*tCo4_5))),IF(ScI=2,H_6*hnh,0))</f>
        <v>#DIV/0!</v>
      </c>
      <c r="AI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H_7*hnh/(TP-H_1-H_2-H_3-H_4-H_5-H_6-(hnh*(H_1+H_2+H_3+H_4+H_5+H_6))-(TP*VE*(TCv*tCo4_1+TCv*tCo4_2+TCv*tCo4_3+TCv*tCo4_4+TCv*tCo4_5+TCv*tCo4_6))),IF(ScI=2,H_7*hnh,0))</f>
        <v>#DIV/0!</v>
      </c>
      <c r="AJ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H_8*hnh/(TP-H_1-H_2-H_3-H_4-H_5-H_6-H_7-(hnh*(H_1+H_2+H_3+H_4+H_5+H_6+H_7))-(TP*VE*(TCv*tCo4_1+TCv*tCo4_2+TCv*tCo4_3+TCv*tCo4_4+TCv*tCo4_5+TCv*tCo4_6+TCv*tCo4_7))),IF(ScI=2,H_8*hnh,0))</f>
        <v>#DIV/0!</v>
      </c>
      <c r="AK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H_9*hnh/(TP-H_1-H_2-H_3-H_4-H_5-H_6-H_7-H_8-(hnh*(H_1+H_2+H_3+H_4+H_5+H_6+H_7+H_8))-(TP*VE*(TCv*tCo4_1+TCv*tCo4_2+TCv*tCo4_3+TCv*tCo4_4+TCv*tCo4_5+TCv*tCo4_6+TCv*tCo4_7+TCv*tCo4_8))),IF(ScI=2,H_9*hnh,0))</f>
        <v>#DIV/0!</v>
      </c>
      <c r="AL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H_10*hnh/(TP-H_1-H_2-H_3-H_4-H_5-H_6-H_7-H_8-H_9-(hnh*(H_1+H_2+H_3+H_4+H_5+H_6+H_7+H_8+H_9))-(TP*VE*(TCv*tCo4_1+TCv*tCo4_2+TCv*tCo4_3+TCv*tCo4_4+TCv*tCo4_5+TCv*tCo4_6+TCv*tCo4_7+TCv*tCo4_8+TCv*tCo4_9))),IF(ScI=2,H_10*hnh,0))</f>
        <v>#DIV/0!</v>
      </c>
      <c r="AM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H_11*hnh/(TP-H_1-H_2-H_3-H_4-H_5-H_6-H_7-H_8-H_9-H_10-(hnh*(H_1+H_2+H_3+H_4+H_5+H_6+H_7+H_8+H_9+H_10))-(TP*VE*(TCv*tCo4_1+TCv*tCo4_2+TCv*tCo4_3+TCv*tCo4_4+TCv*tCo4_5+TCv*tCo4_6+TCv*tCo4_7+TCv*tCo4_8+TCv*tCo4_9+TCv*tCo4_10))),IF(ScI=2,H_11*hnh,0))</f>
        <v>#DIV/0!</v>
      </c>
      <c r="AN98" s="88" t="e">
        <f>IF(ScI=1,(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BF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BF99)*H_12*hnh/(TP-H_1-H_2-H_3-H_4-H_5-H_6-H_7-H_8-H_9-H_10-H_11-(hnh*(H_1+H_2+H_3+H_4+H_5+H_6+H_7+H_8+H_9+H_10+H_11))-(TP*VE*(TCv*tCo4_1+TCv*tCo4_2+TCv*tCo4_3+TCv*tCo4_4+TCv*tCo4_5+TCv*tCo4_6+TCv*tCo4_7+TCv*tCo4_8+TCv*tCo4_9+TCv*tCo4_10+TCv*tCo4_11))),IF(ScI=2,H_12*hnh,0))</f>
        <v>#DIV/0!</v>
      </c>
      <c r="AP98" s="103" t="s">
        <v>82</v>
      </c>
      <c r="AQ98" s="103" t="s">
        <v>83</v>
      </c>
      <c r="AR98" s="103" t="s">
        <v>84</v>
      </c>
      <c r="AS98" s="103" t="s">
        <v>85</v>
      </c>
      <c r="AT98" s="103" t="s">
        <v>86</v>
      </c>
      <c r="AU98" s="103" t="s">
        <v>87</v>
      </c>
      <c r="AV98" s="103" t="s">
        <v>88</v>
      </c>
      <c r="AW98" s="103" t="s">
        <v>89</v>
      </c>
      <c r="AX98" s="103" t="s">
        <v>90</v>
      </c>
      <c r="AZ98" s="103" t="s">
        <v>106</v>
      </c>
      <c r="BA98" s="103" t="s">
        <v>92</v>
      </c>
      <c r="BB98" s="103" t="s">
        <v>98</v>
      </c>
      <c r="BC98" s="103" t="s">
        <v>99</v>
      </c>
      <c r="BD98" s="103" t="s">
        <v>100</v>
      </c>
      <c r="BE98" s="103" t="s">
        <v>101</v>
      </c>
      <c r="BF98" s="103" t="s">
        <v>102</v>
      </c>
    </row>
    <row r="99" spans="1:58" hidden="1" outlineLevel="1" x14ac:dyDescent="0.25">
      <c r="F99" s="113"/>
      <c r="G99" s="31"/>
      <c r="H99" s="31"/>
      <c r="I99" s="31"/>
      <c r="J99" s="31"/>
      <c r="K99" s="31"/>
      <c r="L99" s="31"/>
      <c r="M99" s="31"/>
      <c r="N99" s="31"/>
      <c r="Q99" s="31"/>
      <c r="R99" s="97"/>
      <c r="S99" s="97"/>
      <c r="T99" s="97"/>
      <c r="U99" s="97"/>
      <c r="V99" s="97"/>
      <c r="W99" s="97"/>
      <c r="X99" s="97"/>
      <c r="Y99" s="97"/>
      <c r="Z99" s="97"/>
      <c r="AA99" s="97"/>
      <c r="AB99" s="97"/>
      <c r="AC99" s="98"/>
      <c r="AD99" s="98"/>
      <c r="AE99" s="98"/>
      <c r="AF99" s="98"/>
      <c r="AG99" s="98"/>
      <c r="AH99" s="98"/>
      <c r="AI99" s="98"/>
      <c r="AJ99" s="98"/>
      <c r="AK99" s="98"/>
      <c r="AL99" s="98"/>
      <c r="AM99" s="98"/>
      <c r="AN99" s="98"/>
      <c r="AP99" s="103" t="e">
        <f>((TP-H_1-((TP-H_1-(H_1*hnh)-(TP*TCv*tCo4_1*VE))*H_2/(TP-H_1-(H_1*hnh)))-(H_1*hnh)-((TP-H_1-(H_1*hnh)-(TP*TCv*tCo4_1*VE))*H_2*hnh/(TP-H_1-(H_1*hnh)))-(TP*TCv*tCo4_1*VE)-(TP*TCv*tCo4_2*VE))*(H_3*hnh/(TP-H_1-H_2-(hnh*(H_1+H_2)))))</f>
        <v>#DIV/0!</v>
      </c>
      <c r="AQ99" s="103" t="e">
        <f>(TP-H_1-((TP-H_1-(H_1*hnh)-(TP*TCv*tCo4_1*VE))*H_2/(TP-H_1-(H_1*hnh)))-AP97-(H_1*hnh)-((TP-H_1-(H_1*hnh)-(TP*TCv*tCo4_1*VE))*H_2*hnh/(TP-H_1-(H_1*hnh)))-AP99-(TP*TCv*tCo4_1*VE)-(TP*TCv*tCo4_2*VE)-(TP*TCv*tCo4_3*VE))*(H_4*hnh/(TP-H_1-H_2-H_3-(hnh*(H_1+H_2+H_3))))</f>
        <v>#DIV/0!</v>
      </c>
      <c r="AR99" s="103" t="e">
        <f>(TP-H_1-((TP-H_1-(H_1*hnh)-(TP*TCv*tCo4_1*VE))*H_2/(TP-H_1-(H_1*hnh)))-AP97-AQ97-(H_1*hnh)-((TP-H_1-(H_1*hnh)-(TP*TCv*tCo4_1*VE))*H_2*hnh/(TP-H_1-(H_1*hnh)))-AP99-AQ99-(TP*TCv*tCo4_1*VE)-(TP*TCv*tCo4_2*VE)-(TP*TCv*tCo4_3*VE)-(TP*TCv*tCo4_4*VE))*(H_5*hnh/(TP-H_1-H_2-H_3-H_4-(hnh*(H_1+H_2+H_3+H_4))))</f>
        <v>#DIV/0!</v>
      </c>
      <c r="AS99" s="103" t="e">
        <f>(TP-H_1-((TP-H_1-(H_1*hnh)-(TP*TCv*tCo4_1*VE))*H_2/(TP-H_1-(H_1*hnh)))-AP97-AQ97-AR97-(H_1*hnh)-((TP-H_1-(H_1*hnh)-(TP*TCv*tCo4_1*VE))*H_2*hnh/(TP-H_1-(H_1*hnh)))-AP99-AQ99-AR99-(TP*TCv*tCo4_1*VE)-(TP*TCv*tCo4_2*VE)-(TP*TCv*tCo4_3*VE)-(TP*TCv*tCo4_4*VE)-(TP*TCv*tCo4_5*VE))*(H_6*hnh/(TP-H_1-H_2-H_3-H_4-H_5-(hnh*(H_1+H_2+H_3+H_4+H_5))))</f>
        <v>#DIV/0!</v>
      </c>
      <c r="AT99" s="103" t="e">
        <f>(TP-H_1-((TP-H_1-(H_1*hnh)-(TP*TCv*tCo4_1*VE))*H_2/(TP-H_1-(H_1*hnh)))-AP97-AQ97-AR97-AS97-(H_1*hnh)-((TP-H_1-(H_1*hnh)-(TP*TCv*tCo4_1*VE))*H_2*hnh/(TP-H_1-(H_1*hnh)))-AP99-AQ99-AR99-AS99-(TP*TCv*tCo4_1*VE)-(TP*TCv*tCo4_2*VE)-(TP*TCv*tCo4_3*VE)-(TP*TCv*tCo4_4*VE)-(TP*TCv*tCo4_5*VE)-(TP*TCv*tCo4_6*VE))*(H_7*hnh/(TP-H_1-H_2-H_3-H_4-H_5-H_6-(hnh*(H_1+H_2+H_3+H_4+H_5+H_6))))</f>
        <v>#DIV/0!</v>
      </c>
      <c r="AU99" s="103" t="e">
        <f>(TP-H_1-((TP-H_1-(H_1*hnh)-(TP*TCv*tCo4_1*VE))*H_2/(TP-H_1-(H_1*hnh)))-AP97-AQ97-AR97-AS97-AT97-(H_1*hnh)-((TP-H_1-(H_1*hnh)-(TP*TCv*tCo4_1*VE))*H_2*hnh/(TP-H_1-(H_1*hnh)))-AP99-AQ99-AR99-AS99-AT99-(TP*TCv*tCo4_1*VE)-(TP*TCv*tCo4_2*VE)-(TP*TCv*tCo4_3*VE)-(TP*TCv*tCo4_4*VE)-(TP*TCv*tCo4_5*VE)-(TP*TCv*tCo4_6*VE)-(TP*TCv*tCo4_7*VE))*(H_8*hnh/(TP-H_1-H_2-H_3-H_4-H_5-H_6-H_7-(hnh*(H_1+H_2+H_3+H_4+H_5+H_6+H_7))))</f>
        <v>#DIV/0!</v>
      </c>
      <c r="AV99" s="103" t="e">
        <f>(TP-H_1-((TP-H_1-(H_1*hnh)-(TP*TCv*tCo4_1*VE))*H_2/(TP-H_1-(H_1*hnh)))-AP97-AQ97-AR97-AS97-AT97-AU97-(H_1*hnh)-((TP-H_1-(H_1*hnh)-(TP*TCv*tCo4_1*VE))*H_2*hnh/(TP-H_1-(H_1*hnh)))-AP99-AQ99-AR99-AS99-AT99-AU99-(TP*TCv*tCo4_1*VE)-(TP*TCv*tCo4_2*VE)-(TP*TCv*tCo4_3*VE)-(TP*TCv*tCo4_4*VE)-(TP*TCv*tCo4_5*VE)-(TP*TCv*tCo4_6*VE)-(TP*TCv*tCo4_7*VE)-(TP*TCv*tCo4_8*VE))*(H_9*hnh/(TP-H_1-H_2-H_3-H_4-H_5-H_6-H_7-H_8-(hnh*(H_1+H_2+H_3+H_4+H_5+H_6+H_7+H_8))))</f>
        <v>#DIV/0!</v>
      </c>
      <c r="AW99" s="103" t="e">
        <f>(TP-H_1-((TP-H_1-(H_1*hnh)-(TP*TCv*tCo4_1*VE))*H_2/(TP-H_1-(H_1*hnh)))-AP97-AQ97-AR97-AS97-AT97-AU97-AV97-(H_1*hnh)-((TP-H_1-(H_1*hnh)-(TP*TCv*tCo4_1*VE))*H_2*hnh/(TP-H_1-(H_1*hnh)))-AP99-AQ99-AR99-AS99-AT99-AU99-AV99-(TP*TCv*tCo4_1*VE)-(TP*TCv*tCo4_2*VE)-(TP*TCv*tCo4_3*VE)-(TP*TCv*tCo4_4*VE)-(TP*TCv*tCo4_5*VE)-(TP*TCv*tCo4_6*VE)-(TP*TCv*tCo4_7*VE)-(TP*TCv*tCo4_8*VE)-(TP*TCv*tCo4_9*VE))*(H_10*hnh/(TP-H_1-H_2-H_3-H_4-H_5-H_6-H_7-H_8-H_9-(hnh*(H_1+H_2+H_3+H_4+H_5+H_6+H_7+H_8+H_9))))</f>
        <v>#DIV/0!</v>
      </c>
      <c r="AX99" s="103" t="e">
        <f>(TP-H_1-((TP-H_1-(H_1*hnh)-(TP*TCv*tCo4_1*VE))*H_2/(TP-H_1-(H_1*hnh)))-AP97-AQ97-AR97-AS97-AT97-AU97-AV97-AW97-(H_1*hnh)-((TP-H_1-(H_1*hnh)-(TP*TCv*tCo4_1*VE))*H_2*hnh/(TP-H_1-(H_1*hnh)))-AP99-AQ99-AR99-AS99-AT99-AU99-AV99-AW99-(TP*TCv*tCo4_1*VE)-(TP*TCv*tCo4_2*VE)-(TP*TCv*tCo4_3*VE)-(TP*TCv*tCo4_4*VE)-(TP*TCv*tCo4_5*VE)-(TP*TCv*tCo4_6*VE)-(TP*TCv*tCo4_7*VE)-(TP*TCv*tCo4_8*VE)-(TP*TCv*tCo4_9*VE)-(TP*TCv*tCo4_10*VE))*(H_11*hnh/(TP-H_1-H_2-H_3-H_4-H_5-H_6-H_7-H_8-H_9-H_10-(hnh*(H_1+H_2+H_3+H_4+H_5+H_6+H_7+H_8+H_9+H_10))))</f>
        <v>#DIV/0!</v>
      </c>
      <c r="AZ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H_5*hnh/(TP-H_1-H_2-H_3-H_4-(hnh*(H_1+H_2+H_3+H_4))-(TP*VE*(TCv*tCo4_1+TCv*tCo4_2+TCv*tCo4_3+TCv*tCo4_4)))</f>
        <v>#DIV/0!</v>
      </c>
      <c r="BA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H_6*hnh/(TP-H_1-H_2-H_3-H_4-H_5-(hnh*(H_1+H_2+H_3+H_4+H_5))-(TP*VE*(TCv*tCo4_1+TCv*tCo4_2+TCv*tCo4_3+TCv*tCo4_4+TCv*tCo4_5)))</f>
        <v>#DIV/0!</v>
      </c>
      <c r="BB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H_7*hnh/(TP-H_1-H_2-H_3-H_4-H_5-H_6-(hnh*(H_1+H_2+H_3+H_4+H_5+H_6))-(TP*VE*(TCv*tCo4_1+TCv*tCo4_2+TCv*tCo4_3+TCv*tCo4_4+TCv*tCo4_5+TCv*tCo4_6)))</f>
        <v>#DIV/0!</v>
      </c>
      <c r="BC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H_8*hnh/(TP-H_1-H_2-H_3-H_4-H_5-H_6-H_7-(hnh*(H_1+H_2+H_3+H_4+H_5+H_6+H_7))-(TP*VE*(TCv*tCo4_1+TCv*tCo4_2+TCv*tCo4_3+TCv*tCo4_4+TCv*tCo4_5+TCv*tCo4_6+TCv*tCo4_7)))</f>
        <v>#DIV/0!</v>
      </c>
      <c r="BD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H_9*hnh/(TP-H_1-H_2-H_3-H_4-H_5-H_6-H_7-H_8-(hnh*(H_1+H_2+H_3+H_4+H_5+H_6+H_7+H_8))-(TP*VE*(TCv*tCo4_1+TCv*tCo4_2+TCv*tCo4_3+TCv*tCo4_4+TCv*tCo4_5+TCv*tCo4_6+TCv*tCo4_7+TCv*tCo4_8)))</f>
        <v>#DIV/0!</v>
      </c>
      <c r="BE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H_10*hnh/(TP-H_1-H_2-H_3-H_4-H_5-H_6-H_7-H_8-H_9-(hnh*(H_1+H_2+H_3+H_4+H_5+H_6+H_7+H_8+H_9))-(TP*VE*(TCv*tCo4_1+TCv*tCo4_2+TCv*tCo4_3+TCv*tCo4_4+TCv*tCo4_5+TCv*tCo4_6+TCv*tCo4_7+TCv*tCo4_8+TCv*tCo4_9)))</f>
        <v>#DIV/0!</v>
      </c>
      <c r="BF99" s="103" t="e">
        <f>(TP-H_1-((TP-H_1-(H_1*hnh))*H_2/(TP-H_1-(H_1*hnh)-(TP*TCv*tCo4_1*VE)))-((TP-H_1-((TP-H_1-(H_1*hnh))*H_2/(TP-H_1-(H_1*hnh)-(TP*TCv*tCo4_1*VE)))-(H_1*hnh)-((TP-H_1-(H_1*hnh))*H_2*hnh/(TP-H_1-(H_1*hnh)-(TP*TCv*tCo4_1*VE))))*H_3/(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TP-H_1-H_2-H_3-(hnh*(H_1+H_2+H_3))-(TP*VE*(TCv*tCo4_1+TCv*tCo4_2+TCv*tCo4_3))))-AZ97-BA97-BB97-BC97-BD97-BE97-(H_1*hnh)-((TP-H_1-(H_1*hnh))*H_2*hnh/(TP-H_1-(H_1*hnh)-(TP*TCv*tCo4_1*VE)))-((TP-H_1-((TP-H_1-(H_1*hnh))*H_2/(TP-H_1-(H_1*hnh)-(TP*TCv*tCo4_1*VE)))-(H_1*hnh)-((TP-H_1-(H_1*hnh))*H_2*hnh/(TP-H_1-(H_1*hnh)-(TP*TCv*tCo4_1*VE))))*H_3*hnh/(TP-H_1-H_2-(hnh*(H_1+H_2))-(TP*VE*(TCv*tCo4_1+TCv*tCo4_2))))-((TP-H_1-((TP-H_1-(H_1*hnh))*H_2/(TP-H_1-(H_1*hnh)-(TP*TCv*tCo4_1*VE)))-((TP-H_1-((TP-H_1-(H_1*hnh))*H_2/(TP-H_1-(H_1*hnh)-(TP*TCv*tCo4_1*VE)))-(H_1*hnh)-((TP-H_1-(H_1*hnh))*H_2*hnh/(TP-H_1-(H_1*hnh)-(TP*TCv*tCo4_1*VE))))*H_3/(TP-H_1-H_2-(hnh*(H_1+H_2))-(TP*VE*(TCv*tCo4_1+TCv*tCo4_2))))-(H_1*hnh)-((TP-H_1-(H_1*hnh))*H_2*hnh/(TP-H_1-(H_1*hnh)-(TP*TCv*tCo4_1*VE)))-((TP-H_1-((TP-H_1-(H_1*hnh))*H_2/(TP-H_1-(H_1*hnh)-(TP*TCv*tCo4_1*VE)))-(H_1*hnh)-((TP-H_1-(H_1*hnh))*H_2*hnh/(TP-H_1-(H_1*hnh)-(TP*TCv*tCo4_1*VE))))*H_3*hnh/(TP-H_1-H_2-(hnh*(H_1+H_2))-(TP*VE*(TCv*tCo4_1+TCv*tCo4_2)))))*H_4*hnh/(TP-H_1-H_2-H_3-(hnh*(H_1+H_2+H_3))-(TP*VE*(TCv*tCo4_1+TCv*tCo4_2+TCv*tCo4_3))))-AZ99-BA99-BB99-BC99-BD99-BE99)*H_11*hnh/(TP-H_1-H_2-H_3-H_4-H_5-H_6-H_7-H_8-H_9-H_10-(hnh*(H_1+H_2+H_3+H_4+H_5+H_6+H_7+H_8+H_9+H_10))-(TP*VE*(TCv*tCo4_1+TCv*tCo4_2+TCv*tCo4_3+TCv*tCo4_4+TCv*tCo4_5+TCv*tCo4_6+TCv*tCo4_7+TCv*tCo4_8+TCv*tCo4_9+TCv*tCo4_10)))</f>
        <v>#DIV/0!</v>
      </c>
    </row>
    <row r="100" spans="1:58" hidden="1" outlineLevel="1" x14ac:dyDescent="0.25">
      <c r="F100" s="112"/>
    </row>
    <row r="101" spans="1:58" hidden="1" outlineLevel="1" x14ac:dyDescent="0.25">
      <c r="F101" s="112"/>
    </row>
    <row r="102" spans="1:58" collapsed="1" x14ac:dyDescent="0.25"/>
    <row r="103" spans="1:58" s="105" customFormat="1" x14ac:dyDescent="0.25">
      <c r="A103" s="104" t="s">
        <v>296</v>
      </c>
      <c r="B103" s="104"/>
    </row>
    <row r="104" spans="1:58" hidden="1" outlineLevel="1" x14ac:dyDescent="0.25">
      <c r="Q104" s="102" t="s">
        <v>72</v>
      </c>
      <c r="R104" s="102"/>
      <c r="S104" s="102"/>
      <c r="T104" s="102"/>
      <c r="U104" s="102"/>
      <c r="V104" s="102"/>
      <c r="W104" s="102"/>
      <c r="X104" s="102"/>
      <c r="Y104" s="102"/>
      <c r="Z104" s="102"/>
      <c r="AA104" s="102"/>
      <c r="AB104" s="102"/>
      <c r="AC104" s="101" t="s">
        <v>104</v>
      </c>
      <c r="AD104" s="101"/>
      <c r="AE104" s="101"/>
      <c r="AF104" s="101"/>
      <c r="AG104" s="101"/>
      <c r="AH104" s="101"/>
      <c r="AI104" s="101"/>
      <c r="AJ104" s="101"/>
      <c r="AK104" s="101"/>
      <c r="AL104" s="101"/>
      <c r="AM104" s="101"/>
      <c r="AN104" s="101"/>
      <c r="AP104" s="103">
        <v>3</v>
      </c>
      <c r="AQ104" s="103">
        <v>4</v>
      </c>
      <c r="AR104" s="103">
        <v>5</v>
      </c>
      <c r="AS104" s="103">
        <v>6</v>
      </c>
      <c r="AT104" s="103">
        <v>7</v>
      </c>
      <c r="AU104" s="103">
        <v>8</v>
      </c>
      <c r="AV104" s="103">
        <v>9</v>
      </c>
      <c r="AW104" s="103">
        <v>10</v>
      </c>
      <c r="AX104" s="103">
        <v>11</v>
      </c>
      <c r="AZ104" s="103">
        <v>5</v>
      </c>
      <c r="BA104" s="103">
        <v>6</v>
      </c>
      <c r="BB104" s="103">
        <v>7</v>
      </c>
      <c r="BC104" s="103">
        <v>8</v>
      </c>
      <c r="BD104" s="103">
        <v>9</v>
      </c>
      <c r="BE104" s="103">
        <v>10</v>
      </c>
      <c r="BF104" s="103">
        <v>11</v>
      </c>
    </row>
    <row r="105" spans="1:58" ht="28.7" hidden="1" customHeight="1" outlineLevel="1" x14ac:dyDescent="0.25">
      <c r="A105" s="11" t="s">
        <v>47</v>
      </c>
      <c r="B105" s="11"/>
      <c r="C105" s="11"/>
      <c r="D105" s="11"/>
      <c r="E105" s="11"/>
      <c r="F105" s="11"/>
      <c r="G105" s="109" t="s">
        <v>50</v>
      </c>
      <c r="H105" s="109"/>
      <c r="I105" s="110" t="s">
        <v>44</v>
      </c>
      <c r="J105" s="110"/>
      <c r="K105" s="101" t="s">
        <v>58</v>
      </c>
      <c r="L105" s="101"/>
      <c r="M105" s="110" t="s">
        <v>45</v>
      </c>
      <c r="N105" s="110"/>
      <c r="Q105" s="102" t="s">
        <v>1</v>
      </c>
      <c r="R105" s="102"/>
      <c r="S105" s="102"/>
      <c r="T105" s="102"/>
      <c r="U105" s="102"/>
      <c r="V105" s="102"/>
      <c r="W105" s="102"/>
      <c r="X105" s="102"/>
      <c r="Y105" s="102"/>
      <c r="Z105" s="102"/>
      <c r="AA105" s="102"/>
      <c r="AB105" s="102"/>
      <c r="AC105" s="101" t="s">
        <v>71</v>
      </c>
      <c r="AD105" s="101"/>
      <c r="AE105" s="101"/>
      <c r="AF105" s="101"/>
      <c r="AG105" s="101"/>
      <c r="AH105" s="101"/>
      <c r="AI105" s="101"/>
      <c r="AJ105" s="101"/>
      <c r="AK105" s="101"/>
      <c r="AL105" s="101"/>
      <c r="AM105" s="101"/>
      <c r="AN105" s="101"/>
      <c r="AP105" s="103" t="s">
        <v>73</v>
      </c>
      <c r="AQ105" s="103" t="s">
        <v>74</v>
      </c>
      <c r="AR105" s="103" t="s">
        <v>75</v>
      </c>
      <c r="AS105" s="103" t="s">
        <v>76</v>
      </c>
      <c r="AT105" s="103" t="s">
        <v>77</v>
      </c>
      <c r="AU105" s="103" t="s">
        <v>78</v>
      </c>
      <c r="AV105" s="103" t="s">
        <v>79</v>
      </c>
      <c r="AW105" s="103" t="s">
        <v>80</v>
      </c>
      <c r="AX105" s="103" t="s">
        <v>81</v>
      </c>
      <c r="AZ105" s="103" t="s">
        <v>105</v>
      </c>
      <c r="BA105" s="103" t="s">
        <v>91</v>
      </c>
      <c r="BB105" s="103" t="s">
        <v>93</v>
      </c>
      <c r="BC105" s="103" t="s">
        <v>94</v>
      </c>
      <c r="BD105" s="103" t="s">
        <v>95</v>
      </c>
      <c r="BE105" s="103" t="s">
        <v>96</v>
      </c>
      <c r="BF105" s="103" t="s">
        <v>97</v>
      </c>
    </row>
    <row r="106" spans="1:58" ht="45" hidden="1" outlineLevel="1" x14ac:dyDescent="0.25">
      <c r="A106" s="70" t="s">
        <v>40</v>
      </c>
      <c r="B106" s="70" t="s">
        <v>41</v>
      </c>
      <c r="C106" s="70" t="s">
        <v>53</v>
      </c>
      <c r="D106" s="70" t="s">
        <v>48</v>
      </c>
      <c r="E106" s="70" t="s">
        <v>42</v>
      </c>
      <c r="F106" s="76" t="s">
        <v>49</v>
      </c>
      <c r="G106" s="71" t="s">
        <v>51</v>
      </c>
      <c r="H106" s="71" t="s">
        <v>52</v>
      </c>
      <c r="I106" s="72" t="s">
        <v>51</v>
      </c>
      <c r="J106" s="72" t="s">
        <v>52</v>
      </c>
      <c r="K106" s="77" t="s">
        <v>51</v>
      </c>
      <c r="L106" s="77" t="s">
        <v>52</v>
      </c>
      <c r="M106" s="72" t="s">
        <v>51</v>
      </c>
      <c r="N106" s="72" t="s">
        <v>52</v>
      </c>
      <c r="Q106" s="102">
        <v>1</v>
      </c>
      <c r="R106" s="102">
        <v>2</v>
      </c>
      <c r="S106" s="102">
        <v>3</v>
      </c>
      <c r="T106" s="102">
        <v>4</v>
      </c>
      <c r="U106" s="102">
        <v>5</v>
      </c>
      <c r="V106" s="102">
        <v>6</v>
      </c>
      <c r="W106" s="102">
        <v>7</v>
      </c>
      <c r="X106" s="102">
        <v>8</v>
      </c>
      <c r="Y106" s="102">
        <v>9</v>
      </c>
      <c r="Z106" s="102">
        <v>10</v>
      </c>
      <c r="AA106" s="102">
        <v>11</v>
      </c>
      <c r="AB106" s="102">
        <v>12</v>
      </c>
      <c r="AC106" s="101">
        <v>1</v>
      </c>
      <c r="AD106" s="101">
        <v>2</v>
      </c>
      <c r="AE106" s="101">
        <v>3</v>
      </c>
      <c r="AF106" s="101">
        <v>4</v>
      </c>
      <c r="AG106" s="101">
        <v>5</v>
      </c>
      <c r="AH106" s="101">
        <v>6</v>
      </c>
      <c r="AI106" s="101">
        <v>7</v>
      </c>
      <c r="AJ106" s="101">
        <v>8</v>
      </c>
      <c r="AK106" s="101">
        <v>9</v>
      </c>
      <c r="AL106" s="101">
        <v>10</v>
      </c>
      <c r="AM106" s="101">
        <v>11</v>
      </c>
      <c r="AN106" s="101">
        <v>12</v>
      </c>
      <c r="AP106" s="103" t="e">
        <f>((TP-H_1-((TP-H_1-(H_1*hnh)-(TP*TCv_1*tCo1_1*VE))*H_2/(TP-H_1-(H_1*hnh)))-(H_1*hnh)-((TP-H_1-(H_1*hnh)-(TP*TCv_1*tCo1_1*VE))*H_2*hnh/(TP-H_1-(H_1*hnh)))-(TP*TCv_1*tCo1_1*VE)-(TP*TCv_1*tCo1_2*VE))*(H_3/(TP-H_1-H_2-(hnh*(H_1+H_2)))))</f>
        <v>#DIV/0!</v>
      </c>
      <c r="AQ106" s="103" t="e">
        <f>(TP-H_1-((TP-H_1-(H_1*hnh)-(TP*TCv_1*tCo1_1*VE))*H_2/(TP-H_1-(H_1*hnh)))-AP106-(H_1*hnh)-((TP-H_1-(H_1*hnh)-(TP*TCv_1*tCo1_1*VE))*H_2*hnh/(TP-H_1-(H_1*hnh)))-AP108-(TP*TCv_1*tCo1_1*VE)-(TP*TCv_1*tCo1_2*VE)-(TP*TCv_1*tCo1_3*VE))*(H_4/(TP-H_1-H_2-H_3-(hnh*(H_1+H_2+H_3))))</f>
        <v>#DIV/0!</v>
      </c>
      <c r="AR106" s="103" t="e">
        <f>(TP-H_1-((TP-H_1-(H_1*hnh)-(TP*TCv_1*tCo1_1*VE))*H_2/(TP-H_1-(H_1*hnh)))-AP106-AQ106-(H_1*hnh)-((TP-H_1-(H_1*hnh)-(TP*TCv_1*tCo1_1*VE))*H_2*hnh/(TP-H_1-(H_1*hnh)))-AP108-AQ108-(TP*TCv_1*tCo1_1*VE)-(TP*TCv_1*tCo1_2*VE)-(TP*TCv_1*tCo1_3*VE)-(TP*TCv_1*tCo1_4*VE))*(H_5/(TP-H_1-H_2-H_3-H_4-(hnh*(H_1+H_2+H_3+H_4))))</f>
        <v>#DIV/0!</v>
      </c>
      <c r="AS106" s="103" t="e">
        <f>(TP-H_1-((TP-H_1-(H_1*hnh)-(TP*TCv_1*tCo1_1*VE))*H_2/(TP-H_1-(H_1*hnh)))-AP106-AQ106-AR106-(H_1*hnh)-((TP-H_1-(H_1*hnh)-(TP*TCv_1*tCo1_1*VE))*H_2*hnh/(TP-H_1-(H_1*hnh)))-AP108-AQ108-AR108-(TP*TCv_1*tCo1_1*VE)-(TP*TCv_1*tCo1_2*VE)-(TP*TCv_1*tCo1_3*VE)-(TP*TCv_1*tCo1_4*VE)-(TP*TCv_1*tCo1_5*VE))*(H_6/(TP-H_1-H_2-H_3-H_4-H_5-(hnh*(H_1+H_2+H_3+H_4+H_5))))</f>
        <v>#DIV/0!</v>
      </c>
      <c r="AT106" s="103" t="e">
        <f>(TP-H_1-((TP-H_1-(H_1*hnh)-(TP*TCv_1*tCo1_1*VE))*H_2/(TP-H_1-(H_1*hnh)))-AP106-AQ106-AR106-AS106-(H_1*hnh)-((TP-H_1-(H_1*hnh)-(TP*TCv_1*tCo1_1*VE))*H_2*hnh/(TP-H_1-(H_1*hnh)))-AP108-AQ108-AR108-AS108-(TP*TCv_1*tCo1_1*VE)-(TP*TCv_1*tCo1_2*VE)-(TP*TCv_1*tCo1_3*VE)-(TP*TCv_1*tCo1_4*VE)-(TP*TCv_1*tCo1_5*VE)-(TP*TCv_1*tCo1_6*VE))*(H_7/(TP-H_1-H_2-H_3-H_4-H_5-H_6-(hnh*(H_1+H_2+H_3+H_4+H_5+H_6))))</f>
        <v>#DIV/0!</v>
      </c>
      <c r="AU106" s="103" t="e">
        <f>(TP-H_1-((TP-H_1-(H_1*hnh)-(TP*TCv_1*tCo1_1*VE))*H_2/(TP-H_1-(H_1*hnh)))-AP106-AQ106-AR106-AS106-AT106-(H_1*hnh)-((TP-H_1-(H_1*hnh)-(TP*TCv_1*tCo1_1*VE))*H_2*hnh/(TP-H_1-(H_1*hnh)))-AP108-AQ108-AR108-AS108-AT108-(TP*TCv_1*tCo1_1*VE)-(TP*TCv_1*tCo1_2*VE)-(TP*TCv_1*tCo1_3*VE)-(TP*TCv_1*tCo1_4*VE)-(TP*TCv_1*tCo1_5*VE)-(TP*TCv_1*tCo1_6*VE)-(TP*TCv_1*tCo1_7*VE))*(H_8/(TP-H_1-H_2-H_3-H_4-H_5-H_6-H_7-(hnh*(H_1+H_2+H_3+H_4+H_5+H_6+H_7))))</f>
        <v>#DIV/0!</v>
      </c>
      <c r="AV106" s="103" t="e">
        <f>(TP-H_1-((TP-H_1-(H_1*hnh)-(TP*TCv_1*tCo1_1*VE))*H_2/(TP-H_1-(H_1*hnh)))-AP106-AQ106-AR106-AS106-AT106-AU106-(H_1*hnh)-((TP-H_1-(H_1*hnh)-(TP*TCv_1*tCo1_1*VE))*H_2*hnh/(TP-H_1-(H_1*hnh)))-AP108-AQ108-AR108-AS108-AT108-AU108-(TP*TCv_1*tCo1_1*VE)-(TP*TCv_1*tCo1_2*VE)-(TP*TCv_1*tCo1_3*VE)-(TP*TCv_1*tCo1_4*VE)-(TP*TCv_1*tCo1_5*VE)-(TP*TCv_1*tCo1_6*VE)-(TP*TCv_1*tCo1_7*VE)-(TP*TCv_1*tCo1_8*VE))*(H_9/(TP-H_1-H_2-H_3-H_4-H_5-H_6-H_7-H_8-(hnh*(H_1+H_2+H_3+H_4+H_5+H_6+H_7+H_8))))</f>
        <v>#DIV/0!</v>
      </c>
      <c r="AW106" s="103" t="e">
        <f>(TP-H_1-((TP-H_1-(H_1*hnh)-(TP*TCv_1*tCo1_1*VE))*H_2/(TP-H_1-(H_1*hnh)))-AP106-AQ106-AR106-AS106-AT106-AU106-AV106-(H_1*hnh)-((TP-H_1-(H_1*hnh)-(TP*TCv_1*tCo1_1*VE))*H_2*hnh/(TP-H_1-(H_1*hnh)))-AP108-AQ108-AR108-AS108-AT108-AU108-AV108-(TP*TCv_1*tCo1_1*VE)-(TP*TCv_1*tCo1_2*VE)-(TP*TCv_1*tCo1_3*VE)-(TP*TCv_1*tCo1_4*VE)-(TP*TCv_1*tCo1_5*VE)-(TP*TCv_1*tCo1_6*VE)-(TP*TCv_1*tCo1_7*VE)-(TP*TCv_1*tCo1_8*VE)-(TP*TCv_1*tCo1_9*VE))*(H_10/(TP-H_1-H_2-H_3-H_4-H_5-H_6-H_7-H_8-H_9-(hnh*(H_1+H_2+H_3+H_4+H_5+H_6+H_7+H_8+H_9))))</f>
        <v>#DIV/0!</v>
      </c>
      <c r="AX106" s="103" t="e">
        <f>(TP-H_1-((TP-H_1-(H_1*hnh)-(TP*TCv_1*tCo1_1*VE))*H_2/(TP-H_1-(H_1*hnh)))-AP106-AQ106-AR106-AS106-AT106-AU106-AV106-AW106-(H_1*hnh)-((TP-H_1-(H_1*hnh)-(TP*TCv_1*tCo1_1*VE))*H_2*hnh/(TP-H_1-(H_1*hnh)))-AP108-AQ108-AR108-AS108-AT108-AU108-AV108-AW108-(TP*TCv_1*tCo1_1*VE)-(TP*TCv_1*tCo1_2*VE)-(TP*TCv_1*tCo1_3*VE)-(TP*TCv_1*tCo1_4*VE)-(TP*TCv_1*tCo1_5*VE)-(TP*TCv_1*tCo1_6*VE)-(TP*TCv_1*tCo1_7*VE)-(TP*TCv_1*tCo1_8*VE)-(TP*TCv_1*tCo1_9*VE)-(TP*TCv_1*tCo1_10*VE))*(H_11/(TP-H_1-H_2-H_3-H_4-H_5-H_6-H_7-H_8-H_9-H_10-(hnh*(H_1+H_2+H_3+H_4+H_5+H_6+H_7+H_8+H_9+H_10))))</f>
        <v>#DIV/0!</v>
      </c>
      <c r="AZ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H_5/(TP-H_1-H_2-H_3-H_4-(hnh*(H_1+H_2+H_3+H_4))-(TP*VE*(TCv_1*tCo1_1+TCv_1*tCo1_2+TCv_1*tCo1_3+TCv_1*tCo1_4)))</f>
        <v>#DIV/0!</v>
      </c>
      <c r="BA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H_6/(TP-H_1-H_2-H_3-H_4-H_5-(hnh*(H_1+H_2+H_3+H_4+H_5))-(TP*VE*(TCv_1*tCo1_1+TCv_1*tCo1_2+TCv_1*tCo1_3+TCv_1*tCo1_4+TCv_1*tCo1_5)))</f>
        <v>#DIV/0!</v>
      </c>
      <c r="BB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H_7/(TP-H_1-H_2-H_3-H_4-H_5-H_6-(hnh*(H_1+H_2+H_3+H_4+H_5+H_6))-(TP*VE*(TCv_1*tCo1_1+TCv_1*tCo1_2+TCv_1*tCo1_3+TCv_1*tCo1_4+TCv_1*tCo1_5+TCv_1*tCo1_6)))</f>
        <v>#DIV/0!</v>
      </c>
      <c r="BC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H_8/(TP-H_1-H_2-H_3-H_4-H_5-H_6-H_7-(hnh*(H_1+H_2+H_3+H_4+H_5+H_6+H_7))-(TP*VE*(TCv_1*tCo1_1+TCv_1*tCo1_2+TCv_1*tCo1_3+TCv_1*tCo1_4+TCv_1*tCo1_5+TCv_1*tCo1_6+TCv_1*tCo1_7)))</f>
        <v>#DIV/0!</v>
      </c>
      <c r="BD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H_9/(TP-H_1-H_2-H_3-H_4-H_5-H_6-H_7-H_8-(hnh*(H_1+H_2+H_3+H_4+H_5+H_6+H_7+H_8))-(TP*VE*(TCv_1*tCo1_1+TCv_1*tCo1_2+TCv_1*tCo1_3+TCv_1*tCo1_4+TCv_1*tCo1_5+TCv_1*tCo1_6+TCv_1*tCo1_7+TCv_1*tCo1_8)))</f>
        <v>#DIV/0!</v>
      </c>
      <c r="BE10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106-BA106-BB106-BC106-BD106-(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108-BA108-BB108-BC108-BD108)*H_10/(TP-H_1-H_2-H_3-H_4-H_5-H_6-H_7-H_8-H_9-(hnh*(H_1+H_2+H_3+H_4+H_5+H_6+H_7+H_8+H_9))-(TP*VE*(Co_1+Co_2+Co_3+Co_4+Co_5+Co_6+Co_7+Co_8+Co_9)))</f>
        <v>#DIV/0!</v>
      </c>
      <c r="BF106"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H_11/(TP-H_1-H_2-H_3-H_4-H_5-H_6-H_7-H_8-H_9-H_10-(hnh*(H_1+H_2+H_3+H_4+H_5+H_6+H_7+H_8+H_9+H_10))-(TP*VE*(TCv_1*tCo1_1+TCv_1*tCo1_2+TCv_1*tCo1_3+TCv_1*tCo1_4+TCv_1*tCo1_5+TCv_1*tCo1_6+TCv_1*tCo1_7+TCv_1*tCo1_8+TCv_1*tCo1_9+TCv_1*tCo1_10)))</f>
        <v>#DIV/0!</v>
      </c>
    </row>
    <row r="107" spans="1:58" hidden="1" outlineLevel="1" x14ac:dyDescent="0.25">
      <c r="A107" s="73">
        <f>season</f>
        <v>0</v>
      </c>
      <c r="B107" s="73">
        <f>TG</f>
        <v>0</v>
      </c>
      <c r="C107" s="73">
        <f>TP</f>
        <v>0</v>
      </c>
      <c r="D107" s="74">
        <f>TCv</f>
        <v>0</v>
      </c>
      <c r="E107" s="75">
        <f>VE</f>
        <v>0</v>
      </c>
      <c r="F107" s="78" t="e">
        <f>G107/IF(mb=1,SUM(AC107:AN107),IF(mb=2,SUM(AD107:AN107),IF(mb=3,SUM(AE107:AN107),IF(mb=4,SUM(AF107:AN107),IF(mb=5,SUM(AG107:AN107),IF(mb=6,SUM(AH107:AN107),IF(mb=7,SUM(AI107:AN107),IF(mb=8,SUM(AJ107:AN107),0))))))))</f>
        <v>#DIV/0!</v>
      </c>
      <c r="G107" s="42">
        <f>IF(mb=1,SUM(AC107:AN107)-SUM(Q107:AB107),IF(mb=2,SUM(AD107:AN107)-SUM(R107:AB107),IF(mb=3,SUM(AE107:AN107)-SUM(S107:AB107),IF(mb=4,SUM(AF107:AN107)-SUM(T107:AB107),IF(mb=5,SUM(AG107:AN107)-SUM(U107:AB107),IF(mb=6,SUM(AH107:AN107)-SUM(V107:AB107),IF(mb=7,SUM(AI107:AN107)-SUM(W107:AB107),IF(mb=8,SUM(AJ107:AN107)-SUM(X107:AB107),0))))))))</f>
        <v>0</v>
      </c>
      <c r="H107" s="96" t="e">
        <f>1/(VE*IF(mb=1,SUM(AC107:AN107),IF(mb=2,SUM(AD107:AN107),IF(mb=3,SUM(AE107:AN107),IF(mb=4,SUM(AF107:AN107),IF(mb=5,SUM(AG107:AN107),IF(mb=6,SUM(AH107:AN107),IF(mb=7,SUM(AI107:AN107),IF(mb=8,SUM(AJ107:AN107),0))))))))/TP)</f>
        <v>#DIV/0!</v>
      </c>
      <c r="I107" s="93" t="e">
        <f>G107/hnh</f>
        <v>#DIV/0!</v>
      </c>
      <c r="J107" s="42" t="e">
        <f>1/(VE*IF(mb=1,SUM(AC107:AN107),IF(mb=2,SUM(AD107:AN107),IF(mb=3,SUM(AE107:AN107),IF(mb=4,SUM(AF107:AN107),IF(mb=5,SUM(AG107:AN107),IF(mb=6,SUM(AH107:AN107),IF(mb=7,SUM(AI107:AN107),IF(mb=8,SUM(AJ107:AN107),0))))))))/(TP*hnh))</f>
        <v>#DIV/0!</v>
      </c>
      <c r="K107" s="42" t="e">
        <f>M107*mai</f>
        <v>#DIV/0!</v>
      </c>
      <c r="L107" s="42" t="e">
        <f>1/(VE*((IF(mb=1,SUM(AC107:AN107),IF(mb=2,SUM(AD107:AN107),IF(mb=3,SUM(AE107:AN107),IF(mb=4,SUM(AF107:AN107),IF(mb=5,SUM(AG107:AN107),IF(mb=6,SUM(AH107:AN107),IF(mb=7,SUM(AI107:AN107),IF(mb=8,SUM(AJ107:AN107),0))))))))+(IF(mb=1,SUM(AC107:AN107),IF(mb=2,SUM(AD107:AN107),IF(mb=3,SUM(AE107:AN107),IF(mb=4,SUM(AF107:AN107),IF(mb=5,SUM(AG107:AN107),IF(mb=6,SUM(AH107:AN107),IF(mb=7,SUM(AI107:AN107),IF(mb=8,SUM(AJ107:AN107),0)))))))))/hnh)*mai)/TP)</f>
        <v>#DIV/0!</v>
      </c>
      <c r="M107" s="42" t="e">
        <f>G107+I107</f>
        <v>#DIV/0!</v>
      </c>
      <c r="N107" s="42" t="e">
        <f>1/(VE*(IF(mb=1,SUM(AC107:AN107),IF(mb=2,SUM(AD107:AN107),IF(mb=3,SUM(AE107:AN107),IF(mb=4,SUM(AF107:AN107),IF(mb=5,SUM(AG107:AN107),IF(mb=6,SUM(AH107:AN107),IF(mb=7,SUM(AI107:AN107),IF(mb=8,SUM(AJ107:AN107),0))))))))+(IF(mb=1,SUM(AC107:AN107),IF(mb=2,SUM(AD107:AN107),IF(mb=3,SUM(AE107:AN107),IF(mb=4,SUM(AF107:AN107),IF(mb=5,SUM(AG107:AN107),IF(mb=6,SUM(AH107:AN107),IF(mb=7,SUM(AI107:AN107),IF(mb=8,SUM(AJ107:AN107),0)))))))))/hnh)/TP)</f>
        <v>#DIV/0!</v>
      </c>
      <c r="Q107" s="86" t="e">
        <f>IF(ISc=1,nh1_1,IF(ISc=2,H_1*hnh,0))</f>
        <v>#DIV/0!</v>
      </c>
      <c r="R107" s="111" t="e">
        <f>IF(ScI=1,((nh1_2/(TP-(nh1_1/hnh)-nh1_1))*(TP-(nh1_1/hnh)-nh1_1-(TP*TCv_1*tCo1_1*VE))),IF(ScI=2,(TP-H_1-(H_1*hnh)-(TP*TCv_1*tCo1_1*VE))*(H_2*hnh/(TP-H_1-(H_1*hnh))),"fal"))</f>
        <v>#DIV/0!</v>
      </c>
      <c r="S107" s="137" t="e">
        <f>IF(ScI=1,(nh1_3/(TP-((nh1_1+nh1_2)/hnh)-nh1_1-nh1_2))*(TP-(nh1_1/hnh)-(R107/hnh)-nh1_1-R107-(TP*VE*(TCv_1*tCo1_1+TCv_1*tCo1_2))),IF(ScI=2,(TP-H_1-((TP-H_1-(H_1*hnh)-(TP*TCv_1*tCo1_1*VE))*H_2/(TP-H_1-(H_1*hnh)))-(H_1*hnh)-((TP-H_1-(H_1*hnh)-(TP*TCv_1*tCo1_1*VE))*H_2*hnh/(TP-H_1-(H_1*hnh)))-(TP*TCv_1*tCo1_1*VE)-(TP*TCv_1*tCo1_2*VE))*(H_3*hnh/(TP-H_1-H_2-(hnh*(H_1+H_2)))),0))</f>
        <v>#DIV/0!</v>
      </c>
      <c r="T107" s="86" t="e">
        <f>IF(ScI=1,(nh1_4/(TP-(nh1_1/hnh)-(nh1_2/hnh)-(nh1_3/hnh)-nh1_1-nh1_2-nh1_3))*(TP-(nh1_1/hnh)-(R107/hnh)-(S107/hnh)-nh1_1-R107-S107-(TP*VE*(TCv_1*tCo1_1+TCv_1*tCo1_2+TCv_1*tCo1_3))),IF(ScI=2,(TP-H_1-((TP-H_1-(H_1*hnh)-(TP*TCv_1*tCo1_1*VE))*H_2/(TP-H_1-(H_1*hnh)))-((TP-H_1-(((TP-H_1-(H_1*hnh)-(TP*TCv_1*tCo1_1*VE))*H_2/(TP-H_1-(H_1*hnh))))-(H_1*hnh)-((TP-H_1-(H_1*hnh)-(TP*TCv_1*tCo1_1*VE))*H_2*hnh/(TP-H_1-(H_1*hnh)))-(TP*TCv_1*tCo1_1*VE)-(TP*TCv_1*tCo1_2*VE))*(H_3/(TP-H_1-H_2-(hnh*(H_1+H_2)))))-(H_1*hnh)-((TP-H_1-(H_1*hnh)-(TP*TCv_1*tCo1_1*VE))*H_2*hnh/(TP-H_1-(H_1*hnh)))-((TP-H_1-(((TP-H_1-(H_1*hnh)-(TP*TCv_1*tCo1_1*VE))*H_2/(TP-H_1-(H_1*hnh))))-(H_1*hnh)-(((TP-H_1-(H_1*hnh)-(TP*TCv_1*tCo1_1*VE))*H_2*hnh/(TP-H_1-(H_1*hnh))))-(TP*TCv_1*tCo1_1*VE)-(TP*TCv_1*tCo1_2*VE))*(H_3*hnh/(TP-H_1-H_2-(hnh*(H_1+H_2)))))-(TP*TCv_1*tCo1_1*VE)-(TP*TCv_1*tCo1_2*VE)-(TP*TCv_1*tCo1_3*VE))*(H_4*hnh/(TP-H_1-H_2-H_3-(hnh*(H_1+H_2+H_3)))),0))</f>
        <v>#DIV/0!</v>
      </c>
      <c r="U107" s="86" t="e">
        <f>IF(ScI=1,(nh1_5/(TP-(nh1_1/hnh)-(nh1_2/hnh)-(nh1_3/hnh)-(nh1_4/hnh)-nh1_1-nh1_2-nh1_3-nh1_4))*(TP-(nh1_1/hnh)-(R107/hnh)-(S107/hnh)-(T107/hnh)-nh1_1-R107-S107-T107-(TP*VE*(TCv_1*tCo1_1+TCv_1*tCo1_2+TCv_1*tCo1_3+TCv_1*tCo1_4))),IF(ScI=2,(TP-H_1-(((TP-H_1-(H_1*hnh)-(TP*TCv_1*tCo1_1*VE))*H_2/(TP-H_1-(H_1*hnh))))-AP106-AQ106-(H_1*hnh)-((TP-H_1-(H_1*hnh)-(TP*TCv_1*tCo1_1*VE))*H_2*hnh/(TP-H_1-(H_1*hnh)))-AP108-AQ108-(TP*TCv_1*tCo1_1*VE)-(TP*TCv_1*tCo1_2*VE)-(TP*TCv_1*tCo1_3*VE)-(TP*TCv_1*tCo1_4*VE))*(H_5*hnh/(TP-H_1-H_2-H_3-H_4-(hnh*(H_1+H_2+H_3+H_4)))),0))</f>
        <v>#DIV/0!</v>
      </c>
      <c r="V107" s="86" t="e">
        <f>IF(ScI=1,(nh1_6/(TP-(nh1_1/hnh)-(nh1_2/hnh)-(nh1_3/hnh)-(nh1_4/hnh)-(nh1_5/hnh)-nh1_1-nh1_2-nh1_3-nh1_4-nh1_5))*(TP-(nh1_1/hnh)-(R107/hnh)-(S107/hnh)-(T107/hnh)-(U107/hnh)-nh1_1-R107-S107-T107-U107-(TP*VE*(TCv_1*tCo1_1+TCv_1*tCo1_2+TCv_1*tCo1_3+TCv_1*tCo1_4+TCv_1*tCo1_5))),IF(ScI=2,(TP-H_1-((TP-H_1-(H_1*hnh)-(TP*TCv_1*tCo1_1*VE))*H_2/(TP-H_1-(H_1*hnh)))-AP106-AQ106-AR106-(H_1*hnh)-((TP-H_1-(H_1*hnh)-(TP*TCv_1*tCo1_1*VE))*H_2*hnh/(TP-H_1-(H_1*hnh)))-AP108-AQ108-AR108-(TP*TCv_1*tCo1_1*VE)-(TP*TCv_1*tCo1_2*VE)-(TP*TCv_1*tCo1_3*VE)-(TP*TCv_1*tCo1_4*VE)-(TP*TCv_1*tCo1_5*VE))*(H_6*hnh/(TP-H_1-H_2-H_3-H_4-H_5-(hnh*(H_1+H_2+H_3+H_4+H_5)))),0))</f>
        <v>#DIV/0!</v>
      </c>
      <c r="W107" s="86" t="e">
        <f>IF(ScI=1,(nh1_7/(TP-(nh1_1/hnh)-(nh1_2/hnh)-(nh1_3/hnh)-(nh1_4/hnh)-(nh1_5/hnh)-(nh1_6/hnh)-nh1_1-nh1_2-nh1_3-nh1_4-nh1_5-nh1_6))*(TP-(nh1_1/hnh)-(R107/hnh)-(S107/hnh)-(T107/hnh)-(U107/hnh)-(V107/hnh)-nh1_1-R107-S107-T107-U107-V107-(TP*VE*(TCv_1*tCo1_1+TCv_1*tCo1_2+TCv_1*tCo1_3+TCv_1*tCo1_4+TCv_1*tCo1_5+TCv_1*tCo1_6))),IF(ScI=2,(TP-H_1-((TP-H_1-(H_1*hnh)-(TP*TCv_1*tCo1_1*VE))*H_2/(TP-H_1-(H_1*hnh)))-AP106-AQ106-AR106-AS106-(H_1*hnh)-((TP-H_1-(H_1*hnh)-(TP*TCv_1*tCo1_1*VE))*H_2*hnh/(TP-H_1-(H_1*hnh)))-AP108-AQ108-AR108-AS108-(TP*TCv_1*tCo1_1*VE)-(TP*TCv_1*tCo1_2*VE)-(TP*TCv_1*tCo1_3*VE)-(TP*TCv_1*tCo1_4*VE)-(TP*TCv_1*tCo1_5*VE)-(TP*TCv_1*tCo1_6*VE))*(H_7*hnh/(TP-H_1-H_2-H_3-H_4-H_5-H_6-(hnh*(H_1+H_2+H_3+H_4+H_5+H_6)))),0))</f>
        <v>#DIV/0!</v>
      </c>
      <c r="X107" s="86" t="e">
        <f>IF(ScI=1,(nh1_8/(TP-(nh1_1/hnh)-(nh1_2/hnh)-(nh1_3/hnh)-(nh1_4/hnh)-(nh1_5/hnh)-(nh1_6/hnh)-(nh1_7/hnh)-nh1_1-nh1_2-nh1_3-nh1_4-nh1_5-nh1_6-nh1_7))*(TP-(nh1_1/hnh)-(R107/hnh)-(S107/hnh)-(T107/hnh)-(U107/hnh)-(V107/hnh)-(W107/hnh)-nh1_1-R107-S107-T107-U107-V107-W107-(TP*VE*(TCv_1*tCo1_1+TCv_1*tCo1_2+TCv_1*tCo1_3+TCv_1*tCo1_4+TCv_1*tCo1_5+TCv_1*tCo1_6+TCv_1*tCo1_7))),IF(ScI=2,(TP-H_1-((TP-H_1-(H_1*hnh)-(TP*TCv_1*tCo1_1*VE))*H_2/(TP-H_1-(H_1*hnh)))-AP106-AQ106-AR106-AS106-AT106-(H_1*hnh)-((TP-H_1-(H_1*hnh)-(TP*TCv_1*tCo1_1*VE))*H_2*hnh/(TP-H_1-(H_1*hnh)))-AP108-AQ108-AR108-AS108-AT108-(TP*TCv_1*tCo1_1*VE)-(TP*TCv_1*tCo1_2*VE)-(TP*TCv_1*tCo1_3*VE)-(TP*TCv_1*tCo1_4*VE)-(TP*TCv_1*tCo1_5*VE)-(TP*TCv_1*tCo1_6*VE)-(TP*TCv_1*tCo1_7*VE))*(H_8*hnh/(TP-H_1-H_2-H_3-H_4-H_5-H_6-H_7-(hnh*(H_1+H_2+H_3+H_4+H_5+H_6+H_7)))),0))</f>
        <v>#DIV/0!</v>
      </c>
      <c r="Y107" s="86" t="e">
        <f>IF(ScI=1,(nh1_9/(TP-(nh1_1/hnh)-(nh1_2/hnh)-(nh1_3/hnh)-(nh1_4/hnh)-(nh1_5/hnh)-(nh1_6/hnh)-(nh1_7/hnh)-(nh1_8/hnh)-nh1_1-nh1_2-nh1_3-nh1_4-nh1_5-nh1_6-nh1_7-nh1_8))*(TP-(nh1_1/hnh)-(R107/hnh)-(S107/hnh)-(T107/hnh)-(U107/hnh)-(V107/hnh)-(W107/hnh)-(X107/hnh)-nh1_1-R107-S107-T107-U107-V107-W107-X107-(TP*VE*(TCv_1*tCo1_1+TCv_1*tCo1_2+TCv_1*tCo1_3+TCv_1*tCo1_4+TCv_1*tCo1_5+TCv_1*tCo1_6+TCv_1*tCo1_7+TCv_1*tCo1_8))),IF(ScI=2,(TP-H_1-((TP-H_1-(H_1*hnh)-(TP*TCv_1*tCo1_1*VE))*H_2/(TP-H_1-(H_1*hnh)))-AP106-AQ106-AR106-AS106-AT106-AU106-(H_1*hnh)-((TP-H_1-(H_1*hnh)-(TP*TCv_1*tCo1_1*VE))*H_2*hnh/(TP-H_1-(H_1*hnh)))-AP108-AQ108-AR108-AS108-AT108-AU108-(TP*TCv_1*tCo1_1*VE)-(TP*TCv_1*tCo1_2*VE)-(TP*TCv_1*tCo1_3*VE)-(TP*TCv_1*tCo1_4*VE)-(TP*TCv_1*tCo1_5*VE)-(TP*TCv_1*tCo1_6*VE)-(TP*TCv_1*tCo1_7*VE)-(TP*TCv_1*tCo1_8*VE))*(H_9*hnh/(TP-H_1-H_2-H_3-H_4-H_5-H_6-H_7-H_8-(hnh*(H_1+H_2+H_3+H_4+H_5+H_6+H_7+H_8)))),0))</f>
        <v>#DIV/0!</v>
      </c>
      <c r="Z107" s="86" t="e">
        <f>IF(ScI=1,(nh1_10/(TP-(nh1_1/hnh)-(nh1_2/hnh)-(nh1_3/hnh)-(nh1_4/hnh)-(nh1_5/hnh)-(nh1_6/hnh)-(nh1_7/hnh)-(nh1_8/hnh)-(nh1_9/hnh)-nh1_1-nh1_2-nh1_3-nh1_4-nh1_5-nh1_6-nh1_7-nh1_8-nh1_9))*(TP-(nh1_1/hnh)-(R107/hnh)-(S107/hnh)-(T107/hnh)-(U107/hnh)-(V107/hnh)-(W107/hnh)-(X107/hnh)-(Y107/hnh)-nh1_1-R107-S107-T107-U107-V107-W107-X107-Y107-(TP*VE*(TCv_1*tCo1_1+TCv_1*tCo1_2+TCv_1*tCo1_3+TCv_1*tCo1_4+TCv_1*tCo1_5+TCv_1*tCo1_6+TCv_1*tCo1_7+TCv_1*tCo1_8+TCv_1*tCo1_9))),IF(ScI=2,(TP-H_1-((TP-H_1-(H_1*hnh)-(TP*TCv_1*tCo1_1*VE))*H_2/(TP-H_1-(H_1*hnh)))-AP106-AQ106-AR106-AS106-AT106-AU106-AV106-(H_1*hnh)-((TP-H_1-(H_1*hnh)-(TP*TCv_1*tCo1_1*VE))*H_2*hnh/(TP-H_1-(H_1*hnh)))-AP108-AQ108-AR108-AS108-AT108-AU108-AV108-(TP*TCv_1*tCo1_1*VE)-(TP*TCv_1*tCo1_2*VE)-(TP*TCv_1*tCo1_3*VE)-(TP*TCv_1*tCo1_4*VE)-(TP*TCv_1*tCo1_5*VE)-(TP*TCv_1*tCo1_6*VE)-(TP*TCv_1*tCo1_7*VE)-(TP*TCv_1*tCo1_8*VE)-(TP*TCv_1*tCo1_9*VE))*(H_10*hnh/(TP-H_1-H_2-H_3-H_4-H_5-H_6-H_7-H_8-H_9-(hnh*(H_1+H_2+H_3+H_4+H_5+H_6+H_7+H_8+H_9)))),0))</f>
        <v>#DIV/0!</v>
      </c>
      <c r="AA107" s="86" t="e">
        <f>IF(ScI=1,(nh1_11/(TP-(nh1_1/hnh)-(nh1_2/hnh)-(nh1_3/hnh)-(nh1_4/hnh)-(nh1_5/hnh)-(nh1_6/hnh)-(nh1_7/hnh)-(nh1_8/hnh)-(nh1_9/hnh)-(nh1_10/hnh)-nh1_1-nh1_2-nh1_3-nh1_4-nh1_5-nh1_6-nh1_7-nh1_8-nh1_9-nh1_10))*(TP-(nh1_1/hnh)-(R107/hnh)-(S107/hnh)-(T107/hnh)-(U107/hnh)-(V107/hnh)-(W107/hnh)-(X107/hnh)-(Y107/hnh)-(Z107/hnh)-nh1_1-R107-S107-T107-U107-V107-W107-X107-Y107-Z107-(TP*VE*(TCv_1*tCo1_1+TCv_1*tCo1_2+TCv_1*tCo1_3+TCv_1*tCo1_4+TCv_1*tCo1_5+TCv_1*tCo1_6+TCv_1*tCo1_7+TCv_1*tCo1_8+TCv_1*tCo1_9+TCv_1*tCo1_10))),IF(ScI=2,(TP-H_1-((TP-H_1-(H_1*hnh)-(TP*TCv_1*tCo1_1*VE))*H_2/(TP-H_1-(H_1*hnh)))-AP106-AQ106-AR106-AS106-AT106-AU106-AV106-AW106-(H_1*hnh)-((TP-H_1-(H_1*hnh)-(TP*TCv_1*tCo1_1*VE))*H_2*hnh/(TP-H_1-(H_1*hnh)))-AP108-AQ108-AR108-AS108-AT108-AU108-AV108-AW108-(TP*TCv_1*tCo1_1*VE)-(TP*TCv_1*tCo1_2*VE)-(TP*TCv_1*tCo1_3*VE)-(TP*TCv_1*tCo1_4*VE)-(TP*TCv_1*tCo1_5*VE)-(TP*TCv_1*tCo1_6*VE)-(TP*TCv_1*tCo1_7*VE)-(TP*TCv_1*tCo1_8*VE)-(TP*TCv_1*tCo1_9*VE)-(TP*TCv_1*tCo1_10*VE))*(H_11*hnh/(TP-H_1-H_2-H_3-H_4-H_5-H_6-H_7-H_8-H_9-H_10-(hnh*(H_1+H_2+H_3+H_4+H_5+H_6+H_7+H_8+H_9+H_10)))),0))</f>
        <v>#DIV/0!</v>
      </c>
      <c r="AB107" s="86" t="e">
        <f>IF(ScI=1,(nh1_12/(TP-(nh1_1/hnh)-(nh1_2/hnh)-(nh1_3/hnh)-(nh1_4/hnh)-(nh1_5/hnh)-(nh1_6/hnh)-(nh1_7/hnh)-(nh1_8/hnh)-(nh1_9/hnh)-(nh1_10/hnh)-(nh1_11/hnh)-nh1_1-nh1_2-nh1_3-nh1_4-nh1_5-nh1_6-nh1_7-nh1_8-nh1_9-nh1_10-nh1_11))*(TP-(nh1_1/hnh)-(R107/hnh)-(S107/hnh)-(T107/hnh)-(U107/hnh)-(V107/hnh)-(W107/hnh)-(X107/hnh)-(Y107/hnh)-(Z107/hnh)-(AA107/hnh)-nh1_1-R107-S107-T107-U107-V107-W107-X107-Y107-Z107-AA107-(TP*VE*(TCv_1*tCo1_1+TCv_1*tCo1_2+TCv_1*tCo1_3+TCv_1*tCo1_4+TCv_1*tCo1_5+TCv_1*tCo1_6+TCv_1*tCo1_7+TCv_1*tCo1_8+TCv_1*tCo1_9+TCv_1*tCo1_10+TCv_1*tCo1_11))),IF(ScI=2,(TP-H_1-((TP-H_1-(H_1*hnh)-(TP*TCv_1*tCo1_1*VE))*H_2/(TP-H_1-(H_1*hnh)))-AP106-AQ106-AR106-AS106-AT106-AU106-AV106-AW106-AX106-(H_1*hnh)-((TP-H_1-(H_1*hnh)-(TP*TCv_1*tCo1_1*VE))*H_2*hnh/(TP-H_1-(H_1*hnh)))-AP108-AQ108-AR108-AS108-AT108-AU108-AV108-AW108-AX108-(TP*TCv_1*tCo1_1*VE)-(TP*TCv_1*tCo1_2*VE)-(TP*TCv_1*tCo1_3*VE)-(TP*TCv_1*tCo1_4*VE)-(TP*TCv_1*tCo1_5*VE)-(TP*TCv_1*tCo1_6*VE)-(TP*TCv_1*tCo1_7*VE)-(TP*TCv_1*tCo1_8*VE)-(TP*TCv_1*tCo1_9*VE)-(TP*TCv_1*tCo1_10*VE)-(TP*TCv_1*tCo1_11*VE))*(H_12*hnh/(TP-H_1-H_2-H_3-H_4-H_5-H_6-H_7-H_8-H_9-H_10-H_11-(hnh*(H_1+H_2+H_3+H_4+H_5+H_6+H_7+H_8+H_9+H_10+H_11)))),0))</f>
        <v>#DIV/0!</v>
      </c>
      <c r="AC107" s="88">
        <f>IF(ScI=1,H_1*hnh,IF(ScI=2,H_1*hnh,0))</f>
        <v>0</v>
      </c>
      <c r="AD107" s="88" t="e">
        <f>IF(ScI=1,(TP-H_1-(H_1*hnh))*H_2*hnh/(TP-H_1-(H_1*hnh)-(TP*TCv_1*tCo1_1*VE)),IF(ScI=2,H_2*hnh,0))</f>
        <v>#DIV/0!</v>
      </c>
      <c r="AE107" s="88" t="e">
        <f>IF(ScI=1,(TP-H_1-((TP-H_1-(H_1*hnh))*H_2/(TP-H_1-(H_1*hnh)-(TP*TCv_1*tCo1_1*VE)))-(H_1*hnh)-((TP-H_1-(H_1*hnh))*H_2*hnh/(TP-H_1-(H_1*hnh)-(TP*TCv_1*tCo1_1*VE))))*H_3*hnh/(TP-H_1-H_2-(hnh*(H_1+H_2))-(TP*VE*(TCv_1*tCo1_1+TCv_1*tCo1_2))),IF(ScI=2,H_3*hnh,0))</f>
        <v>#DIV/0!</v>
      </c>
      <c r="AF107" s="88" t="e">
        <f>IF(ScI=1,(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IF(ScI=2,H_4*hnh,0))</f>
        <v>#DIV/0!</v>
      </c>
      <c r="AG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H_5*hnh/(TP-H_1-H_2-H_3-H_4-(hnh*(H_1+H_2+H_3+H_4))-(TP*VE*(TCv_1*tCo1_1+TCv_1*tCo1_2+TCv_1*tCo1_3+TCv_1*tCo1_4))),IF(ScI=2,H_5*hnh,0))</f>
        <v>#DIV/0!</v>
      </c>
      <c r="AH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H_6*hnh/(TP-H_1-H_2-H_3-H_4-H_5-(hnh*(H_1+H_2+H_3+H_4+H_5))-(TP*VE*(TCv_1*tCo1_1+TCv_1*tCo1_2+TCv_1*tCo1_3+TCv_1*tCo1_4+TCv_1*tCo1_5))),IF(ScI=2,H_6*hnh,0))</f>
        <v>#DIV/0!</v>
      </c>
      <c r="AI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H_7*hnh/(TP-H_1-H_2-H_3-H_4-H_5-H_6-(hnh*(H_1+H_2+H_3+H_4+H_5+H_6))-(TP*VE*(TCv_1*tCo1_1+TCv_1*tCo1_2+TCv_1*tCo1_3+TCv_1*tCo1_4+TCv_1*tCo1_5+TCv_1*tCo1_6))),IF(ScI=2,H_7*hnh,0))</f>
        <v>#DIV/0!</v>
      </c>
      <c r="AJ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H_8*hnh/(TP-H_1-H_2-H_3-H_4-H_5-H_6-H_7-(hnh*(H_1+H_2+H_3+H_4+H_5+H_6+H_7))-(TP*VE*(TCv_1*tCo1_1+TCv_1*tCo1_2+TCv_1*tCo1_3+TCv_1*tCo1_4+TCv_1*tCo1_5+TCv_1*tCo1_6+TCv_1*tCo1_7))),IF(ScI=2,H_8*hnh,0))</f>
        <v>#DIV/0!</v>
      </c>
      <c r="AK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H_9*hnh/(TP-H_1-H_2-H_3-H_4-H_5-H_6-H_7-H_8-(hnh*(H_1+H_2+H_3+H_4+H_5+H_6+H_7+H_8))-(TP*VE*(TCv_1*tCo1_1+TCv_1*tCo1_2+TCv_1*tCo1_3+TCv_1*tCo1_4+TCv_1*tCo1_5+TCv_1*tCo1_6+TCv_1*tCo1_7+TCv_1*tCo1_8))),IF(ScI=2,H_9*hnh,0))</f>
        <v>#DIV/0!</v>
      </c>
      <c r="AL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H_10*hnh/(TP-H_1-H_2-H_3-H_4-H_5-H_6-H_7-H_8-H_9-(hnh*(H_1+H_2+H_3+H_4+H_5+H_6+H_7+H_8+H_9))-(TP*VE*(TCv_1*tCo1_1+TCv_1*tCo1_2+TCv_1*tCo1_3+TCv_1*tCo1_4+TCv_1*tCo1_5+TCv_1*tCo1_6+TCv_1*tCo1_7+TCv_1*tCo1_8+TCv_1*tCo1_9))),IF(ScI=2,H_10*hnh,0))</f>
        <v>#DIV/0!</v>
      </c>
      <c r="AM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H_11*hnh/(TP-H_1-H_2-H_3-H_4-H_5-H_6-H_7-H_8-H_9-H_10-(hnh*(H_1+H_2+H_3+H_4+H_5+H_6+H_7+H_8+H_9+H_10))-(TP*VE*(TCv_1*tCo1_1+TCv_1*tCo1_2+TCv_1*tCo1_3+TCv_1*tCo1_4+TCv_1*tCo1_5+TCv_1*tCo1_6+TCv_1*tCo1_7+TCv_1*tCo1_8+TCv_1*tCo1_9+TCv_1*tCo1_10))),IF(ScI=2,H_11*hnh,0))</f>
        <v>#DIV/0!</v>
      </c>
      <c r="AN107" s="88" t="e">
        <f>IF(ScI=1,(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BF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BF108)*H_12*hnh/(TP-H_1-H_2-H_3-H_4-H_5-H_6-H_7-H_8-H_9-H_10-H_11-(hnh*(H_1+H_2+H_3+H_4+H_5+H_6+H_7+H_8+H_9+H_10+H_11))-(TP*VE*(TCv_1*tCo1_1+TCv_1*tCo1_2+TCv_1*tCo1_3+TCv_1*tCo1_4+TCv_1*tCo1_5+TCv_1*tCo1_6+TCv_1*tCo1_7+TCv_1*tCo1_8+TCv_1*tCo1_9+TCv_1*tCo1_10+TCv_1*tCo1_11))),IF(ScI=2,H_12*hnh,0))</f>
        <v>#DIV/0!</v>
      </c>
      <c r="AP107" s="103" t="s">
        <v>82</v>
      </c>
      <c r="AQ107" s="103" t="s">
        <v>83</v>
      </c>
      <c r="AR107" s="103" t="s">
        <v>84</v>
      </c>
      <c r="AS107" s="103" t="s">
        <v>85</v>
      </c>
      <c r="AT107" s="103" t="s">
        <v>86</v>
      </c>
      <c r="AU107" s="103" t="s">
        <v>87</v>
      </c>
      <c r="AV107" s="103" t="s">
        <v>88</v>
      </c>
      <c r="AW107" s="103" t="s">
        <v>89</v>
      </c>
      <c r="AX107" s="103" t="s">
        <v>90</v>
      </c>
      <c r="AZ107" s="103" t="s">
        <v>106</v>
      </c>
      <c r="BA107" s="103" t="s">
        <v>92</v>
      </c>
      <c r="BB107" s="103" t="s">
        <v>98</v>
      </c>
      <c r="BC107" s="103" t="s">
        <v>99</v>
      </c>
      <c r="BD107" s="103" t="s">
        <v>100</v>
      </c>
      <c r="BE107" s="103" t="s">
        <v>101</v>
      </c>
      <c r="BF107" s="103" t="s">
        <v>102</v>
      </c>
    </row>
    <row r="108" spans="1:58" hidden="1" outlineLevel="1" x14ac:dyDescent="0.25">
      <c r="F108" s="113"/>
      <c r="G108" s="31"/>
      <c r="H108" s="31"/>
      <c r="I108" s="31"/>
      <c r="J108" s="31"/>
      <c r="K108" s="31"/>
      <c r="L108" s="31"/>
      <c r="M108" s="31"/>
      <c r="N108" s="31"/>
      <c r="Q108" s="31"/>
      <c r="R108" s="97"/>
      <c r="S108" s="97"/>
      <c r="T108" s="97"/>
      <c r="U108" s="97"/>
      <c r="V108" s="97"/>
      <c r="W108" s="97"/>
      <c r="X108" s="97"/>
      <c r="Y108" s="97"/>
      <c r="Z108" s="97"/>
      <c r="AA108" s="97"/>
      <c r="AB108" s="97"/>
      <c r="AC108" s="98"/>
      <c r="AD108" s="98"/>
      <c r="AE108" s="98"/>
      <c r="AF108" s="98"/>
      <c r="AG108" s="98"/>
      <c r="AH108" s="98"/>
      <c r="AI108" s="98"/>
      <c r="AJ108" s="98"/>
      <c r="AK108" s="98"/>
      <c r="AL108" s="98"/>
      <c r="AM108" s="98"/>
      <c r="AN108" s="98"/>
      <c r="AP108" s="103" t="e">
        <f>((TP-H_1-((TP-H_1-(H_1*hnh)-(TP*TCv_1*tCo1_1*VE))*H_2/(TP-H_1-(H_1*hnh)))-(H_1*hnh)-((TP-H_1-(H_1*hnh)-(TP*TCv_1*tCo1_1*VE))*H_2*hnh/(TP-H_1-(H_1*hnh)))-(TP*TCv_1*tCo1_1*VE)-(TP*TCv_1*tCo1_2*VE))*(H_3*hnh/(TP-H_1-H_2-(hnh*(H_1+H_2)))))</f>
        <v>#DIV/0!</v>
      </c>
      <c r="AQ108" s="103" t="e">
        <f>(TP-H_1-((TP-H_1-(H_1*hnh)-(TP*TCv_1*tCo1_1*VE))*H_2/(TP-H_1-(H_1*hnh)))-AP106-(H_1*hnh)-((TP-H_1-(H_1*hnh)-(TP*TCv_1*tCo1_1*VE))*H_2*hnh/(TP-H_1-(H_1*hnh)))-AP108-(TP*TCv_1*tCo1_1*VE)-(TP*TCv_1*tCo1_2*VE)-(TP*TCv_1*tCo1_3*VE))*(H_4*hnh/(TP-H_1-H_2-H_3-(hnh*(H_1+H_2+H_3))))</f>
        <v>#DIV/0!</v>
      </c>
      <c r="AR108" s="103" t="e">
        <f>(TP-H_1-((TP-H_1-(H_1*hnh)-(TP*TCv_1*tCo1_1*VE))*H_2/(TP-H_1-(H_1*hnh)))-AP106-AQ106-(H_1*hnh)-((TP-H_1-(H_1*hnh)-(TP*TCv_1*tCo1_1*VE))*H_2*hnh/(TP-H_1-(H_1*hnh)))-AP108-AQ108-(TP*TCv_1*tCo1_1*VE)-(TP*TCv_1*tCo1_2*VE)-(TP*TCv_1*tCo1_3*VE)-(TP*TCv_1*tCo1_4*VE))*(H_5*hnh/(TP-H_1-H_2-H_3-H_4-(hnh*(H_1+H_2+H_3+H_4))))</f>
        <v>#DIV/0!</v>
      </c>
      <c r="AS108" s="103" t="e">
        <f>(TP-H_1-((TP-H_1-(H_1*hnh)-(TP*TCv_1*tCo1_1*VE))*H_2/(TP-H_1-(H_1*hnh)))-AP106-AQ106-AR106-(H_1*hnh)-((TP-H_1-(H_1*hnh)-(TP*TCv_1*tCo1_1*VE))*H_2*hnh/(TP-H_1-(H_1*hnh)))-AP108-AQ108-AR108-(TP*TCv_1*tCo1_1*VE)-(TP*TCv_1*tCo1_2*VE)-(TP*TCv_1*tCo1_3*VE)-(TP*TCv_1*tCo1_4*VE)-(TP*TCv_1*tCo1_5*VE))*(H_6*hnh/(TP-H_1-H_2-H_3-H_4-H_5-(hnh*(H_1+H_2+H_3+H_4+H_5))))</f>
        <v>#DIV/0!</v>
      </c>
      <c r="AT108" s="103" t="e">
        <f>(TP-H_1-((TP-H_1-(H_1*hnh)-(TP*TCv_1*tCo1_1*VE))*H_2/(TP-H_1-(H_1*hnh)))-AP106-AQ106-AR106-AS106-(H_1*hnh)-((TP-H_1-(H_1*hnh)-(TP*TCv_1*tCo1_1*VE))*H_2*hnh/(TP-H_1-(H_1*hnh)))-AP108-AQ108-AR108-AS108-(TP*TCv_1*tCo1_1*VE)-(TP*TCv_1*tCo1_2*VE)-(TP*TCv_1*tCo1_3*VE)-(TP*TCv_1*tCo1_4*VE)-(TP*TCv_1*tCo1_5*VE)-(TP*TCv_1*tCo1_6*VE))*(H_7*hnh/(TP-H_1-H_2-H_3-H_4-H_5-H_6-(hnh*(H_1+H_2+H_3+H_4+H_5+H_6))))</f>
        <v>#DIV/0!</v>
      </c>
      <c r="AU108" s="103" t="e">
        <f>(TP-H_1-((TP-H_1-(H_1*hnh)-(TP*TCv_1*tCo1_1*VE))*H_2/(TP-H_1-(H_1*hnh)))-AP106-AQ106-AR106-AS106-AT106-(H_1*hnh)-((TP-H_1-(H_1*hnh)-(TP*TCv_1*tCo1_1*VE))*H_2*hnh/(TP-H_1-(H_1*hnh)))-AP108-AQ108-AR108-AS108-AT108-(TP*TCv_1*tCo1_1*VE)-(TP*TCv_1*tCo1_2*VE)-(TP*TCv_1*tCo1_3*VE)-(TP*TCv_1*tCo1_4*VE)-(TP*TCv_1*tCo1_5*VE)-(TP*TCv_1*tCo1_6*VE)-(TP*TCv_1*tCo1_7*VE))*(H_8*hnh/(TP-H_1-H_2-H_3-H_4-H_5-H_6-H_7-(hnh*(H_1+H_2+H_3+H_4+H_5+H_6+H_7))))</f>
        <v>#DIV/0!</v>
      </c>
      <c r="AV108" s="103" t="e">
        <f>(TP-H_1-((TP-H_1-(H_1*hnh)-(TP*TCv_1*tCo1_1*VE))*H_2/(TP-H_1-(H_1*hnh)))-AP106-AQ106-AR106-AS106-AT106-AU106-(H_1*hnh)-((TP-H_1-(H_1*hnh)-(TP*TCv_1*tCo1_1*VE))*H_2*hnh/(TP-H_1-(H_1*hnh)))-AP108-AQ108-AR108-AS108-AT108-AU108-(TP*TCv_1*tCo1_1*VE)-(TP*TCv_1*tCo1_2*VE)-(TP*TCv_1*tCo1_3*VE)-(TP*TCv_1*tCo1_4*VE)-(TP*TCv_1*tCo1_5*VE)-(TP*TCv_1*tCo1_6*VE)-(TP*TCv_1*tCo1_7*VE)-(TP*TCv_1*tCo1_8*VE))*(H_9*hnh/(TP-H_1-H_2-H_3-H_4-H_5-H_6-H_7-H_8-(hnh*(H_1+H_2+H_3+H_4+H_5+H_6+H_7+H_8))))</f>
        <v>#DIV/0!</v>
      </c>
      <c r="AW108" s="103" t="e">
        <f>(TP-H_1-((TP-H_1-(H_1*hnh)-(TP*TCv_1*tCo1_1*VE))*H_2/(TP-H_1-(H_1*hnh)))-AP106-AQ106-AR106-AS106-AT106-AU106-AV106-(H_1*hnh)-((TP-H_1-(H_1*hnh)-(TP*TCv_1*tCo1_1*VE))*H_2*hnh/(TP-H_1-(H_1*hnh)))-AP108-AQ108-AR108-AS108-AT108-AU108-AV108-(TP*TCv_1*tCo1_1*VE)-(TP*TCv_1*tCo1_2*VE)-(TP*TCv_1*tCo1_3*VE)-(TP*TCv_1*tCo1_4*VE)-(TP*TCv_1*tCo1_5*VE)-(TP*TCv_1*tCo1_6*VE)-(TP*TCv_1*tCo1_7*VE)-(TP*TCv_1*tCo1_8*VE)-(TP*TCv_1*tCo1_9*VE))*(H_10*hnh/(TP-H_1-H_2-H_3-H_4-H_5-H_6-H_7-H_8-H_9-(hnh*(H_1+H_2+H_3+H_4+H_5+H_6+H_7+H_8+H_9))))</f>
        <v>#DIV/0!</v>
      </c>
      <c r="AX108" s="103" t="e">
        <f>(TP-H_1-((TP-H_1-(H_1*hnh)-(TP*TCv_1*tCo1_1*VE))*H_2/(TP-H_1-(H_1*hnh)))-AP106-AQ106-AR106-AS106-AT106-AU106-AV106-AW106-(H_1*hnh)-((TP-H_1-(H_1*hnh)-(TP*TCv_1*tCo1_1*VE))*H_2*hnh/(TP-H_1-(H_1*hnh)))-AP108-AQ108-AR108-AS108-AT108-AU108-AV108-AW108-(TP*TCv_1*tCo1_1*VE)-(TP*TCv_1*tCo1_2*VE)-(TP*TCv_1*tCo1_3*VE)-(TP*TCv_1*tCo1_4*VE)-(TP*TCv_1*tCo1_5*VE)-(TP*TCv_1*tCo1_6*VE)-(TP*TCv_1*tCo1_7*VE)-(TP*TCv_1*tCo1_8*VE)-(TP*TCv_1*tCo1_9*VE)-(TP*TCv_1*tCo1_10*VE))*(H_11*hnh/(TP-H_1-H_2-H_3-H_4-H_5-H_6-H_7-H_8-H_9-H_10-(hnh*(H_1+H_2+H_3+H_4+H_5+H_6+H_7+H_8+H_9+H_10))))</f>
        <v>#DIV/0!</v>
      </c>
      <c r="AZ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H_5*hnh/(TP-H_1-H_2-H_3-H_4-(hnh*(H_1+H_2+H_3+H_4))-(TP*VE*(TCv_1*tCo1_1+TCv_1*tCo1_2+TCv_1*tCo1_3+TCv_1*tCo1_4)))</f>
        <v>#DIV/0!</v>
      </c>
      <c r="BA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H_6*hnh/(TP-H_1-H_2-H_3-H_4-H_5-(hnh*(H_1+H_2+H_3+H_4+H_5))-(TP*VE*(TCv_1*tCo1_1+TCv_1*tCo1_2+TCv_1*tCo1_3+TCv_1*tCo1_4+TCv_1*tCo1_5)))</f>
        <v>#DIV/0!</v>
      </c>
      <c r="BB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H_7*hnh/(TP-H_1-H_2-H_3-H_4-H_5-H_6-(hnh*(H_1+H_2+H_3+H_4+H_5+H_6))-(TP*VE*(TCv_1*tCo1_1+TCv_1*tCo1_2+TCv_1*tCo1_3+TCv_1*tCo1_4+TCv_1*tCo1_5+TCv_1*tCo1_6)))</f>
        <v>#DIV/0!</v>
      </c>
      <c r="BC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H_8*hnh/(TP-H_1-H_2-H_3-H_4-H_5-H_6-H_7-(hnh*(H_1+H_2+H_3+H_4+H_5+H_6+H_7))-(TP*VE*(TCv_1*tCo1_1+TCv_1*tCo1_2+TCv_1*tCo1_3+TCv_1*tCo1_4+TCv_1*tCo1_5+TCv_1*tCo1_6+TCv_1*tCo1_7)))</f>
        <v>#DIV/0!</v>
      </c>
      <c r="BD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H_9*hnh/(TP-H_1-H_2-H_3-H_4-H_5-H_6-H_7-H_8-(hnh*(H_1+H_2+H_3+H_4+H_5+H_6+H_7+H_8))-(TP*VE*(TCv_1*tCo1_1+TCv_1*tCo1_2+TCv_1*tCo1_3+TCv_1*tCo1_4+TCv_1*tCo1_5+TCv_1*tCo1_6+TCv_1*tCo1_7+TCv_1*tCo1_8)))</f>
        <v>#DIV/0!</v>
      </c>
      <c r="BE108"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106-BA106-BB106-BC106-BD106-(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108-BA108-BB108-BC108-BD108)*H_10*hnh/(TP-H_1-H_2-H_3-H_4-H_5-H_6-H_7-H_8-H_9-(hnh*(H_1+H_2+H_3+H_4+H_5+H_6+H_7+H_8+H_9))-(TP*VE*(Co_1+Co_2+Co_3+Co_4+Co_5+Co_6+Co_7+Co_8+Co_9)))</f>
        <v>#DIV/0!</v>
      </c>
      <c r="BF108" s="103" t="e">
        <f>(TP-H_1-((TP-H_1-(H_1*hnh))*H_2/(TP-H_1-(H_1*hnh)-(TP*TCv_1*tCo1_1*VE)))-((TP-H_1-((TP-H_1-(H_1*hnh))*H_2/(TP-H_1-(H_1*hnh)-(TP*TCv_1*tCo1_1*VE)))-(H_1*hnh)-((TP-H_1-(H_1*hnh))*H_2*hnh/(TP-H_1-(H_1*hnh)-(TP*TCv_1*tCo1_1*VE))))*H_3/(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TP-H_1-H_2-H_3-(hnh*(H_1+H_2+H_3))-(TP*VE*(TCv_1*tCo1_1+TCv_1*tCo1_2+TCv_1*tCo1_3))))-AZ106-BA106-BB106-BC106-BD106-BE106-(H_1*hnh)-((TP-H_1-(H_1*hnh))*H_2*hnh/(TP-H_1-(H_1*hnh)-(TP*TCv_1*tCo1_1*VE)))-((TP-H_1-((TP-H_1-(H_1*hnh))*H_2/(TP-H_1-(H_1*hnh)-(TP*TCv_1*tCo1_1*VE)))-(H_1*hnh)-((TP-H_1-(H_1*hnh))*H_2*hnh/(TP-H_1-(H_1*hnh)-(TP*TCv_1*tCo1_1*VE))))*H_3*hnh/(TP-H_1-H_2-(hnh*(H_1+H_2))-(TP*VE*(TCv_1*tCo1_1+TCv_1*tCo1_2))))-((TP-H_1-((TP-H_1-(H_1*hnh))*H_2/(TP-H_1-(H_1*hnh)-(TP*TCv_1*tCo1_1*VE)))-((TP-H_1-((TP-H_1-(H_1*hnh))*H_2/(TP-H_1-(H_1*hnh)-(TP*TCv_1*tCo1_1*VE)))-(H_1*hnh)-((TP-H_1-(H_1*hnh))*H_2*hnh/(TP-H_1-(H_1*hnh)-(TP*TCv_1*tCo1_1*VE))))*H_3/(TP-H_1-H_2-(hnh*(H_1+H_2))-(TP*VE*(TCv_1*tCo1_1+TCv_1*tCo1_2))))-(H_1*hnh)-((TP-H_1-(H_1*hnh))*H_2*hnh/(TP-H_1-(H_1*hnh)-(TP*TCv_1*tCo1_1*VE)))-((TP-H_1-((TP-H_1-(H_1*hnh))*H_2/(TP-H_1-(H_1*hnh)-(TP*TCv_1*tCo1_1*VE)))-(H_1*hnh)-((TP-H_1-(H_1*hnh))*H_2*hnh/(TP-H_1-(H_1*hnh)-(TP*TCv_1*tCo1_1*VE))))*H_3*hnh/(TP-H_1-H_2-(hnh*(H_1+H_2))-(TP*VE*(TCv_1*tCo1_1+TCv_1*tCo1_2)))))*H_4*hnh/(TP-H_1-H_2-H_3-(hnh*(H_1+H_2+H_3))-(TP*VE*(TCv_1*tCo1_1+TCv_1*tCo1_2+TCv_1*tCo1_3))))-AZ108-BA108-BB108-BC108-BD108-BE108)*H_11*hnh/(TP-H_1-H_2-H_3-H_4-H_5-H_6-H_7-H_8-H_9-H_10-(hnh*(H_1+H_2+H_3+H_4+H_5+H_6+H_7+H_8+H_9+H_10))-(TP*VE*(TCv_1*tCo1_1+TCv_1*tCo1_2+TCv_1*tCo1_3+TCv_1*tCo1_4+TCv_1*tCo1_5+TCv_1*tCo1_6+TCv_1*tCo1_7+TCv_1*tCo1_8+TCv_1*tCo1_9+TCv_1*tCo1_10)))</f>
        <v>#DIV/0!</v>
      </c>
    </row>
    <row r="109" spans="1:58" hidden="1" outlineLevel="1" x14ac:dyDescent="0.25">
      <c r="F109" s="112"/>
    </row>
    <row r="110" spans="1:58" hidden="1" outlineLevel="1" x14ac:dyDescent="0.25"/>
    <row r="111" spans="1:58" collapsed="1" x14ac:dyDescent="0.25"/>
    <row r="112" spans="1:58" s="105" customFormat="1" x14ac:dyDescent="0.25">
      <c r="A112" s="104" t="s">
        <v>297</v>
      </c>
      <c r="B112" s="104"/>
    </row>
    <row r="113" spans="1:58" hidden="1" outlineLevel="1" x14ac:dyDescent="0.25">
      <c r="Q113" s="102" t="s">
        <v>72</v>
      </c>
      <c r="R113" s="102"/>
      <c r="S113" s="102"/>
      <c r="T113" s="102"/>
      <c r="U113" s="102"/>
      <c r="V113" s="102"/>
      <c r="W113" s="102"/>
      <c r="X113" s="102"/>
      <c r="Y113" s="102"/>
      <c r="Z113" s="102"/>
      <c r="AA113" s="102"/>
      <c r="AB113" s="102"/>
      <c r="AC113" s="101" t="s">
        <v>104</v>
      </c>
      <c r="AD113" s="101"/>
      <c r="AE113" s="101"/>
      <c r="AF113" s="101"/>
      <c r="AG113" s="101"/>
      <c r="AH113" s="101"/>
      <c r="AI113" s="101"/>
      <c r="AJ113" s="101"/>
      <c r="AK113" s="101"/>
      <c r="AL113" s="101"/>
      <c r="AM113" s="101"/>
      <c r="AN113" s="101"/>
      <c r="AP113" s="103">
        <v>3</v>
      </c>
      <c r="AQ113" s="103">
        <v>4</v>
      </c>
      <c r="AR113" s="103">
        <v>5</v>
      </c>
      <c r="AS113" s="103">
        <v>6</v>
      </c>
      <c r="AT113" s="103">
        <v>7</v>
      </c>
      <c r="AU113" s="103">
        <v>8</v>
      </c>
      <c r="AV113" s="103">
        <v>9</v>
      </c>
      <c r="AW113" s="103">
        <v>10</v>
      </c>
      <c r="AX113" s="103">
        <v>11</v>
      </c>
      <c r="AZ113" s="103">
        <v>5</v>
      </c>
      <c r="BA113" s="103">
        <v>6</v>
      </c>
      <c r="BB113" s="103">
        <v>7</v>
      </c>
      <c r="BC113" s="103">
        <v>8</v>
      </c>
      <c r="BD113" s="103">
        <v>9</v>
      </c>
      <c r="BE113" s="103">
        <v>10</v>
      </c>
      <c r="BF113" s="103">
        <v>11</v>
      </c>
    </row>
    <row r="114" spans="1:58" ht="28.7" hidden="1" customHeight="1" outlineLevel="1" x14ac:dyDescent="0.25">
      <c r="A114" s="11" t="s">
        <v>47</v>
      </c>
      <c r="B114" s="11"/>
      <c r="C114" s="11"/>
      <c r="D114" s="11"/>
      <c r="E114" s="11"/>
      <c r="F114" s="11"/>
      <c r="G114" s="109" t="s">
        <v>50</v>
      </c>
      <c r="H114" s="109"/>
      <c r="I114" s="110" t="s">
        <v>44</v>
      </c>
      <c r="J114" s="110"/>
      <c r="K114" s="101" t="s">
        <v>58</v>
      </c>
      <c r="L114" s="101"/>
      <c r="M114" s="110" t="s">
        <v>45</v>
      </c>
      <c r="N114" s="110"/>
      <c r="Q114" s="102" t="s">
        <v>1</v>
      </c>
      <c r="R114" s="102"/>
      <c r="S114" s="102"/>
      <c r="T114" s="102"/>
      <c r="U114" s="102"/>
      <c r="V114" s="102"/>
      <c r="W114" s="102"/>
      <c r="X114" s="102"/>
      <c r="Y114" s="102"/>
      <c r="Z114" s="102"/>
      <c r="AA114" s="102"/>
      <c r="AB114" s="102"/>
      <c r="AC114" s="101" t="s">
        <v>71</v>
      </c>
      <c r="AD114" s="101"/>
      <c r="AE114" s="101"/>
      <c r="AF114" s="101"/>
      <c r="AG114" s="101"/>
      <c r="AH114" s="101"/>
      <c r="AI114" s="101"/>
      <c r="AJ114" s="101"/>
      <c r="AK114" s="101"/>
      <c r="AL114" s="101"/>
      <c r="AM114" s="101"/>
      <c r="AN114" s="101"/>
      <c r="AP114" s="103" t="s">
        <v>73</v>
      </c>
      <c r="AQ114" s="103" t="s">
        <v>74</v>
      </c>
      <c r="AR114" s="103" t="s">
        <v>75</v>
      </c>
      <c r="AS114" s="103" t="s">
        <v>76</v>
      </c>
      <c r="AT114" s="103" t="s">
        <v>77</v>
      </c>
      <c r="AU114" s="103" t="s">
        <v>78</v>
      </c>
      <c r="AV114" s="103" t="s">
        <v>79</v>
      </c>
      <c r="AW114" s="103" t="s">
        <v>80</v>
      </c>
      <c r="AX114" s="103" t="s">
        <v>81</v>
      </c>
      <c r="AZ114" s="103" t="s">
        <v>105</v>
      </c>
      <c r="BA114" s="103" t="s">
        <v>91</v>
      </c>
      <c r="BB114" s="103" t="s">
        <v>93</v>
      </c>
      <c r="BC114" s="103" t="s">
        <v>94</v>
      </c>
      <c r="BD114" s="103" t="s">
        <v>95</v>
      </c>
      <c r="BE114" s="103" t="s">
        <v>96</v>
      </c>
      <c r="BF114" s="103" t="s">
        <v>97</v>
      </c>
    </row>
    <row r="115" spans="1:58" ht="45" hidden="1" outlineLevel="1" x14ac:dyDescent="0.25">
      <c r="A115" s="70" t="s">
        <v>40</v>
      </c>
      <c r="B115" s="70" t="s">
        <v>41</v>
      </c>
      <c r="C115" s="70" t="s">
        <v>53</v>
      </c>
      <c r="D115" s="70" t="s">
        <v>48</v>
      </c>
      <c r="E115" s="70" t="s">
        <v>42</v>
      </c>
      <c r="F115" s="76" t="s">
        <v>49</v>
      </c>
      <c r="G115" s="71" t="s">
        <v>51</v>
      </c>
      <c r="H115" s="71" t="s">
        <v>52</v>
      </c>
      <c r="I115" s="72" t="s">
        <v>51</v>
      </c>
      <c r="J115" s="72" t="s">
        <v>52</v>
      </c>
      <c r="K115" s="77" t="s">
        <v>51</v>
      </c>
      <c r="L115" s="77" t="s">
        <v>52</v>
      </c>
      <c r="M115" s="72" t="s">
        <v>51</v>
      </c>
      <c r="N115" s="72" t="s">
        <v>52</v>
      </c>
      <c r="Q115" s="102">
        <v>1</v>
      </c>
      <c r="R115" s="102">
        <v>2</v>
      </c>
      <c r="S115" s="102">
        <v>3</v>
      </c>
      <c r="T115" s="102">
        <v>4</v>
      </c>
      <c r="U115" s="102">
        <v>5</v>
      </c>
      <c r="V115" s="102">
        <v>6</v>
      </c>
      <c r="W115" s="102">
        <v>7</v>
      </c>
      <c r="X115" s="102">
        <v>8</v>
      </c>
      <c r="Y115" s="102">
        <v>9</v>
      </c>
      <c r="Z115" s="102">
        <v>10</v>
      </c>
      <c r="AA115" s="102">
        <v>11</v>
      </c>
      <c r="AB115" s="102">
        <v>12</v>
      </c>
      <c r="AC115" s="101">
        <v>1</v>
      </c>
      <c r="AD115" s="101">
        <v>2</v>
      </c>
      <c r="AE115" s="101">
        <v>3</v>
      </c>
      <c r="AF115" s="101">
        <v>4</v>
      </c>
      <c r="AG115" s="101">
        <v>5</v>
      </c>
      <c r="AH115" s="101">
        <v>6</v>
      </c>
      <c r="AI115" s="101">
        <v>7</v>
      </c>
      <c r="AJ115" s="101">
        <v>8</v>
      </c>
      <c r="AK115" s="101">
        <v>9</v>
      </c>
      <c r="AL115" s="101">
        <v>10</v>
      </c>
      <c r="AM115" s="101">
        <v>11</v>
      </c>
      <c r="AN115" s="101">
        <v>12</v>
      </c>
      <c r="AP115" s="103" t="e">
        <f>((TP-H_1-((TP-H_1-(H_1*hnh)-(TP*TCv_2*tCo1_1*VE))*H_2/(TP-H_1-(H_1*hnh)))-(H_1*hnh)-((TP-H_1-(H_1*hnh)-(TP*TCv_2*tCo1_1*VE))*H_2*hnh/(TP-H_1-(H_1*hnh)))-(TP*TCv_2*tCo1_1*VE)-(TP*TCv_2*tCo1_2*VE))*(H_3/(TP-H_1-H_2-(hnh*(H_1+H_2)))))</f>
        <v>#DIV/0!</v>
      </c>
      <c r="AQ115" s="103" t="e">
        <f>(TP-H_1-((TP-H_1-(H_1*hnh)-(TP*TCv_2*tCo1_1*VE))*H_2/(TP-H_1-(H_1*hnh)))-AP115-(H_1*hnh)-((TP-H_1-(H_1*hnh)-(TP*TCv_2*tCo1_1*VE))*H_2*hnh/(TP-H_1-(H_1*hnh)))-AP117-(TP*TCv_2*tCo1_1*VE)-(TP*TCv_2*tCo1_2*VE)-(TP*TCv_2*tCo1_3*VE))*(H_4/(TP-H_1-H_2-H_3-(hnh*(H_1+H_2+H_3))))</f>
        <v>#DIV/0!</v>
      </c>
      <c r="AR115" s="103" t="e">
        <f>(TP-H_1-((TP-H_1-(H_1*hnh)-(TP*TCv_2*tCo1_1*VE))*H_2/(TP-H_1-(H_1*hnh)))-AP115-AQ115-(H_1*hnh)-((TP-H_1-(H_1*hnh)-(TP*TCv_2*tCo1_1*VE))*H_2*hnh/(TP-H_1-(H_1*hnh)))-AP117-AQ117-(TP*TCv_2*tCo1_1*VE)-(TP*TCv_2*tCo1_2*VE)-(TP*TCv_2*tCo1_3*VE)-(TP*TCv_2*tCo1_4*VE))*(H_5/(TP-H_1-H_2-H_3-H_4-(hnh*(H_1+H_2+H_3+H_4))))</f>
        <v>#DIV/0!</v>
      </c>
      <c r="AS115" s="103" t="e">
        <f>(TP-H_1-((TP-H_1-(H_1*hnh)-(TP*TCv_2*tCo1_1*VE))*H_2/(TP-H_1-(H_1*hnh)))-AP115-AQ115-AR115-(H_1*hnh)-((TP-H_1-(H_1*hnh)-(TP*TCv_2*tCo1_1*VE))*H_2*hnh/(TP-H_1-(H_1*hnh)))-AP117-AQ117-AR117-(TP*TCv_2*tCo1_1*VE)-(TP*TCv_2*tCo1_2*VE)-(TP*TCv_2*tCo1_3*VE)-(TP*TCv_2*tCo1_4*VE)-(TP*TCv_2*tCo1_5*VE))*(H_6/(TP-H_1-H_2-H_3-H_4-H_5-(hnh*(H_1+H_2+H_3+H_4+H_5))))</f>
        <v>#DIV/0!</v>
      </c>
      <c r="AT115" s="103" t="e">
        <f>(TP-H_1-((TP-H_1-(H_1*hnh)-(TP*TCv_2*tCo1_1*VE))*H_2/(TP-H_1-(H_1*hnh)))-AP115-AQ115-AR115-AS115-(H_1*hnh)-((TP-H_1-(H_1*hnh)-(TP*TCv_2*tCo1_1*VE))*H_2*hnh/(TP-H_1-(H_1*hnh)))-AP117-AQ117-AR117-AS117-(TP*TCv_2*tCo1_1*VE)-(TP*TCv_2*tCo1_2*VE)-(TP*TCv_2*tCo1_3*VE)-(TP*TCv_2*tCo1_4*VE)-(TP*TCv_2*tCo1_5*VE)-(TP*TCv_2*tCo1_6*VE))*(H_7/(TP-H_1-H_2-H_3-H_4-H_5-H_6-(hnh*(H_1+H_2+H_3+H_4+H_5+H_6))))</f>
        <v>#DIV/0!</v>
      </c>
      <c r="AU115" s="103" t="e">
        <f>(TP-H_1-((TP-H_1-(H_1*hnh)-(TP*TCv_2*tCo1_1*VE))*H_2/(TP-H_1-(H_1*hnh)))-AP115-AQ115-AR115-AS115-AT115-(H_1*hnh)-((TP-H_1-(H_1*hnh)-(TP*TCv_2*tCo1_1*VE))*H_2*hnh/(TP-H_1-(H_1*hnh)))-AP117-AQ117-AR117-AS117-AT117-(TP*TCv_2*tCo1_1*VE)-(TP*TCv_2*tCo1_2*VE)-(TP*TCv_2*tCo1_3*VE)-(TP*TCv_2*tCo1_4*VE)-(TP*TCv_2*tCo1_5*VE)-(TP*TCv_2*tCo1_6*VE)-(TP*TCv_2*tCo1_7*VE))*(H_8/(TP-H_1-H_2-H_3-H_4-H_5-H_6-H_7-(hnh*(H_1+H_2+H_3+H_4+H_5+H_6+H_7))))</f>
        <v>#DIV/0!</v>
      </c>
      <c r="AV115" s="103" t="e">
        <f>(TP-H_1-((TP-H_1-(H_1*hnh)-(TP*TCv_2*tCo1_1*VE))*H_2/(TP-H_1-(H_1*hnh)))-AP115-AQ115-AR115-AS115-AT115-AU115-(H_1*hnh)-((TP-H_1-(H_1*hnh)-(TP*TCv_2*tCo1_1*VE))*H_2*hnh/(TP-H_1-(H_1*hnh)))-AP117-AQ117-AR117-AS117-AT117-AU117-(TP*TCv_2*tCo1_1*VE)-(TP*TCv_2*tCo1_2*VE)-(TP*TCv_2*tCo1_3*VE)-(TP*TCv_2*tCo1_4*VE)-(TP*TCv_2*tCo1_5*VE)-(TP*TCv_2*tCo1_6*VE)-(TP*TCv_2*tCo1_7*VE)-(TP*TCv_2*tCo1_8*VE))*(H_9/(TP-H_1-H_2-H_3-H_4-H_5-H_6-H_7-H_8-(hnh*(H_1+H_2+H_3+H_4+H_5+H_6+H_7+H_8))))</f>
        <v>#DIV/0!</v>
      </c>
      <c r="AW115" s="103" t="e">
        <f>(TP-H_1-((TP-H_1-(H_1*hnh)-(TP*TCv_2*tCo1_1*VE))*H_2/(TP-H_1-(H_1*hnh)))-AP115-AQ115-AR115-AS115-AT115-AU115-AV115-(H_1*hnh)-((TP-H_1-(H_1*hnh)-(TP*TCv_2*tCo1_1*VE))*H_2*hnh/(TP-H_1-(H_1*hnh)))-AP117-AQ117-AR117-AS117-AT117-AU117-AV117-(TP*TCv_2*tCo1_1*VE)-(TP*TCv_2*tCo1_2*VE)-(TP*TCv_2*tCo1_3*VE)-(TP*TCv_2*tCo1_4*VE)-(TP*TCv_2*tCo1_5*VE)-(TP*TCv_2*tCo1_6*VE)-(TP*TCv_2*tCo1_7*VE)-(TP*TCv_2*tCo1_8*VE)-(TP*TCv_2*tCo1_9*VE))*(H_10/(TP-H_1-H_2-H_3-H_4-H_5-H_6-H_7-H_8-H_9-(hnh*(H_1+H_2+H_3+H_4+H_5+H_6+H_7+H_8+H_9))))</f>
        <v>#DIV/0!</v>
      </c>
      <c r="AX115" s="103" t="e">
        <f>(TP-H_1-((TP-H_1-(H_1*hnh)-(TP*TCv_2*tCo1_1*VE))*H_2/(TP-H_1-(H_1*hnh)))-AP115-AQ115-AR115-AS115-AT115-AU115-AV115-AW115-(H_1*hnh)-((TP-H_1-(H_1*hnh)-(TP*TCv_2*tCo1_1*VE))*H_2*hnh/(TP-H_1-(H_1*hnh)))-AP117-AQ117-AR117-AS117-AT117-AU117-AV117-AW117-(TP*TCv_2*tCo1_1*VE)-(TP*TCv_2*tCo1_2*VE)-(TP*TCv_2*tCo1_3*VE)-(TP*TCv_2*tCo1_4*VE)-(TP*TCv_2*tCo1_5*VE)-(TP*TCv_2*tCo1_6*VE)-(TP*TCv_2*tCo1_7*VE)-(TP*TCv_2*tCo1_8*VE)-(TP*TCv_2*tCo1_9*VE)-(TP*TCv_2*tCo1_10*VE))*(H_11/(TP-H_1-H_2-H_3-H_4-H_5-H_6-H_7-H_8-H_9-H_10-(hnh*(H_1+H_2+H_3+H_4+H_5+H_6+H_7+H_8+H_9+H_10))))</f>
        <v>#DIV/0!</v>
      </c>
      <c r="AZ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H_5/(TP-H_1-H_2-H_3-H_4-(hnh*(H_1+H_2+H_3+H_4))-(TP*VE*(TCv_2*tCo1_1+TCv_2*tCo1_2+TCv_2*tCo1_3+TCv_2*tCo1_4)))</f>
        <v>#DIV/0!</v>
      </c>
      <c r="BA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H_6/(TP-H_1-H_2-H_3-H_4-H_5-(hnh*(H_1+H_2+H_3+H_4+H_5))-(TP*VE*(TCv_2*tCo1_1+TCv_2*tCo1_2+TCv_2*tCo1_3+TCv_2*tCo1_4+TCv_2*tCo1_5)))</f>
        <v>#DIV/0!</v>
      </c>
      <c r="BB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H_7/(TP-H_1-H_2-H_3-H_4-H_5-H_6-(hnh*(H_1+H_2+H_3+H_4+H_5+H_6))-(TP*VE*(TCv_2*tCo1_1+TCv_2*tCo1_2+TCv_2*tCo1_3+TCv_2*tCo1_4+TCv_2*tCo1_5+TCv_2*tCo1_6)))</f>
        <v>#DIV/0!</v>
      </c>
      <c r="BC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H_8/(TP-H_1-H_2-H_3-H_4-H_5-H_6-H_7-(hnh*(H_1+H_2+H_3+H_4+H_5+H_6+H_7))-(TP*VE*(TCv_2*tCo1_1+TCv_2*tCo1_2+TCv_2*tCo1_3+TCv_2*tCo1_4+TCv_2*tCo1_5+TCv_2*tCo1_6+TCv_2*tCo1_7)))</f>
        <v>#DIV/0!</v>
      </c>
      <c r="BD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H_9/(TP-H_1-H_2-H_3-H_4-H_5-H_6-H_7-H_8-(hnh*(H_1+H_2+H_3+H_4+H_5+H_6+H_7+H_8))-(TP*VE*(TCv_2*tCo1_1+TCv_2*tCo1_2+TCv_2*tCo1_3+TCv_2*tCo1_4+TCv_2*tCo1_5+TCv_2*tCo1_6+TCv_2*tCo1_7+TCv_2*tCo1_8)))</f>
        <v>#DIV/0!</v>
      </c>
      <c r="BE11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115-BA115-BB115-BC115-BD115-(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117-BA117-BB117-BC117-BD117)*H_10/(TP-H_1-H_2-H_3-H_4-H_5-H_6-H_7-H_8-H_9-(hnh*(H_1+H_2+H_3+H_4+H_5+H_6+H_7+H_8+H_9))-(TP*VE*(Co_1+Co_2+Co_3+Co_4+Co_5+Co_6+Co_7+Co_8+Co_9)))</f>
        <v>#DIV/0!</v>
      </c>
      <c r="BF115"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H_11/(TP-H_1-H_2-H_3-H_4-H_5-H_6-H_7-H_8-H_9-H_10-(hnh*(H_1+H_2+H_3+H_4+H_5+H_6+H_7+H_8+H_9+H_10))-(TP*VE*(TCv_2*tCo1_1+TCv_2*tCo1_2+TCv_2*tCo1_3+TCv_2*tCo1_4+TCv_2*tCo1_5+TCv_2*tCo1_6+TCv_2*tCo1_7+TCv_2*tCo1_8+TCv_2*tCo1_9+TCv_2*tCo1_10)))</f>
        <v>#DIV/0!</v>
      </c>
    </row>
    <row r="116" spans="1:58" hidden="1" outlineLevel="1" x14ac:dyDescent="0.25">
      <c r="A116" s="73">
        <f>season</f>
        <v>0</v>
      </c>
      <c r="B116" s="73">
        <f>TG</f>
        <v>0</v>
      </c>
      <c r="C116" s="73">
        <f>TP</f>
        <v>0</v>
      </c>
      <c r="D116" s="74">
        <f>TCv</f>
        <v>0</v>
      </c>
      <c r="E116" s="75">
        <f>VE</f>
        <v>0</v>
      </c>
      <c r="F116" s="78" t="e">
        <f>G116/IF(mb=1,SUM(AC116:AN116),IF(mb=2,SUM(AD116:AN116),IF(mb=3,SUM(AE116:AN116),IF(mb=4,SUM(AF116:AN116),IF(mb=5,SUM(AG116:AN116),IF(mb=6,SUM(AH116:AN116),IF(mb=7,SUM(AI116:AN116),IF(mb=8,SUM(AJ116:AN116),0))))))))</f>
        <v>#DIV/0!</v>
      </c>
      <c r="G116" s="42">
        <f>IF(mb=1,SUM(AC116:AN116)-SUM(Q116:AB116),IF(mb=2,SUM(AD116:AN116)-SUM(R116:AB116),IF(mb=3,SUM(AE116:AN116)-SUM(S116:AB116),IF(mb=4,SUM(AF116:AN116)-SUM(T116:AB116),IF(mb=5,SUM(AG116:AN116)-SUM(U116:AB116),IF(mb=6,SUM(AH116:AN116)-SUM(V116:AB116),IF(mb=7,SUM(AI116:AN116)-SUM(W116:AB116),IF(mb=8,SUM(AJ116:AN116)-SUM(X116:AB116),0))))))))</f>
        <v>0</v>
      </c>
      <c r="H116" s="96" t="e">
        <f>1/(VE*IF(mb=1,SUM(AC116:AN116),IF(mb=2,SUM(AD116:AN116),IF(mb=3,SUM(AE116:AN116),IF(mb=4,SUM(AF116:AN116),IF(mb=5,SUM(AG116:AN116),IF(mb=6,SUM(AH116:AN116),IF(mb=7,SUM(AI116:AN116),IF(mb=8,SUM(AJ116:AN116),0))))))))/TP)</f>
        <v>#DIV/0!</v>
      </c>
      <c r="I116" s="93" t="e">
        <f>G116/hnh</f>
        <v>#DIV/0!</v>
      </c>
      <c r="J116" s="42" t="e">
        <f>1/(VE*IF(mb=1,SUM(AC116:AN116),IF(mb=2,SUM(AD116:AN116),IF(mb=3,SUM(AE116:AN116),IF(mb=4,SUM(AF116:AN116),IF(mb=5,SUM(AG116:AN116),IF(mb=6,SUM(AH116:AN116),IF(mb=7,SUM(AI116:AN116),IF(mb=8,SUM(AJ116:AN116),0))))))))/(TP*hnh))</f>
        <v>#DIV/0!</v>
      </c>
      <c r="K116" s="42" t="e">
        <f>M116*mai</f>
        <v>#DIV/0!</v>
      </c>
      <c r="L116" s="42" t="e">
        <f>1/(VE*((IF(mb=1,SUM(AC116:AN116),IF(mb=2,SUM(AD116:AN116),IF(mb=3,SUM(AE116:AN116),IF(mb=4,SUM(AF116:AN116),IF(mb=5,SUM(AG116:AN116),IF(mb=6,SUM(AH116:AN116),IF(mb=7,SUM(AI116:AN116),IF(mb=8,SUM(AJ116:AN116),0))))))))+(IF(mb=1,SUM(AC116:AN116),IF(mb=2,SUM(AD116:AN116),IF(mb=3,SUM(AE116:AN116),IF(mb=4,SUM(AF116:AN116),IF(mb=5,SUM(AG116:AN116),IF(mb=6,SUM(AH116:AN116),IF(mb=7,SUM(AI116:AN116),IF(mb=8,SUM(AJ116:AN116),0)))))))))/hnh)*mai)/TP)</f>
        <v>#DIV/0!</v>
      </c>
      <c r="M116" s="42" t="e">
        <f>G116+I116</f>
        <v>#DIV/0!</v>
      </c>
      <c r="N116" s="42" t="e">
        <f>1/(VE*(IF(mb=1,SUM(AC116:AN116),IF(mb=2,SUM(AD116:AN116),IF(mb=3,SUM(AE116:AN116),IF(mb=4,SUM(AF116:AN116),IF(mb=5,SUM(AG116:AN116),IF(mb=6,SUM(AH116:AN116),IF(mb=7,SUM(AI116:AN116),IF(mb=8,SUM(AJ116:AN116),0))))))))+(IF(mb=1,SUM(AC116:AN116),IF(mb=2,SUM(AD116:AN116),IF(mb=3,SUM(AE116:AN116),IF(mb=4,SUM(AF116:AN116),IF(mb=5,SUM(AG116:AN116),IF(mb=6,SUM(AH116:AN116),IF(mb=7,SUM(AI116:AN116),IF(mb=8,SUM(AJ116:AN116),0)))))))))/hnh)/TP)</f>
        <v>#DIV/0!</v>
      </c>
      <c r="Q116" s="86" t="e">
        <f>IF(ISc=1,nh1_1,IF(ISc=2,H_1*hnh,0))</f>
        <v>#DIV/0!</v>
      </c>
      <c r="R116" s="111" t="e">
        <f>IF(ScI=1,((nh1_2/(TP-(nh1_1/hnh)-nh1_1))*(TP-(nh1_1/hnh)-nh1_1-(TP*TCv_2*tCo1_1*VE))),IF(ScI=2,(TP-H_1-(H_1*hnh)-(TP*TCv_2*tCo1_1*VE))*(H_2*hnh/(TP-H_1-(H_1*hnh))),"fal"))</f>
        <v>#DIV/0!</v>
      </c>
      <c r="S116" s="137" t="e">
        <f>IF(ScI=1,(nh1_3/(TP-((nh1_1+nh1_2)/hnh)-nh1_1-nh1_2))*(TP-(nh1_1/hnh)-(R116/hnh)-nh1_1-R116-(TP*VE*(TCv_2*tCo1_1+TCv_2*tCo1_2))),IF(ScI=2,(TP-H_1-((TP-H_1-(H_1*hnh)-(TP*TCv_2*tCo1_1*VE))*H_2/(TP-H_1-(H_1*hnh)))-(H_1*hnh)-((TP-H_1-(H_1*hnh)-(TP*TCv_2*tCo1_1*VE))*H_2*hnh/(TP-H_1-(H_1*hnh)))-(TP*TCv_2*tCo1_1*VE)-(TP*TCv_2*tCo1_2*VE))*(H_3*hnh/(TP-H_1-H_2-(hnh*(H_1+H_2)))),0))</f>
        <v>#DIV/0!</v>
      </c>
      <c r="T116" s="86" t="e">
        <f>IF(ScI=1,(nh1_4/(TP-(nh1_1/hnh)-(nh1_2/hnh)-(nh1_3/hnh)-nh1_1-nh1_2-nh1_3))*(TP-(nh1_1/hnh)-(R116/hnh)-(S116/hnh)-nh1_1-R116-S116-(TP*VE*(TCv_2*tCo1_1+TCv_2*tCo1_2+TCv_2*tCo1_3))),IF(ScI=2,(TP-H_1-((TP-H_1-(H_1*hnh)-(TP*TCv_2*tCo1_1*VE))*H_2/(TP-H_1-(H_1*hnh)))-((TP-H_1-(((TP-H_1-(H_1*hnh)-(TP*TCv_2*tCo1_1*VE))*H_2/(TP-H_1-(H_1*hnh))))-(H_1*hnh)-((TP-H_1-(H_1*hnh)-(TP*TCv_2*tCo1_1*VE))*H_2*hnh/(TP-H_1-(H_1*hnh)))-(TP*TCv_2*tCo1_1*VE)-(TP*TCv_2*tCo1_2*VE))*(H_3/(TP-H_1-H_2-(hnh*(H_1+H_2)))))-(H_1*hnh)-((TP-H_1-(H_1*hnh)-(TP*TCv_2*tCo1_1*VE))*H_2*hnh/(TP-H_1-(H_1*hnh)))-((TP-H_1-(((TP-H_1-(H_1*hnh)-(TP*TCv_2*tCo1_1*VE))*H_2/(TP-H_1-(H_1*hnh))))-(H_1*hnh)-(((TP-H_1-(H_1*hnh)-(TP*TCv_2*tCo1_1*VE))*H_2*hnh/(TP-H_1-(H_1*hnh))))-(TP*TCv_2*tCo1_1*VE)-(TP*TCv_2*tCo1_2*VE))*(H_3*hnh/(TP-H_1-H_2-(hnh*(H_1+H_2)))))-(TP*TCv_2*tCo1_1*VE)-(TP*TCv_2*tCo1_2*VE)-(TP*TCv_2*tCo1_3*VE))*(H_4*hnh/(TP-H_1-H_2-H_3-(hnh*(H_1+H_2+H_3)))),0))</f>
        <v>#DIV/0!</v>
      </c>
      <c r="U116" s="86" t="e">
        <f>IF(ScI=1,(nh1_5/(TP-(nh1_1/hnh)-(nh1_2/hnh)-(nh1_3/hnh)-(nh1_4/hnh)-nh1_1-nh1_2-nh1_3-nh1_4))*(TP-(nh1_1/hnh)-(R116/hnh)-(S116/hnh)-(T116/hnh)-nh1_1-R116-S116-T116-(TP*VE*(TCv_2*tCo1_1+TCv_2*tCo1_2+TCv_2*tCo1_3+TCv_2*tCo1_4))),IF(ScI=2,(TP-H_1-(((TP-H_1-(H_1*hnh)-(TP*TCv_2*tCo1_1*VE))*H_2/(TP-H_1-(H_1*hnh))))-AP115-AQ115-(H_1*hnh)-((TP-H_1-(H_1*hnh)-(TP*TCv_2*tCo1_1*VE))*H_2*hnh/(TP-H_1-(H_1*hnh)))-AP117-AQ117-(TP*TCv_2*tCo1_1*VE)-(TP*TCv_2*tCo1_2*VE)-(TP*TCv_2*tCo1_3*VE)-(TP*TCv_2*tCo1_4*VE))*(H_5*hnh/(TP-H_1-H_2-H_3-H_4-(hnh*(H_1+H_2+H_3+H_4)))),0))</f>
        <v>#DIV/0!</v>
      </c>
      <c r="V116" s="86" t="e">
        <f>IF(ScI=1,(nh1_6/(TP-(nh1_1/hnh)-(nh1_2/hnh)-(nh1_3/hnh)-(nh1_4/hnh)-(nh1_5/hnh)-nh1_1-nh1_2-nh1_3-nh1_4-nh1_5))*(TP-(nh1_1/hnh)-(R116/hnh)-(S116/hnh)-(T116/hnh)-(U116/hnh)-nh1_1-R116-S116-T116-U116-(TP*VE*(TCv_2*tCo1_1+TCv_2*tCo1_2+TCv_2*tCo1_3+TCv_2*tCo1_4+TCv_2*tCo1_5))),IF(ScI=2,(TP-H_1-((TP-H_1-(H_1*hnh)-(TP*TCv_2*tCo1_1*VE))*H_2/(TP-H_1-(H_1*hnh)))-AP115-AQ115-AR115-(H_1*hnh)-((TP-H_1-(H_1*hnh)-(TP*TCv_2*tCo1_1*VE))*H_2*hnh/(TP-H_1-(H_1*hnh)))-AP117-AQ117-AR117-(TP*TCv_2*tCo1_1*VE)-(TP*TCv_2*tCo1_2*VE)-(TP*TCv_2*tCo1_3*VE)-(TP*TCv_2*tCo1_4*VE)-(TP*TCv_2*tCo1_5*VE))*(H_6*hnh/(TP-H_1-H_2-H_3-H_4-H_5-(hnh*(H_1+H_2+H_3+H_4+H_5)))),0))</f>
        <v>#DIV/0!</v>
      </c>
      <c r="W116" s="86" t="e">
        <f>IF(ScI=1,(nh1_7/(TP-(nh1_1/hnh)-(nh1_2/hnh)-(nh1_3/hnh)-(nh1_4/hnh)-(nh1_5/hnh)-(nh1_6/hnh)-nh1_1-nh1_2-nh1_3-nh1_4-nh1_5-nh1_6))*(TP-(nh1_1/hnh)-(R116/hnh)-(S116/hnh)-(T116/hnh)-(U116/hnh)-(V116/hnh)-nh1_1-R116-S116-T116-U116-V116-(TP*VE*(TCv_2*tCo1_1+TCv_2*tCo1_2+TCv_2*tCo1_3+TCv_2*tCo1_4+TCv_2*tCo1_5+TCv_2*tCo1_6))),IF(ScI=2,(TP-H_1-((TP-H_1-(H_1*hnh)-(TP*TCv_2*tCo1_1*VE))*H_2/(TP-H_1-(H_1*hnh)))-AP115-AQ115-AR115-AS115-(H_1*hnh)-((TP-H_1-(H_1*hnh)-(TP*TCv_2*tCo1_1*VE))*H_2*hnh/(TP-H_1-(H_1*hnh)))-AP117-AQ117-AR117-AS117-(TP*TCv_2*tCo1_1*VE)-(TP*TCv_2*tCo1_2*VE)-(TP*TCv_2*tCo1_3*VE)-(TP*TCv_2*tCo1_4*VE)-(TP*TCv_2*tCo1_5*VE)-(TP*TCv_2*tCo1_6*VE))*(H_7*hnh/(TP-H_1-H_2-H_3-H_4-H_5-H_6-(hnh*(H_1+H_2+H_3+H_4+H_5+H_6)))),0))</f>
        <v>#DIV/0!</v>
      </c>
      <c r="X116" s="86" t="e">
        <f>IF(ScI=1,(nh1_8/(TP-(nh1_1/hnh)-(nh1_2/hnh)-(nh1_3/hnh)-(nh1_4/hnh)-(nh1_5/hnh)-(nh1_6/hnh)-(nh1_7/hnh)-nh1_1-nh1_2-nh1_3-nh1_4-nh1_5-nh1_6-nh1_7))*(TP-(nh1_1/hnh)-(R116/hnh)-(S116/hnh)-(T116/hnh)-(U116/hnh)-(V116/hnh)-(W116/hnh)-nh1_1-R116-S116-T116-U116-V116-W116-(TP*VE*(TCv_2*tCo1_1+TCv_2*tCo1_2+TCv_2*tCo1_3+TCv_2*tCo1_4+TCv_2*tCo1_5+TCv_2*tCo1_6+TCv_2*tCo1_7))),IF(ScI=2,(TP-H_1-((TP-H_1-(H_1*hnh)-(TP*TCv_2*tCo1_1*VE))*H_2/(TP-H_1-(H_1*hnh)))-AP115-AQ115-AR115-AS115-AT115-(H_1*hnh)-((TP-H_1-(H_1*hnh)-(TP*TCv_2*tCo1_1*VE))*H_2*hnh/(TP-H_1-(H_1*hnh)))-AP117-AQ117-AR117-AS117-AT117-(TP*TCv_2*tCo1_1*VE)-(TP*TCv_2*tCo1_2*VE)-(TP*TCv_2*tCo1_3*VE)-(TP*TCv_2*tCo1_4*VE)-(TP*TCv_2*tCo1_5*VE)-(TP*TCv_2*tCo1_6*VE)-(TP*TCv_2*tCo1_7*VE))*(H_8*hnh/(TP-H_1-H_2-H_3-H_4-H_5-H_6-H_7-(hnh*(H_1+H_2+H_3+H_4+H_5+H_6+H_7)))),0))</f>
        <v>#DIV/0!</v>
      </c>
      <c r="Y116" s="86" t="e">
        <f>IF(ScI=1,(nh1_9/(TP-(nh1_1/hnh)-(nh1_2/hnh)-(nh1_3/hnh)-(nh1_4/hnh)-(nh1_5/hnh)-(nh1_6/hnh)-(nh1_7/hnh)-(nh1_8/hnh)-nh1_1-nh1_2-nh1_3-nh1_4-nh1_5-nh1_6-nh1_7-nh1_8))*(TP-(nh1_1/hnh)-(R116/hnh)-(S116/hnh)-(T116/hnh)-(U116/hnh)-(V116/hnh)-(W116/hnh)-(X116/hnh)-nh1_1-R116-S116-T116-U116-V116-W116-X116-(TP*VE*(TCv_2*tCo1_1+TCv_2*tCo1_2+TCv_2*tCo1_3+TCv_2*tCo1_4+TCv_2*tCo1_5+TCv_2*tCo1_6+TCv_2*tCo1_7+TCv_2*tCo1_8))),IF(ScI=2,(TP-H_1-((TP-H_1-(H_1*hnh)-(TP*TCv_2*tCo1_1*VE))*H_2/(TP-H_1-(H_1*hnh)))-AP115-AQ115-AR115-AS115-AT115-AU115-(H_1*hnh)-((TP-H_1-(H_1*hnh)-(TP*TCv_2*tCo1_1*VE))*H_2*hnh/(TP-H_1-(H_1*hnh)))-AP117-AQ117-AR117-AS117-AT117-AU117-(TP*TCv_2*tCo1_1*VE)-(TP*TCv_2*tCo1_2*VE)-(TP*TCv_2*tCo1_3*VE)-(TP*TCv_2*tCo1_4*VE)-(TP*TCv_2*tCo1_5*VE)-(TP*TCv_2*tCo1_6*VE)-(TP*TCv_2*tCo1_7*VE)-(TP*TCv_2*tCo1_8*VE))*(H_9*hnh/(TP-H_1-H_2-H_3-H_4-H_5-H_6-H_7-H_8-(hnh*(H_1+H_2+H_3+H_4+H_5+H_6+H_7+H_8)))),0))</f>
        <v>#DIV/0!</v>
      </c>
      <c r="Z116" s="86" t="e">
        <f>IF(ScI=1,(nh1_10/(TP-(nh1_1/hnh)-(nh1_2/hnh)-(nh1_3/hnh)-(nh1_4/hnh)-(nh1_5/hnh)-(nh1_6/hnh)-(nh1_7/hnh)-(nh1_8/hnh)-(nh1_9/hnh)-nh1_1-nh1_2-nh1_3-nh1_4-nh1_5-nh1_6-nh1_7-nh1_8-nh1_9))*(TP-(nh1_1/hnh)-(R116/hnh)-(S116/hnh)-(T116/hnh)-(U116/hnh)-(V116/hnh)-(W116/hnh)-(X116/hnh)-(Y116/hnh)-nh1_1-R116-S116-T116-U116-V116-W116-X116-Y116-(TP*VE*(TCv_2*tCo1_1+TCv_2*tCo1_2+TCv_2*tCo1_3+TCv_2*tCo1_4+TCv_2*tCo1_5+TCv_2*tCo1_6+TCv_2*tCo1_7+TCv_2*tCo1_8+TCv_2*tCo1_9))),IF(ScI=2,(TP-H_1-((TP-H_1-(H_1*hnh)-(TP*TCv_2*tCo1_1*VE))*H_2/(TP-H_1-(H_1*hnh)))-AP115-AQ115-AR115-AS115-AT115-AU115-AV115-(H_1*hnh)-((TP-H_1-(H_1*hnh)-(TP*TCv_2*tCo1_1*VE))*H_2*hnh/(TP-H_1-(H_1*hnh)))-AP117-AQ117-AR117-AS117-AT117-AU117-AV117-(TP*TCv_2*tCo1_1*VE)-(TP*TCv_2*tCo1_2*VE)-(TP*TCv_2*tCo1_3*VE)-(TP*TCv_2*tCo1_4*VE)-(TP*TCv_2*tCo1_5*VE)-(TP*TCv_2*tCo1_6*VE)-(TP*TCv_2*tCo1_7*VE)-(TP*TCv_2*tCo1_8*VE)-(TP*TCv_2*tCo1_9*VE))*(H_10*hnh/(TP-H_1-H_2-H_3-H_4-H_5-H_6-H_7-H_8-H_9-(hnh*(H_1+H_2+H_3+H_4+H_5+H_6+H_7+H_8+H_9)))),0))</f>
        <v>#DIV/0!</v>
      </c>
      <c r="AA116" s="86" t="e">
        <f>IF(ScI=1,(nh1_11/(TP-(nh1_1/hnh)-(nh1_2/hnh)-(nh1_3/hnh)-(nh1_4/hnh)-(nh1_5/hnh)-(nh1_6/hnh)-(nh1_7/hnh)-(nh1_8/hnh)-(nh1_9/hnh)-(nh1_10/hnh)-nh1_1-nh1_2-nh1_3-nh1_4-nh1_5-nh1_6-nh1_7-nh1_8-nh1_9-nh1_10))*(TP-(nh1_1/hnh)-(R116/hnh)-(S116/hnh)-(T116/hnh)-(U116/hnh)-(V116/hnh)-(W116/hnh)-(X116/hnh)-(Y116/hnh)-(Z116/hnh)-nh1_1-R116-S116-T116-U116-V116-W116-X116-Y116-Z116-(TP*VE*(TCv_2*tCo1_1+TCv_2*tCo1_2+TCv_2*tCo1_3+TCv_2*tCo1_4+TCv_2*tCo1_5+TCv_2*tCo1_6+TCv_2*tCo1_7+TCv_2*tCo1_8+TCv_2*tCo1_9+TCv_2*tCo1_10))),IF(ScI=2,(TP-H_1-((TP-H_1-(H_1*hnh)-(TP*TCv_2*tCo1_1*VE))*H_2/(TP-H_1-(H_1*hnh)))-AP115-AQ115-AR115-AS115-AT115-AU115-AV115-AW115-(H_1*hnh)-((TP-H_1-(H_1*hnh)-(TP*TCv_2*tCo1_1*VE))*H_2*hnh/(TP-H_1-(H_1*hnh)))-AP117-AQ117-AR117-AS117-AT117-AU117-AV117-AW117-(TP*TCv_2*tCo1_1*VE)-(TP*TCv_2*tCo1_2*VE)-(TP*TCv_2*tCo1_3*VE)-(TP*TCv_2*tCo1_4*VE)-(TP*TCv_2*tCo1_5*VE)-(TP*TCv_2*tCo1_6*VE)-(TP*TCv_2*tCo1_7*VE)-(TP*TCv_2*tCo1_8*VE)-(TP*TCv_2*tCo1_9*VE)-(TP*TCv_2*tCo1_10*VE))*(H_11*hnh/(TP-H_1-H_2-H_3-H_4-H_5-H_6-H_7-H_8-H_9-H_10-(hnh*(H_1+H_2+H_3+H_4+H_5+H_6+H_7+H_8+H_9+H_10)))),0))</f>
        <v>#DIV/0!</v>
      </c>
      <c r="AB116" s="86" t="e">
        <f>IF(ScI=1,(nh1_12/(TP-(nh1_1/hnh)-(nh1_2/hnh)-(nh1_3/hnh)-(nh1_4/hnh)-(nh1_5/hnh)-(nh1_6/hnh)-(nh1_7/hnh)-(nh1_8/hnh)-(nh1_9/hnh)-(nh1_10/hnh)-(nh1_11/hnh)-nh1_1-nh1_2-nh1_3-nh1_4-nh1_5-nh1_6-nh1_7-nh1_8-nh1_9-nh1_10-nh1_11))*(TP-(nh1_1/hnh)-(R116/hnh)-(S116/hnh)-(T116/hnh)-(U116/hnh)-(V116/hnh)-(W116/hnh)-(X116/hnh)-(Y116/hnh)-(Z116/hnh)-(AA116/hnh)-nh1_1-R116-S116-T116-U116-V116-W116-X116-Y116-Z116-AA116-(TP*VE*(TCv_2*tCo1_1+TCv_2*tCo1_2+TCv_2*tCo1_3+TCv_2*tCo1_4+TCv_2*tCo1_5+TCv_2*tCo1_6+TCv_2*tCo1_7+TCv_2*tCo1_8+TCv_2*tCo1_9+TCv_2*tCo1_10+TCv_2*tCo1_11))),IF(ScI=2,(TP-H_1-((TP-H_1-(H_1*hnh)-(TP*TCv_2*tCo1_1*VE))*H_2/(TP-H_1-(H_1*hnh)))-AP115-AQ115-AR115-AS115-AT115-AU115-AV115-AW115-AX115-(H_1*hnh)-((TP-H_1-(H_1*hnh)-(TP*TCv_2*tCo1_1*VE))*H_2*hnh/(TP-H_1-(H_1*hnh)))-AP117-AQ117-AR117-AS117-AT117-AU117-AV117-AW117-AX117-(TP*TCv_2*tCo1_1*VE)-(TP*TCv_2*tCo1_2*VE)-(TP*TCv_2*tCo1_3*VE)-(TP*TCv_2*tCo1_4*VE)-(TP*TCv_2*tCo1_5*VE)-(TP*TCv_2*tCo1_6*VE)-(TP*TCv_2*tCo1_7*VE)-(TP*TCv_2*tCo1_8*VE)-(TP*TCv_2*tCo1_9*VE)-(TP*TCv_2*tCo1_10*VE)-(TP*TCv_2*tCo1_11*VE))*(H_12*hnh/(TP-H_1-H_2-H_3-H_4-H_5-H_6-H_7-H_8-H_9-H_10-H_11-(hnh*(H_1+H_2+H_3+H_4+H_5+H_6+H_7+H_8+H_9+H_10+H_11)))),0))</f>
        <v>#DIV/0!</v>
      </c>
      <c r="AC116" s="88">
        <f>IF(ScI=1,H_1*hnh,IF(ScI=2,H_1*hnh,0))</f>
        <v>0</v>
      </c>
      <c r="AD116" s="88" t="e">
        <f>IF(ScI=1,(TP-H_1-(H_1*hnh))*H_2*hnh/(TP-H_1-(H_1*hnh)-(TP*TCv_2*tCo1_1*VE)),IF(ScI=2,H_2*hnh,0))</f>
        <v>#DIV/0!</v>
      </c>
      <c r="AE116" s="88" t="e">
        <f>IF(ScI=1,(TP-H_1-((TP-H_1-(H_1*hnh))*H_2/(TP-H_1-(H_1*hnh)-(TP*TCv_2*tCo1_1*VE)))-(H_1*hnh)-((TP-H_1-(H_1*hnh))*H_2*hnh/(TP-H_1-(H_1*hnh)-(TP*TCv_2*tCo1_1*VE))))*H_3*hnh/(TP-H_1-H_2-(hnh*(H_1+H_2))-(TP*VE*(TCv_2*tCo1_1+TCv_2*tCo1_2))),IF(ScI=2,H_3*hnh,0))</f>
        <v>#DIV/0!</v>
      </c>
      <c r="AF116" s="88" t="e">
        <f>IF(ScI=1,(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IF(ScI=2,H_4*hnh,0))</f>
        <v>#DIV/0!</v>
      </c>
      <c r="AG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H_5*hnh/(TP-H_1-H_2-H_3-H_4-(hnh*(H_1+H_2+H_3+H_4))-(TP*VE*(TCv_2*tCo1_1+TCv_2*tCo1_2+TCv_2*tCo1_3+TCv_2*tCo1_4))),IF(ScI=2,H_5*hnh,0))</f>
        <v>#DIV/0!</v>
      </c>
      <c r="AH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H_6*hnh/(TP-H_1-H_2-H_3-H_4-H_5-(hnh*(H_1+H_2+H_3+H_4+H_5))-(TP*VE*(TCv_2*tCo1_1+TCv_2*tCo1_2+TCv_2*tCo1_3+TCv_2*tCo1_4+TCv_2*tCo1_5))),IF(ScI=2,H_6*hnh,0))</f>
        <v>#DIV/0!</v>
      </c>
      <c r="AI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H_7*hnh/(TP-H_1-H_2-H_3-H_4-H_5-H_6-(hnh*(H_1+H_2+H_3+H_4+H_5+H_6))-(TP*VE*(TCv_2*tCo1_1+TCv_2*tCo1_2+TCv_2*tCo1_3+TCv_2*tCo1_4+TCv_2*tCo1_5+TCv_2*tCo1_6))),IF(ScI=2,H_7*hnh,0))</f>
        <v>#DIV/0!</v>
      </c>
      <c r="AJ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H_8*hnh/(TP-H_1-H_2-H_3-H_4-H_5-H_6-H_7-(hnh*(H_1+H_2+H_3+H_4+H_5+H_6+H_7))-(TP*VE*(TCv_2*tCo1_1+TCv_2*tCo1_2+TCv_2*tCo1_3+TCv_2*tCo1_4+TCv_2*tCo1_5+TCv_2*tCo1_6+TCv_2*tCo1_7))),IF(ScI=2,H_8*hnh,0))</f>
        <v>#DIV/0!</v>
      </c>
      <c r="AK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H_9*hnh/(TP-H_1-H_2-H_3-H_4-H_5-H_6-H_7-H_8-(hnh*(H_1+H_2+H_3+H_4+H_5+H_6+H_7+H_8))-(TP*VE*(TCv_2*tCo1_1+TCv_2*tCo1_2+TCv_2*tCo1_3+TCv_2*tCo1_4+TCv_2*tCo1_5+TCv_2*tCo1_6+TCv_2*tCo1_7+TCv_2*tCo1_8))),IF(ScI=2,H_9*hnh,0))</f>
        <v>#DIV/0!</v>
      </c>
      <c r="AL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H_10*hnh/(TP-H_1-H_2-H_3-H_4-H_5-H_6-H_7-H_8-H_9-(hnh*(H_1+H_2+H_3+H_4+H_5+H_6+H_7+H_8+H_9))-(TP*VE*(TCv_2*tCo1_1+TCv_2*tCo1_2+TCv_2*tCo1_3+TCv_2*tCo1_4+TCv_2*tCo1_5+TCv_2*tCo1_6+TCv_2*tCo1_7+TCv_2*tCo1_8+TCv_2*tCo1_9))),IF(ScI=2,H_10*hnh,0))</f>
        <v>#DIV/0!</v>
      </c>
      <c r="AM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H_11*hnh/(TP-H_1-H_2-H_3-H_4-H_5-H_6-H_7-H_8-H_9-H_10-(hnh*(H_1+H_2+H_3+H_4+H_5+H_6+H_7+H_8+H_9+H_10))-(TP*VE*(TCv_2*tCo1_1+TCv_2*tCo1_2+TCv_2*tCo1_3+TCv_2*tCo1_4+TCv_2*tCo1_5+TCv_2*tCo1_6+TCv_2*tCo1_7+TCv_2*tCo1_8+TCv_2*tCo1_9+TCv_2*tCo1_10))),IF(ScI=2,H_11*hnh,0))</f>
        <v>#DIV/0!</v>
      </c>
      <c r="AN116" s="88" t="e">
        <f>IF(ScI=1,(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BF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BF117)*H_12*hnh/(TP-H_1-H_2-H_3-H_4-H_5-H_6-H_7-H_8-H_9-H_10-H_11-(hnh*(H_1+H_2+H_3+H_4+H_5+H_6+H_7+H_8+H_9+H_10+H_11))-(TP*VE*(TCv_2*tCo1_1+TCv_2*tCo1_2+TCv_2*tCo1_3+TCv_2*tCo1_4+TCv_2*tCo1_5+TCv_2*tCo1_6+TCv_2*tCo1_7+TCv_2*tCo1_8+TCv_2*tCo1_9+TCv_2*tCo1_10+TCv_2*tCo1_11))),IF(ScI=2,H_12*hnh,0))</f>
        <v>#DIV/0!</v>
      </c>
      <c r="AP116" s="103" t="s">
        <v>82</v>
      </c>
      <c r="AQ116" s="103" t="s">
        <v>83</v>
      </c>
      <c r="AR116" s="103" t="s">
        <v>84</v>
      </c>
      <c r="AS116" s="103" t="s">
        <v>85</v>
      </c>
      <c r="AT116" s="103" t="s">
        <v>86</v>
      </c>
      <c r="AU116" s="103" t="s">
        <v>87</v>
      </c>
      <c r="AV116" s="103" t="s">
        <v>88</v>
      </c>
      <c r="AW116" s="103" t="s">
        <v>89</v>
      </c>
      <c r="AX116" s="103" t="s">
        <v>90</v>
      </c>
      <c r="AZ116" s="103" t="s">
        <v>106</v>
      </c>
      <c r="BA116" s="103" t="s">
        <v>92</v>
      </c>
      <c r="BB116" s="103" t="s">
        <v>98</v>
      </c>
      <c r="BC116" s="103" t="s">
        <v>99</v>
      </c>
      <c r="BD116" s="103" t="s">
        <v>100</v>
      </c>
      <c r="BE116" s="103" t="s">
        <v>101</v>
      </c>
      <c r="BF116" s="103" t="s">
        <v>102</v>
      </c>
    </row>
    <row r="117" spans="1:58" hidden="1" outlineLevel="1" x14ac:dyDescent="0.25">
      <c r="F117" s="113"/>
      <c r="G117" s="31"/>
      <c r="H117" s="31"/>
      <c r="I117" s="31"/>
      <c r="J117" s="31"/>
      <c r="K117" s="31"/>
      <c r="L117" s="31"/>
      <c r="M117" s="31"/>
      <c r="N117" s="31"/>
      <c r="Q117" s="31"/>
      <c r="R117" s="97"/>
      <c r="S117" s="97"/>
      <c r="T117" s="97"/>
      <c r="U117" s="97"/>
      <c r="V117" s="97"/>
      <c r="W117" s="97"/>
      <c r="X117" s="97"/>
      <c r="Y117" s="97"/>
      <c r="Z117" s="97"/>
      <c r="AA117" s="97"/>
      <c r="AB117" s="97"/>
      <c r="AC117" s="98"/>
      <c r="AD117" s="98"/>
      <c r="AE117" s="98"/>
      <c r="AF117" s="98"/>
      <c r="AG117" s="98"/>
      <c r="AH117" s="98"/>
      <c r="AI117" s="98"/>
      <c r="AJ117" s="98"/>
      <c r="AK117" s="98"/>
      <c r="AL117" s="98"/>
      <c r="AM117" s="98"/>
      <c r="AN117" s="98"/>
      <c r="AP117" s="103" t="e">
        <f>((TP-H_1-((TP-H_1-(H_1*hnh)-(TP*TCv_2*tCo1_1*VE))*H_2/(TP-H_1-(H_1*hnh)))-(H_1*hnh)-((TP-H_1-(H_1*hnh)-(TP*TCv_2*tCo1_1*VE))*H_2*hnh/(TP-H_1-(H_1*hnh)))-(TP*TCv_2*tCo1_1*VE)-(TP*TCv_2*tCo1_2*VE))*(H_3*hnh/(TP-H_1-H_2-(hnh*(H_1+H_2)))))</f>
        <v>#DIV/0!</v>
      </c>
      <c r="AQ117" s="103" t="e">
        <f>(TP-H_1-((TP-H_1-(H_1*hnh)-(TP*TCv_2*tCo1_1*VE))*H_2/(TP-H_1-(H_1*hnh)))-AP115-(H_1*hnh)-((TP-H_1-(H_1*hnh)-(TP*TCv_2*tCo1_1*VE))*H_2*hnh/(TP-H_1-(H_1*hnh)))-AP117-(TP*TCv_2*tCo1_1*VE)-(TP*TCv_2*tCo1_2*VE)-(TP*TCv_2*tCo1_3*VE))*(H_4*hnh/(TP-H_1-H_2-H_3-(hnh*(H_1+H_2+H_3))))</f>
        <v>#DIV/0!</v>
      </c>
      <c r="AR117" s="103" t="e">
        <f>(TP-H_1-((TP-H_1-(H_1*hnh)-(TP*TCv_2*tCo1_1*VE))*H_2/(TP-H_1-(H_1*hnh)))-AP115-AQ115-(H_1*hnh)-((TP-H_1-(H_1*hnh)-(TP*TCv_2*tCo1_1*VE))*H_2*hnh/(TP-H_1-(H_1*hnh)))-AP117-AQ117-(TP*TCv_2*tCo1_1*VE)-(TP*TCv_2*tCo1_2*VE)-(TP*TCv_2*tCo1_3*VE)-(TP*TCv_2*tCo1_4*VE))*(H_5*hnh/(TP-H_1-H_2-H_3-H_4-(hnh*(H_1+H_2+H_3+H_4))))</f>
        <v>#DIV/0!</v>
      </c>
      <c r="AS117" s="103" t="e">
        <f>(TP-H_1-((TP-H_1-(H_1*hnh)-(TP*TCv_2*tCo1_1*VE))*H_2/(TP-H_1-(H_1*hnh)))-AP115-AQ115-AR115-(H_1*hnh)-((TP-H_1-(H_1*hnh)-(TP*TCv_2*tCo1_1*VE))*H_2*hnh/(TP-H_1-(H_1*hnh)))-AP117-AQ117-AR117-(TP*TCv_2*tCo1_1*VE)-(TP*TCv_2*tCo1_2*VE)-(TP*TCv_2*tCo1_3*VE)-(TP*TCv_2*tCo1_4*VE)-(TP*TCv_2*tCo1_5*VE))*(H_6*hnh/(TP-H_1-H_2-H_3-H_4-H_5-(hnh*(H_1+H_2+H_3+H_4+H_5))))</f>
        <v>#DIV/0!</v>
      </c>
      <c r="AT117" s="103" t="e">
        <f>(TP-H_1-((TP-H_1-(H_1*hnh)-(TP*TCv_2*tCo1_1*VE))*H_2/(TP-H_1-(H_1*hnh)))-AP115-AQ115-AR115-AS115-(H_1*hnh)-((TP-H_1-(H_1*hnh)-(TP*TCv_2*tCo1_1*VE))*H_2*hnh/(TP-H_1-(H_1*hnh)))-AP117-AQ117-AR117-AS117-(TP*TCv_2*tCo1_1*VE)-(TP*TCv_2*tCo1_2*VE)-(TP*TCv_2*tCo1_3*VE)-(TP*TCv_2*tCo1_4*VE)-(TP*TCv_2*tCo1_5*VE)-(TP*TCv_2*tCo1_6*VE))*(H_7*hnh/(TP-H_1-H_2-H_3-H_4-H_5-H_6-(hnh*(H_1+H_2+H_3+H_4+H_5+H_6))))</f>
        <v>#DIV/0!</v>
      </c>
      <c r="AU117" s="103" t="e">
        <f>(TP-H_1-((TP-H_1-(H_1*hnh)-(TP*TCv_2*tCo1_1*VE))*H_2/(TP-H_1-(H_1*hnh)))-AP115-AQ115-AR115-AS115-AT115-(H_1*hnh)-((TP-H_1-(H_1*hnh)-(TP*TCv_2*tCo1_1*VE))*H_2*hnh/(TP-H_1-(H_1*hnh)))-AP117-AQ117-AR117-AS117-AT117-(TP*TCv_2*tCo1_1*VE)-(TP*TCv_2*tCo1_2*VE)-(TP*TCv_2*tCo1_3*VE)-(TP*TCv_2*tCo1_4*VE)-(TP*TCv_2*tCo1_5*VE)-(TP*TCv_2*tCo1_6*VE)-(TP*TCv_2*tCo1_7*VE))*(H_8*hnh/(TP-H_1-H_2-H_3-H_4-H_5-H_6-H_7-(hnh*(H_1+H_2+H_3+H_4+H_5+H_6+H_7))))</f>
        <v>#DIV/0!</v>
      </c>
      <c r="AV117" s="103" t="e">
        <f>(TP-H_1-((TP-H_1-(H_1*hnh)-(TP*TCv_2*tCo1_1*VE))*H_2/(TP-H_1-(H_1*hnh)))-AP115-AQ115-AR115-AS115-AT115-AU115-(H_1*hnh)-((TP-H_1-(H_1*hnh)-(TP*TCv_2*tCo1_1*VE))*H_2*hnh/(TP-H_1-(H_1*hnh)))-AP117-AQ117-AR117-AS117-AT117-AU117-(TP*TCv_2*tCo1_1*VE)-(TP*TCv_2*tCo1_2*VE)-(TP*TCv_2*tCo1_3*VE)-(TP*TCv_2*tCo1_4*VE)-(TP*TCv_2*tCo1_5*VE)-(TP*TCv_2*tCo1_6*VE)-(TP*TCv_2*tCo1_7*VE)-(TP*TCv_2*tCo1_8*VE))*(H_9*hnh/(TP-H_1-H_2-H_3-H_4-H_5-H_6-H_7-H_8-(hnh*(H_1+H_2+H_3+H_4+H_5+H_6+H_7+H_8))))</f>
        <v>#DIV/0!</v>
      </c>
      <c r="AW117" s="103" t="e">
        <f>(TP-H_1-((TP-H_1-(H_1*hnh)-(TP*TCv_2*tCo1_1*VE))*H_2/(TP-H_1-(H_1*hnh)))-AP115-AQ115-AR115-AS115-AT115-AU115-AV115-(H_1*hnh)-((TP-H_1-(H_1*hnh)-(TP*TCv_2*tCo1_1*VE))*H_2*hnh/(TP-H_1-(H_1*hnh)))-AP117-AQ117-AR117-AS117-AT117-AU117-AV117-(TP*TCv_2*tCo1_1*VE)-(TP*TCv_2*tCo1_2*VE)-(TP*TCv_2*tCo1_3*VE)-(TP*TCv_2*tCo1_4*VE)-(TP*TCv_2*tCo1_5*VE)-(TP*TCv_2*tCo1_6*VE)-(TP*TCv_2*tCo1_7*VE)-(TP*TCv_2*tCo1_8*VE)-(TP*TCv_2*tCo1_9*VE))*(H_10*hnh/(TP-H_1-H_2-H_3-H_4-H_5-H_6-H_7-H_8-H_9-(hnh*(H_1+H_2+H_3+H_4+H_5+H_6+H_7+H_8+H_9))))</f>
        <v>#DIV/0!</v>
      </c>
      <c r="AX117" s="103" t="e">
        <f>(TP-H_1-((TP-H_1-(H_1*hnh)-(TP*TCv_2*tCo1_1*VE))*H_2/(TP-H_1-(H_1*hnh)))-AP115-AQ115-AR115-AS115-AT115-AU115-AV115-AW115-(H_1*hnh)-((TP-H_1-(H_1*hnh)-(TP*TCv_2*tCo1_1*VE))*H_2*hnh/(TP-H_1-(H_1*hnh)))-AP117-AQ117-AR117-AS117-AT117-AU117-AV117-AW117-(TP*TCv_2*tCo1_1*VE)-(TP*TCv_2*tCo1_2*VE)-(TP*TCv_2*tCo1_3*VE)-(TP*TCv_2*tCo1_4*VE)-(TP*TCv_2*tCo1_5*VE)-(TP*TCv_2*tCo1_6*VE)-(TP*TCv_2*tCo1_7*VE)-(TP*TCv_2*tCo1_8*VE)-(TP*TCv_2*tCo1_9*VE)-(TP*TCv_2*tCo1_10*VE))*(H_11*hnh/(TP-H_1-H_2-H_3-H_4-H_5-H_6-H_7-H_8-H_9-H_10-(hnh*(H_1+H_2+H_3+H_4+H_5+H_6+H_7+H_8+H_9+H_10))))</f>
        <v>#DIV/0!</v>
      </c>
      <c r="AZ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H_5*hnh/(TP-H_1-H_2-H_3-H_4-(hnh*(H_1+H_2+H_3+H_4))-(TP*VE*(TCv_2*tCo1_1+TCv_2*tCo1_2+TCv_2*tCo1_3+TCv_2*tCo1_4)))</f>
        <v>#DIV/0!</v>
      </c>
      <c r="BA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H_6*hnh/(TP-H_1-H_2-H_3-H_4-H_5-(hnh*(H_1+H_2+H_3+H_4+H_5))-(TP*VE*(TCv_2*tCo1_1+TCv_2*tCo1_2+TCv_2*tCo1_3+TCv_2*tCo1_4+TCv_2*tCo1_5)))</f>
        <v>#DIV/0!</v>
      </c>
      <c r="BB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H_7*hnh/(TP-H_1-H_2-H_3-H_4-H_5-H_6-(hnh*(H_1+H_2+H_3+H_4+H_5+H_6))-(TP*VE*(TCv_2*tCo1_1+TCv_2*tCo1_2+TCv_2*tCo1_3+TCv_2*tCo1_4+TCv_2*tCo1_5+TCv_2*tCo1_6)))</f>
        <v>#DIV/0!</v>
      </c>
      <c r="BC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H_8*hnh/(TP-H_1-H_2-H_3-H_4-H_5-H_6-H_7-(hnh*(H_1+H_2+H_3+H_4+H_5+H_6+H_7))-(TP*VE*(TCv_2*tCo1_1+TCv_2*tCo1_2+TCv_2*tCo1_3+TCv_2*tCo1_4+TCv_2*tCo1_5+TCv_2*tCo1_6+TCv_2*tCo1_7)))</f>
        <v>#DIV/0!</v>
      </c>
      <c r="BD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H_9*hnh/(TP-H_1-H_2-H_3-H_4-H_5-H_6-H_7-H_8-(hnh*(H_1+H_2+H_3+H_4+H_5+H_6+H_7+H_8))-(TP*VE*(TCv_2*tCo1_1+TCv_2*tCo1_2+TCv_2*tCo1_3+TCv_2*tCo1_4+TCv_2*tCo1_5+TCv_2*tCo1_6+TCv_2*tCo1_7+TCv_2*tCo1_8)))</f>
        <v>#DIV/0!</v>
      </c>
      <c r="BE117"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115-BA115-BB115-BC115-BD115-(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117-BA117-BB117-BC117-BD117)*H_10*hnh/(TP-H_1-H_2-H_3-H_4-H_5-H_6-H_7-H_8-H_9-(hnh*(H_1+H_2+H_3+H_4+H_5+H_6+H_7+H_8+H_9))-(TP*VE*(Co_1+Co_2+Co_3+Co_4+Co_5+Co_6+Co_7+Co_8+Co_9)))</f>
        <v>#DIV/0!</v>
      </c>
      <c r="BF117" s="103" t="e">
        <f>(TP-H_1-((TP-H_1-(H_1*hnh))*H_2/(TP-H_1-(H_1*hnh)-(TP*TCv_2*tCo1_1*VE)))-((TP-H_1-((TP-H_1-(H_1*hnh))*H_2/(TP-H_1-(H_1*hnh)-(TP*TCv_2*tCo1_1*VE)))-(H_1*hnh)-((TP-H_1-(H_1*hnh))*H_2*hnh/(TP-H_1-(H_1*hnh)-(TP*TCv_2*tCo1_1*VE))))*H_3/(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TP-H_1-H_2-H_3-(hnh*(H_1+H_2+H_3))-(TP*VE*(TCv_2*tCo1_1+TCv_2*tCo1_2+TCv_2*tCo1_3))))-AZ115-BA115-BB115-BC115-BD115-BE115-(H_1*hnh)-((TP-H_1-(H_1*hnh))*H_2*hnh/(TP-H_1-(H_1*hnh)-(TP*TCv_2*tCo1_1*VE)))-((TP-H_1-((TP-H_1-(H_1*hnh))*H_2/(TP-H_1-(H_1*hnh)-(TP*TCv_2*tCo1_1*VE)))-(H_1*hnh)-((TP-H_1-(H_1*hnh))*H_2*hnh/(TP-H_1-(H_1*hnh)-(TP*TCv_2*tCo1_1*VE))))*H_3*hnh/(TP-H_1-H_2-(hnh*(H_1+H_2))-(TP*VE*(TCv_2*tCo1_1+TCv_2*tCo1_2))))-((TP-H_1-((TP-H_1-(H_1*hnh))*H_2/(TP-H_1-(H_1*hnh)-(TP*TCv_2*tCo1_1*VE)))-((TP-H_1-((TP-H_1-(H_1*hnh))*H_2/(TP-H_1-(H_1*hnh)-(TP*TCv_2*tCo1_1*VE)))-(H_1*hnh)-((TP-H_1-(H_1*hnh))*H_2*hnh/(TP-H_1-(H_1*hnh)-(TP*TCv_2*tCo1_1*VE))))*H_3/(TP-H_1-H_2-(hnh*(H_1+H_2))-(TP*VE*(TCv_2*tCo1_1+TCv_2*tCo1_2))))-(H_1*hnh)-((TP-H_1-(H_1*hnh))*H_2*hnh/(TP-H_1-(H_1*hnh)-(TP*TCv_2*tCo1_1*VE)))-((TP-H_1-((TP-H_1-(H_1*hnh))*H_2/(TP-H_1-(H_1*hnh)-(TP*TCv_2*tCo1_1*VE)))-(H_1*hnh)-((TP-H_1-(H_1*hnh))*H_2*hnh/(TP-H_1-(H_1*hnh)-(TP*TCv_2*tCo1_1*VE))))*H_3*hnh/(TP-H_1-H_2-(hnh*(H_1+H_2))-(TP*VE*(TCv_2*tCo1_1+TCv_2*tCo1_2)))))*H_4*hnh/(TP-H_1-H_2-H_3-(hnh*(H_1+H_2+H_3))-(TP*VE*(TCv_2*tCo1_1+TCv_2*tCo1_2+TCv_2*tCo1_3))))-AZ117-BA117-BB117-BC117-BD117-BE117)*H_11*hnh/(TP-H_1-H_2-H_3-H_4-H_5-H_6-H_7-H_8-H_9-H_10-(hnh*(H_1+H_2+H_3+H_4+H_5+H_6+H_7+H_8+H_9+H_10))-(TP*VE*(TCv_2*tCo1_1+TCv_2*tCo1_2+TCv_2*tCo1_3+TCv_2*tCo1_4+TCv_2*tCo1_5+TCv_2*tCo1_6+TCv_2*tCo1_7+TCv_2*tCo1_8+TCv_2*tCo1_9+TCv_2*tCo1_10)))</f>
        <v>#DIV/0!</v>
      </c>
    </row>
    <row r="118" spans="1:58" hidden="1" outlineLevel="1" x14ac:dyDescent="0.25">
      <c r="F118" s="112"/>
    </row>
    <row r="119" spans="1:58" hidden="1" outlineLevel="1" x14ac:dyDescent="0.25"/>
    <row r="120" spans="1:58" collapsed="1" x14ac:dyDescent="0.25"/>
    <row r="121" spans="1:58" s="105" customFormat="1" x14ac:dyDescent="0.25">
      <c r="A121" s="104" t="s">
        <v>298</v>
      </c>
      <c r="B121" s="104"/>
    </row>
    <row r="122" spans="1:58" hidden="1" outlineLevel="1" x14ac:dyDescent="0.25">
      <c r="Q122" s="102" t="s">
        <v>72</v>
      </c>
      <c r="R122" s="102"/>
      <c r="S122" s="102"/>
      <c r="T122" s="102"/>
      <c r="U122" s="102"/>
      <c r="V122" s="102"/>
      <c r="W122" s="102"/>
      <c r="X122" s="102"/>
      <c r="Y122" s="102"/>
      <c r="Z122" s="102"/>
      <c r="AA122" s="102"/>
      <c r="AB122" s="102"/>
      <c r="AC122" s="101" t="s">
        <v>104</v>
      </c>
      <c r="AD122" s="101"/>
      <c r="AE122" s="101"/>
      <c r="AF122" s="101"/>
      <c r="AG122" s="101"/>
      <c r="AH122" s="101"/>
      <c r="AI122" s="101"/>
      <c r="AJ122" s="101"/>
      <c r="AK122" s="101"/>
      <c r="AL122" s="101"/>
      <c r="AM122" s="101"/>
      <c r="AN122" s="101"/>
      <c r="AP122" s="103">
        <v>3</v>
      </c>
      <c r="AQ122" s="103">
        <v>4</v>
      </c>
      <c r="AR122" s="103">
        <v>5</v>
      </c>
      <c r="AS122" s="103">
        <v>6</v>
      </c>
      <c r="AT122" s="103">
        <v>7</v>
      </c>
      <c r="AU122" s="103">
        <v>8</v>
      </c>
      <c r="AV122" s="103">
        <v>9</v>
      </c>
      <c r="AW122" s="103">
        <v>10</v>
      </c>
      <c r="AX122" s="103">
        <v>11</v>
      </c>
      <c r="AZ122" s="103">
        <v>5</v>
      </c>
      <c r="BA122" s="103">
        <v>6</v>
      </c>
      <c r="BB122" s="103">
        <v>7</v>
      </c>
      <c r="BC122" s="103">
        <v>8</v>
      </c>
      <c r="BD122" s="103">
        <v>9</v>
      </c>
      <c r="BE122" s="103">
        <v>10</v>
      </c>
      <c r="BF122" s="103">
        <v>11</v>
      </c>
    </row>
    <row r="123" spans="1:58" ht="28.7" hidden="1" customHeight="1" outlineLevel="1" x14ac:dyDescent="0.25">
      <c r="A123" s="11" t="s">
        <v>47</v>
      </c>
      <c r="B123" s="11"/>
      <c r="C123" s="11"/>
      <c r="D123" s="11"/>
      <c r="E123" s="11"/>
      <c r="F123" s="11"/>
      <c r="G123" s="109" t="s">
        <v>50</v>
      </c>
      <c r="H123" s="109"/>
      <c r="I123" s="110" t="s">
        <v>44</v>
      </c>
      <c r="J123" s="110"/>
      <c r="K123" s="101" t="s">
        <v>58</v>
      </c>
      <c r="L123" s="101"/>
      <c r="M123" s="110" t="s">
        <v>45</v>
      </c>
      <c r="N123" s="110"/>
      <c r="Q123" s="102" t="s">
        <v>1</v>
      </c>
      <c r="R123" s="102"/>
      <c r="S123" s="102"/>
      <c r="T123" s="102"/>
      <c r="U123" s="102"/>
      <c r="V123" s="102"/>
      <c r="W123" s="102"/>
      <c r="X123" s="102"/>
      <c r="Y123" s="102"/>
      <c r="Z123" s="102"/>
      <c r="AA123" s="102"/>
      <c r="AB123" s="102"/>
      <c r="AC123" s="101" t="s">
        <v>71</v>
      </c>
      <c r="AD123" s="101"/>
      <c r="AE123" s="101"/>
      <c r="AF123" s="101"/>
      <c r="AG123" s="101"/>
      <c r="AH123" s="101"/>
      <c r="AI123" s="101"/>
      <c r="AJ123" s="101"/>
      <c r="AK123" s="101"/>
      <c r="AL123" s="101"/>
      <c r="AM123" s="101"/>
      <c r="AN123" s="101"/>
      <c r="AP123" s="103" t="s">
        <v>73</v>
      </c>
      <c r="AQ123" s="103" t="s">
        <v>74</v>
      </c>
      <c r="AR123" s="103" t="s">
        <v>75</v>
      </c>
      <c r="AS123" s="103" t="s">
        <v>76</v>
      </c>
      <c r="AT123" s="103" t="s">
        <v>77</v>
      </c>
      <c r="AU123" s="103" t="s">
        <v>78</v>
      </c>
      <c r="AV123" s="103" t="s">
        <v>79</v>
      </c>
      <c r="AW123" s="103" t="s">
        <v>80</v>
      </c>
      <c r="AX123" s="103" t="s">
        <v>81</v>
      </c>
      <c r="AZ123" s="103" t="s">
        <v>105</v>
      </c>
      <c r="BA123" s="103" t="s">
        <v>91</v>
      </c>
      <c r="BB123" s="103" t="s">
        <v>93</v>
      </c>
      <c r="BC123" s="103" t="s">
        <v>94</v>
      </c>
      <c r="BD123" s="103" t="s">
        <v>95</v>
      </c>
      <c r="BE123" s="103" t="s">
        <v>96</v>
      </c>
      <c r="BF123" s="103" t="s">
        <v>97</v>
      </c>
    </row>
    <row r="124" spans="1:58" ht="45" hidden="1" outlineLevel="1" x14ac:dyDescent="0.25">
      <c r="A124" s="70" t="s">
        <v>40</v>
      </c>
      <c r="B124" s="70" t="s">
        <v>41</v>
      </c>
      <c r="C124" s="70" t="s">
        <v>53</v>
      </c>
      <c r="D124" s="70" t="s">
        <v>48</v>
      </c>
      <c r="E124" s="70" t="s">
        <v>42</v>
      </c>
      <c r="F124" s="76" t="s">
        <v>49</v>
      </c>
      <c r="G124" s="71" t="s">
        <v>51</v>
      </c>
      <c r="H124" s="71" t="s">
        <v>52</v>
      </c>
      <c r="I124" s="72" t="s">
        <v>51</v>
      </c>
      <c r="J124" s="72" t="s">
        <v>52</v>
      </c>
      <c r="K124" s="77" t="s">
        <v>51</v>
      </c>
      <c r="L124" s="77" t="s">
        <v>52</v>
      </c>
      <c r="M124" s="72" t="s">
        <v>51</v>
      </c>
      <c r="N124" s="72" t="s">
        <v>52</v>
      </c>
      <c r="Q124" s="102">
        <v>1</v>
      </c>
      <c r="R124" s="102">
        <v>2</v>
      </c>
      <c r="S124" s="102">
        <v>3</v>
      </c>
      <c r="T124" s="102">
        <v>4</v>
      </c>
      <c r="U124" s="102">
        <v>5</v>
      </c>
      <c r="V124" s="102">
        <v>6</v>
      </c>
      <c r="W124" s="102">
        <v>7</v>
      </c>
      <c r="X124" s="102">
        <v>8</v>
      </c>
      <c r="Y124" s="102">
        <v>9</v>
      </c>
      <c r="Z124" s="102">
        <v>10</v>
      </c>
      <c r="AA124" s="102">
        <v>11</v>
      </c>
      <c r="AB124" s="102">
        <v>12</v>
      </c>
      <c r="AC124" s="101">
        <v>1</v>
      </c>
      <c r="AD124" s="101">
        <v>2</v>
      </c>
      <c r="AE124" s="101">
        <v>3</v>
      </c>
      <c r="AF124" s="101">
        <v>4</v>
      </c>
      <c r="AG124" s="101">
        <v>5</v>
      </c>
      <c r="AH124" s="101">
        <v>6</v>
      </c>
      <c r="AI124" s="101">
        <v>7</v>
      </c>
      <c r="AJ124" s="101">
        <v>8</v>
      </c>
      <c r="AK124" s="101">
        <v>9</v>
      </c>
      <c r="AL124" s="101">
        <v>10</v>
      </c>
      <c r="AM124" s="101">
        <v>11</v>
      </c>
      <c r="AN124" s="101">
        <v>12</v>
      </c>
      <c r="AP124" s="103" t="e">
        <f>((TP-H_1-((TP-H_1-(H_1*hnh)-(TP*TCv_3*tCo1_1*VE))*H_2/(TP-H_1-(H_1*hnh)))-(H_1*hnh)-((TP-H_1-(H_1*hnh)-(TP*TCv_3*tCo1_1*VE))*H_2*hnh/(TP-H_1-(H_1*hnh)))-(TP*TCv_3*tCo1_1*VE)-(TP*TCv_3*tCo1_2*VE))*(H_3/(TP-H_1-H_2-(hnh*(H_1+H_2)))))</f>
        <v>#DIV/0!</v>
      </c>
      <c r="AQ124" s="103" t="e">
        <f>(TP-H_1-((TP-H_1-(H_1*hnh)-(TP*TCv_3*tCo1_1*VE))*H_2/(TP-H_1-(H_1*hnh)))-AP124-(H_1*hnh)-((TP-H_1-(H_1*hnh)-(TP*TCv_3*tCo1_1*VE))*H_2*hnh/(TP-H_1-(H_1*hnh)))-AP126-(TP*TCv_3*tCo1_1*VE)-(TP*TCv_3*tCo1_2*VE)-(TP*TCv_3*tCo1_3*VE))*(H_4/(TP-H_1-H_2-H_3-(hnh*(H_1+H_2+H_3))))</f>
        <v>#DIV/0!</v>
      </c>
      <c r="AR124" s="103" t="e">
        <f>(TP-H_1-((TP-H_1-(H_1*hnh)-(TP*TCv_3*tCo1_1*VE))*H_2/(TP-H_1-(H_1*hnh)))-AP124-AQ124-(H_1*hnh)-((TP-H_1-(H_1*hnh)-(TP*TCv_3*tCo1_1*VE))*H_2*hnh/(TP-H_1-(H_1*hnh)))-AP126-AQ126-(TP*TCv_3*tCo1_1*VE)-(TP*TCv_3*tCo1_2*VE)-(TP*TCv_3*tCo1_3*VE)-(TP*TCv_3*tCo1_4*VE))*(H_5/(TP-H_1-H_2-H_3-H_4-(hnh*(H_1+H_2+H_3+H_4))))</f>
        <v>#DIV/0!</v>
      </c>
      <c r="AS124" s="103" t="e">
        <f>(TP-H_1-((TP-H_1-(H_1*hnh)-(TP*TCv_3*tCo1_1*VE))*H_2/(TP-H_1-(H_1*hnh)))-AP124-AQ124-AR124-(H_1*hnh)-((TP-H_1-(H_1*hnh)-(TP*TCv_3*tCo1_1*VE))*H_2*hnh/(TP-H_1-(H_1*hnh)))-AP126-AQ126-AR126-(TP*TCv_3*tCo1_1*VE)-(TP*TCv_3*tCo1_2*VE)-(TP*TCv_3*tCo1_3*VE)-(TP*TCv_3*tCo1_4*VE)-(TP*TCv_3*tCo1_5*VE))*(H_6/(TP-H_1-H_2-H_3-H_4-H_5-(hnh*(H_1+H_2+H_3+H_4+H_5))))</f>
        <v>#DIV/0!</v>
      </c>
      <c r="AT124" s="103" t="e">
        <f>(TP-H_1-((TP-H_1-(H_1*hnh)-(TP*TCv_3*tCo1_1*VE))*H_2/(TP-H_1-(H_1*hnh)))-AP124-AQ124-AR124-AS124-(H_1*hnh)-((TP-H_1-(H_1*hnh)-(TP*TCv_3*tCo1_1*VE))*H_2*hnh/(TP-H_1-(H_1*hnh)))-AP126-AQ126-AR126-AS126-(TP*TCv_3*tCo1_1*VE)-(TP*TCv_3*tCo1_2*VE)-(TP*TCv_3*tCo1_3*VE)-(TP*TCv_3*tCo1_4*VE)-(TP*TCv_3*tCo1_5*VE)-(TP*TCv_3*tCo1_6*VE))*(H_7/(TP-H_1-H_2-H_3-H_4-H_5-H_6-(hnh*(H_1+H_2+H_3+H_4+H_5+H_6))))</f>
        <v>#DIV/0!</v>
      </c>
      <c r="AU124" s="103" t="e">
        <f>(TP-H_1-((TP-H_1-(H_1*hnh)-(TP*TCv_3*tCo1_1*VE))*H_2/(TP-H_1-(H_1*hnh)))-AP124-AQ124-AR124-AS124-AT124-(H_1*hnh)-((TP-H_1-(H_1*hnh)-(TP*TCv_3*tCo1_1*VE))*H_2*hnh/(TP-H_1-(H_1*hnh)))-AP126-AQ126-AR126-AS126-AT126-(TP*TCv_3*tCo1_1*VE)-(TP*TCv_3*tCo1_2*VE)-(TP*TCv_3*tCo1_3*VE)-(TP*TCv_3*tCo1_4*VE)-(TP*TCv_3*tCo1_5*VE)-(TP*TCv_3*tCo1_6*VE)-(TP*TCv_3*tCo1_7*VE))*(H_8/(TP-H_1-H_2-H_3-H_4-H_5-H_6-H_7-(hnh*(H_1+H_2+H_3+H_4+H_5+H_6+H_7))))</f>
        <v>#DIV/0!</v>
      </c>
      <c r="AV124" s="103" t="e">
        <f>(TP-H_1-((TP-H_1-(H_1*hnh)-(TP*TCv_3*tCo1_1*VE))*H_2/(TP-H_1-(H_1*hnh)))-AP124-AQ124-AR124-AS124-AT124-AU124-(H_1*hnh)-((TP-H_1-(H_1*hnh)-(TP*TCv_3*tCo1_1*VE))*H_2*hnh/(TP-H_1-(H_1*hnh)))-AP126-AQ126-AR126-AS126-AT126-AU126-(TP*TCv_3*tCo1_1*VE)-(TP*TCv_3*tCo1_2*VE)-(TP*TCv_3*tCo1_3*VE)-(TP*TCv_3*tCo1_4*VE)-(TP*TCv_3*tCo1_5*VE)-(TP*TCv_3*tCo1_6*VE)-(TP*TCv_3*tCo1_7*VE)-(TP*TCv_3*tCo1_8*VE))*(H_9/(TP-H_1-H_2-H_3-H_4-H_5-H_6-H_7-H_8-(hnh*(H_1+H_2+H_3+H_4+H_5+H_6+H_7+H_8))))</f>
        <v>#DIV/0!</v>
      </c>
      <c r="AW124" s="103" t="e">
        <f>(TP-H_1-((TP-H_1-(H_1*hnh)-(TP*TCv_3*tCo1_1*VE))*H_2/(TP-H_1-(H_1*hnh)))-AP124-AQ124-AR124-AS124-AT124-AU124-AV124-(H_1*hnh)-((TP-H_1-(H_1*hnh)-(TP*TCv_3*tCo1_1*VE))*H_2*hnh/(TP-H_1-(H_1*hnh)))-AP126-AQ126-AR126-AS126-AT126-AU126-AV126-(TP*TCv_3*tCo1_1*VE)-(TP*TCv_3*tCo1_2*VE)-(TP*TCv_3*tCo1_3*VE)-(TP*TCv_3*tCo1_4*VE)-(TP*TCv_3*tCo1_5*VE)-(TP*TCv_3*tCo1_6*VE)-(TP*TCv_3*tCo1_7*VE)-(TP*TCv_3*tCo1_8*VE)-(TP*TCv_3*tCo1_9*VE))*(H_10/(TP-H_1-H_2-H_3-H_4-H_5-H_6-H_7-H_8-H_9-(hnh*(H_1+H_2+H_3+H_4+H_5+H_6+H_7+H_8+H_9))))</f>
        <v>#DIV/0!</v>
      </c>
      <c r="AX124" s="103" t="e">
        <f>(TP-H_1-((TP-H_1-(H_1*hnh)-(TP*TCv_3*tCo1_1*VE))*H_2/(TP-H_1-(H_1*hnh)))-AP124-AQ124-AR124-AS124-AT124-AU124-AV124-AW124-(H_1*hnh)-((TP-H_1-(H_1*hnh)-(TP*TCv_3*tCo1_1*VE))*H_2*hnh/(TP-H_1-(H_1*hnh)))-AP126-AQ126-AR126-AS126-AT126-AU126-AV126-AW126-(TP*TCv_3*tCo1_1*VE)-(TP*TCv_3*tCo1_2*VE)-(TP*TCv_3*tCo1_3*VE)-(TP*TCv_3*tCo1_4*VE)-(TP*TCv_3*tCo1_5*VE)-(TP*TCv_3*tCo1_6*VE)-(TP*TCv_3*tCo1_7*VE)-(TP*TCv_3*tCo1_8*VE)-(TP*TCv_3*tCo1_9*VE)-(TP*TCv_3*tCo1_10*VE))*(H_11/(TP-H_1-H_2-H_3-H_4-H_5-H_6-H_7-H_8-H_9-H_10-(hnh*(H_1+H_2+H_3+H_4+H_5+H_6+H_7+H_8+H_9+H_10))))</f>
        <v>#DIV/0!</v>
      </c>
      <c r="AZ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H_5/(TP-H_1-H_2-H_3-H_4-(hnh*(H_1+H_2+H_3+H_4))-(TP*VE*(TCv_3*tCo1_1+TCv_3*tCo1_2+TCv_3*tCo1_3+TCv_3*tCo1_4)))</f>
        <v>#DIV/0!</v>
      </c>
      <c r="BA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H_6/(TP-H_1-H_2-H_3-H_4-H_5-(hnh*(H_1+H_2+H_3+H_4+H_5))-(TP*VE*(TCv_3*tCo1_1+TCv_3*tCo1_2+TCv_3*tCo1_3+TCv_3*tCo1_4+TCv_3*tCo1_5)))</f>
        <v>#DIV/0!</v>
      </c>
      <c r="BB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H_7/(TP-H_1-H_2-H_3-H_4-H_5-H_6-(hnh*(H_1+H_2+H_3+H_4+H_5+H_6))-(TP*VE*(TCv_3*tCo1_1+TCv_3*tCo1_2+TCv_3*tCo1_3+TCv_3*tCo1_4+TCv_3*tCo1_5+TCv_3*tCo1_6)))</f>
        <v>#DIV/0!</v>
      </c>
      <c r="BC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H_8/(TP-H_1-H_2-H_3-H_4-H_5-H_6-H_7-(hnh*(H_1+H_2+H_3+H_4+H_5+H_6+H_7))-(TP*VE*(TCv_3*tCo1_1+TCv_3*tCo1_2+TCv_3*tCo1_3+TCv_3*tCo1_4+TCv_3*tCo1_5+TCv_3*tCo1_6+TCv_3*tCo1_7)))</f>
        <v>#DIV/0!</v>
      </c>
      <c r="BD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H_9/(TP-H_1-H_2-H_3-H_4-H_5-H_6-H_7-H_8-(hnh*(H_1+H_2+H_3+H_4+H_5+H_6+H_7+H_8))-(TP*VE*(TCv_3*tCo1_1+TCv_3*tCo1_2+TCv_3*tCo1_3+TCv_3*tCo1_4+TCv_3*tCo1_5+TCv_3*tCo1_6+TCv_3*tCo1_7+TCv_3*tCo1_8)))</f>
        <v>#DIV/0!</v>
      </c>
      <c r="BE124"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124-BA124-BB124-BC124-BD124-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126-BA126-BB126-BC126-BD126)*H_10/(TP-H_1-H_2-H_3-H_4-H_5-H_6-H_7-H_8-H_9-(hnh*(H_1+H_2+H_3+H_4+H_5+H_6+H_7+H_8+H_9))-(TP*VE*(Co_1+Co_2+Co_3+Co_4+Co_5+Co_6+Co_7+Co_8+Co_9)))</f>
        <v>#DIV/0!</v>
      </c>
      <c r="BF124"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H_11/(TP-H_1-H_2-H_3-H_4-H_5-H_6-H_7-H_8-H_9-H_10-(hnh*(H_1+H_2+H_3+H_4+H_5+H_6+H_7+H_8+H_9+H_10))-(TP*VE*(TCv_3*tCo1_1+TCv_3*tCo1_2+TCv_3*tCo1_3+TCv_3*tCo1_4+TCv_3*tCo1_5+TCv_3*tCo1_6+TCv_3*tCo1_7+TCv_3*tCo1_8+TCv_3*tCo1_9+TCv_3*tCo1_10)))</f>
        <v>#DIV/0!</v>
      </c>
    </row>
    <row r="125" spans="1:58" hidden="1" outlineLevel="1" x14ac:dyDescent="0.25">
      <c r="A125" s="73">
        <f>season</f>
        <v>0</v>
      </c>
      <c r="B125" s="73">
        <f>TG</f>
        <v>0</v>
      </c>
      <c r="C125" s="73">
        <f>TP</f>
        <v>0</v>
      </c>
      <c r="D125" s="74">
        <f>TCv</f>
        <v>0</v>
      </c>
      <c r="E125" s="75">
        <f>VE</f>
        <v>0</v>
      </c>
      <c r="F125" s="78" t="e">
        <f>G125/IF(mb=1,SUM(AC125:AN125),IF(mb=2,SUM(AD125:AN125),IF(mb=3,SUM(AE125:AN125),IF(mb=4,SUM(AF125:AN125),IF(mb=5,SUM(AG125:AN125),IF(mb=6,SUM(AH125:AN125),IF(mb=7,SUM(AI125:AN125),IF(mb=8,SUM(AJ125:AN125),0))))))))</f>
        <v>#DIV/0!</v>
      </c>
      <c r="G125" s="42">
        <f>IF(mb=1,SUM(AC125:AN125)-SUM(Q125:AB125),IF(mb=2,SUM(AD125:AN125)-SUM(R125:AB125),IF(mb=3,SUM(AE125:AN125)-SUM(S125:AB125),IF(mb=4,SUM(AF125:AN125)-SUM(T125:AB125),IF(mb=5,SUM(AG125:AN125)-SUM(U125:AB125),IF(mb=6,SUM(AH125:AN125)-SUM(V125:AB125),IF(mb=7,SUM(AI125:AN125)-SUM(W125:AB125),IF(mb=8,SUM(AJ125:AN125)-SUM(X125:AB125),0))))))))</f>
        <v>0</v>
      </c>
      <c r="H125" s="96" t="e">
        <f>1/(VE*IF(mb=1,SUM(AC125:AN125),IF(mb=2,SUM(AD125:AN125),IF(mb=3,SUM(AE125:AN125),IF(mb=4,SUM(AF125:AN125),IF(mb=5,SUM(AG125:AN125),IF(mb=6,SUM(AH125:AN125),IF(mb=7,SUM(AI125:AN125),IF(mb=8,SUM(AJ125:AN125),0))))))))/TP)</f>
        <v>#DIV/0!</v>
      </c>
      <c r="I125" s="93" t="e">
        <f>G125/hnh</f>
        <v>#DIV/0!</v>
      </c>
      <c r="J125" s="42" t="e">
        <f>1/(VE*IF(mb=1,SUM(AC125:AN125),IF(mb=2,SUM(AD125:AN125),IF(mb=3,SUM(AE125:AN125),IF(mb=4,SUM(AF125:AN125),IF(mb=5,SUM(AG125:AN125),IF(mb=6,SUM(AH125:AN125),IF(mb=7,SUM(AI125:AN125),IF(mb=8,SUM(AJ125:AN125),0))))))))/(TP*hnh))</f>
        <v>#DIV/0!</v>
      </c>
      <c r="K125" s="42" t="e">
        <f>M125*mai</f>
        <v>#DIV/0!</v>
      </c>
      <c r="L125" s="42" t="e">
        <f>1/(VE*((IF(mb=1,SUM(AC125:AN125),IF(mb=2,SUM(AD125:AN125),IF(mb=3,SUM(AE125:AN125),IF(mb=4,SUM(AF125:AN125),IF(mb=5,SUM(AG125:AN125),IF(mb=6,SUM(AH125:AN125),IF(mb=7,SUM(AI125:AN125),IF(mb=8,SUM(AJ125:AN125),0))))))))+(IF(mb=1,SUM(AC125:AN125),IF(mb=2,SUM(AD125:AN125),IF(mb=3,SUM(AE125:AN125),IF(mb=4,SUM(AF125:AN125),IF(mb=5,SUM(AG125:AN125),IF(mb=6,SUM(AH125:AN125),IF(mb=7,SUM(AI125:AN125),IF(mb=8,SUM(AJ125:AN125),0)))))))))/hnh)*mai)/TP)</f>
        <v>#DIV/0!</v>
      </c>
      <c r="M125" s="42" t="e">
        <f>G125+I125</f>
        <v>#DIV/0!</v>
      </c>
      <c r="N125" s="42" t="e">
        <f>1/(VE*(IF(mb=1,SUM(AC125:AN125),IF(mb=2,SUM(AD125:AN125),IF(mb=3,SUM(AE125:AN125),IF(mb=4,SUM(AF125:AN125),IF(mb=5,SUM(AG125:AN125),IF(mb=6,SUM(AH125:AN125),IF(mb=7,SUM(AI125:AN125),IF(mb=8,SUM(AJ125:AN125),0))))))))+(IF(mb=1,SUM(AC125:AN125),IF(mb=2,SUM(AD125:AN125),IF(mb=3,SUM(AE125:AN125),IF(mb=4,SUM(AF125:AN125),IF(mb=5,SUM(AG125:AN125),IF(mb=6,SUM(AH125:AN125),IF(mb=7,SUM(AI125:AN125),IF(mb=8,SUM(AJ125:AN125),0)))))))))/hnh)/TP)</f>
        <v>#DIV/0!</v>
      </c>
      <c r="Q125" s="86" t="e">
        <f>IF(ISc=1,nh1_1,IF(ISc=2,H_1*hnh,0))</f>
        <v>#DIV/0!</v>
      </c>
      <c r="R125" s="111" t="e">
        <f>IF(ScI=1,((nh1_2/(TP-(nh1_1/hnh)-nh1_1))*(TP-(nh1_1/hnh)-nh1_1-(TP*TCv_3*tCo1_1*VE))),IF(ScI=2,(TP-H_1-(H_1*hnh)-(TP*TCv_3*tCo1_1*VE))*(H_2*hnh/(TP-H_1-(H_1*hnh))),"fal"))</f>
        <v>#DIV/0!</v>
      </c>
      <c r="S125" s="137" t="e">
        <f>IF(ScI=1,(nh1_3/(TP-((nh1_1+nh1_2)/hnh)-nh1_1-nh1_2))*(TP-(nh1_1/hnh)-(R125/hnh)-nh1_1-R125-(TP*VE*(TCv_3*tCo1_1+TCv_3*tCo1_2))),IF(ScI=2,(TP-H_1-((TP-H_1-(H_1*hnh)-(TP*TCv_3*tCo1_1*VE))*H_2/(TP-H_1-(H_1*hnh)))-(H_1*hnh)-((TP-H_1-(H_1*hnh)-(TP*TCv_3*tCo1_1*VE))*H_2*hnh/(TP-H_1-(H_1*hnh)))-(TP*TCv_3*tCo1_1*VE)-(TP*TCv_3*tCo1_2*VE))*(H_3*hnh/(TP-H_1-H_2-(hnh*(H_1+H_2)))),0))</f>
        <v>#DIV/0!</v>
      </c>
      <c r="T125" s="86" t="e">
        <f>IF(ScI=1,(nh1_4/(TP-(nh1_1/hnh)-(nh1_2/hnh)-(nh1_3/hnh)-nh1_1-nh1_2-nh1_3))*(TP-(nh1_1/hnh)-(R125/hnh)-(S125/hnh)-nh1_1-R125-S125-(TP*VE*(TCv_3*tCo1_1+TCv_3*tCo1_2+TCv_3*tCo1_3))),IF(ScI=2,(TP-H_1-((TP-H_1-(H_1*hnh)-(TP*TCv_3*tCo1_1*VE))*H_2/(TP-H_1-(H_1*hnh)))-((TP-H_1-(((TP-H_1-(H_1*hnh)-(TP*TCv_3*tCo1_1*VE))*H_2/(TP-H_1-(H_1*hnh))))-(H_1*hnh)-((TP-H_1-(H_1*hnh)-(TP*TCv_3*tCo1_1*VE))*H_2*hnh/(TP-H_1-(H_1*hnh)))-(TP*TCv_3*tCo1_1*VE)-(TP*TCv_3*tCo1_2*VE))*(H_3/(TP-H_1-H_2-(hnh*(H_1+H_2)))))-(H_1*hnh)-((TP-H_1-(H_1*hnh)-(TP*TCv_3*tCo1_1*VE))*H_2*hnh/(TP-H_1-(H_1*hnh)))-((TP-H_1-(((TP-H_1-(H_1*hnh)-(TP*TCv_3*tCo1_1*VE))*H_2/(TP-H_1-(H_1*hnh))))-(H_1*hnh)-(((TP-H_1-(H_1*hnh)-(TP*TCv_3*tCo1_1*VE))*H_2*hnh/(TP-H_1-(H_1*hnh))))-(TP*TCv_3*tCo1_1*VE)-(TP*TCv_3*tCo1_2*VE))*(H_3*hnh/(TP-H_1-H_2-(hnh*(H_1+H_2)))))-(TP*TCv_3*tCo1_1*VE)-(TP*TCv_3*tCo1_2*VE)-(TP*TCv_3*tCo1_3*VE))*(H_4*hnh/(TP-H_1-H_2-H_3-(hnh*(H_1+H_2+H_3)))),0))</f>
        <v>#DIV/0!</v>
      </c>
      <c r="U125" s="86" t="e">
        <f>IF(ScI=1,(nh1_5/(TP-(nh1_1/hnh)-(nh1_2/hnh)-(nh1_3/hnh)-(nh1_4/hnh)-nh1_1-nh1_2-nh1_3-nh1_4))*(TP-(nh1_1/hnh)-(R125/hnh)-(S125/hnh)-(T125/hnh)-nh1_1-R125-S125-T125-(TP*VE*(TCv_3*tCo1_1+TCv_3*tCo1_2+TCv_3*tCo1_3+TCv_3*tCo1_4))),IF(ScI=2,(TP-H_1-(((TP-H_1-(H_1*hnh)-(TP*TCv_3*tCo1_1*VE))*H_2/(TP-H_1-(H_1*hnh))))-AP124-AQ124-(H_1*hnh)-((TP-H_1-(H_1*hnh)-(TP*TCv_3*tCo1_1*VE))*H_2*hnh/(TP-H_1-(H_1*hnh)))-AP126-AQ126-(TP*TCv_3*tCo1_1*VE)-(TP*TCv_3*tCo1_2*VE)-(TP*TCv_3*tCo1_3*VE)-(TP*TCv_3*tCo1_4*VE))*(H_5*hnh/(TP-H_1-H_2-H_3-H_4-(hnh*(H_1+H_2+H_3+H_4)))),0))</f>
        <v>#DIV/0!</v>
      </c>
      <c r="V125" s="86" t="e">
        <f>IF(ScI=1,(nh1_6/(TP-(nh1_1/hnh)-(nh1_2/hnh)-(nh1_3/hnh)-(nh1_4/hnh)-(nh1_5/hnh)-nh1_1-nh1_2-nh1_3-nh1_4-nh1_5))*(TP-(nh1_1/hnh)-(R125/hnh)-(S125/hnh)-(T125/hnh)-(U125/hnh)-nh1_1-R125-S125-T125-U125-(TP*VE*(TCv_3*tCo1_1+TCv_3*tCo1_2+TCv_3*tCo1_3+TCv_3*tCo1_4+TCv_3*tCo1_5))),IF(ScI=2,(TP-H_1-((TP-H_1-(H_1*hnh)-(TP*TCv_3*tCo1_1*VE))*H_2/(TP-H_1-(H_1*hnh)))-AP124-AQ124-AR124-(H_1*hnh)-((TP-H_1-(H_1*hnh)-(TP*TCv_3*tCo1_1*VE))*H_2*hnh/(TP-H_1-(H_1*hnh)))-AP126-AQ126-AR126-(TP*TCv_3*tCo1_1*VE)-(TP*TCv_3*tCo1_2*VE)-(TP*TCv_3*tCo1_3*VE)-(TP*TCv_3*tCo1_4*VE)-(TP*TCv_3*tCo1_5*VE))*(H_6*hnh/(TP-H_1-H_2-H_3-H_4-H_5-(hnh*(H_1+H_2+H_3+H_4+H_5)))),0))</f>
        <v>#DIV/0!</v>
      </c>
      <c r="W125" s="86" t="e">
        <f>IF(ScI=1,(nh1_7/(TP-(nh1_1/hnh)-(nh1_2/hnh)-(nh1_3/hnh)-(nh1_4/hnh)-(nh1_5/hnh)-(nh1_6/hnh)-nh1_1-nh1_2-nh1_3-nh1_4-nh1_5-nh1_6))*(TP-(nh1_1/hnh)-(R125/hnh)-(S125/hnh)-(T125/hnh)-(U125/hnh)-(V125/hnh)-nh1_1-R125-S125-T125-U125-V125-(TP*VE*(TCv_3*tCo1_1+TCv_3*tCo1_2+TCv_3*tCo1_3+TCv_3*tCo1_4+TCv_3*tCo1_5+TCv_3*tCo1_6))),IF(ScI=2,(TP-H_1-((TP-H_1-(H_1*hnh)-(TP*TCv_3*tCo1_1*VE))*H_2/(TP-H_1-(H_1*hnh)))-AP124-AQ124-AR124-AS124-(H_1*hnh)-((TP-H_1-(H_1*hnh)-(TP*TCv_3*tCo1_1*VE))*H_2*hnh/(TP-H_1-(H_1*hnh)))-AP126-AQ126-AR126-AS126-(TP*TCv_3*tCo1_1*VE)-(TP*TCv_3*tCo1_2*VE)-(TP*TCv_3*tCo1_3*VE)-(TP*TCv_3*tCo1_4*VE)-(TP*TCv_3*tCo1_5*VE)-(TP*TCv_3*tCo1_6*VE))*(H_7*hnh/(TP-H_1-H_2-H_3-H_4-H_5-H_6-(hnh*(H_1+H_2+H_3+H_4+H_5+H_6)))),0))</f>
        <v>#DIV/0!</v>
      </c>
      <c r="X125" s="86" t="e">
        <f>IF(ScI=1,(nh1_8/(TP-(nh1_1/hnh)-(nh1_2/hnh)-(nh1_3/hnh)-(nh1_4/hnh)-(nh1_5/hnh)-(nh1_6/hnh)-(nh1_7/hnh)-nh1_1-nh1_2-nh1_3-nh1_4-nh1_5-nh1_6-nh1_7))*(TP-(nh1_1/hnh)-(R125/hnh)-(S125/hnh)-(T125/hnh)-(U125/hnh)-(V125/hnh)-(W125/hnh)-nh1_1-R125-S125-T125-U125-V125-W125-(TP*VE*(TCv_3*tCo1_1+TCv_3*tCo1_2+TCv_3*tCo1_3+TCv_3*tCo1_4+TCv_3*tCo1_5+TCv_3*tCo1_6+TCv_3*tCo1_7))),IF(ScI=2,(TP-H_1-((TP-H_1-(H_1*hnh)-(TP*TCv_3*tCo1_1*VE))*H_2/(TP-H_1-(H_1*hnh)))-AP124-AQ124-AR124-AS124-AT124-(H_1*hnh)-((TP-H_1-(H_1*hnh)-(TP*TCv_3*tCo1_1*VE))*H_2*hnh/(TP-H_1-(H_1*hnh)))-AP126-AQ126-AR126-AS126-AT126-(TP*TCv_3*tCo1_1*VE)-(TP*TCv_3*tCo1_2*VE)-(TP*TCv_3*tCo1_3*VE)-(TP*TCv_3*tCo1_4*VE)-(TP*TCv_3*tCo1_5*VE)-(TP*TCv_3*tCo1_6*VE)-(TP*TCv_3*tCo1_7*VE))*(H_8*hnh/(TP-H_1-H_2-H_3-H_4-H_5-H_6-H_7-(hnh*(H_1+H_2+H_3+H_4+H_5+H_6+H_7)))),0))</f>
        <v>#DIV/0!</v>
      </c>
      <c r="Y125" s="86" t="e">
        <f>IF(ScI=1,(nh1_9/(TP-(nh1_1/hnh)-(nh1_2/hnh)-(nh1_3/hnh)-(nh1_4/hnh)-(nh1_5/hnh)-(nh1_6/hnh)-(nh1_7/hnh)-(nh1_8/hnh)-nh1_1-nh1_2-nh1_3-nh1_4-nh1_5-nh1_6-nh1_7-nh1_8))*(TP-(nh1_1/hnh)-(R125/hnh)-(S125/hnh)-(T125/hnh)-(U125/hnh)-(V125/hnh)-(W125/hnh)-(X125/hnh)-nh1_1-R125-S125-T125-U125-V125-W125-X125-(TP*VE*(TCv_3*tCo1_1+TCv_3*tCo1_2+TCv_3*tCo1_3+TCv_3*tCo1_4+TCv_3*tCo1_5+TCv_3*tCo1_6+TCv_3*tCo1_7+TCv_3*tCo1_8))),IF(ScI=2,(TP-H_1-((TP-H_1-(H_1*hnh)-(TP*TCv_3*tCo1_1*VE))*H_2/(TP-H_1-(H_1*hnh)))-AP124-AQ124-AR124-AS124-AT124-AU124-(H_1*hnh)-((TP-H_1-(H_1*hnh)-(TP*TCv_3*tCo1_1*VE))*H_2*hnh/(TP-H_1-(H_1*hnh)))-AP126-AQ126-AR126-AS126-AT126-AU126-(TP*TCv_3*tCo1_1*VE)-(TP*TCv_3*tCo1_2*VE)-(TP*TCv_3*tCo1_3*VE)-(TP*TCv_3*tCo1_4*VE)-(TP*TCv_3*tCo1_5*VE)-(TP*TCv_3*tCo1_6*VE)-(TP*TCv_3*tCo1_7*VE)-(TP*TCv_3*tCo1_8*VE))*(H_9*hnh/(TP-H_1-H_2-H_3-H_4-H_5-H_6-H_7-H_8-(hnh*(H_1+H_2+H_3+H_4+H_5+H_6+H_7+H_8)))),0))</f>
        <v>#DIV/0!</v>
      </c>
      <c r="Z125" s="86" t="e">
        <f>IF(ScI=1,(nh1_10/(TP-(nh1_1/hnh)-(nh1_2/hnh)-(nh1_3/hnh)-(nh1_4/hnh)-(nh1_5/hnh)-(nh1_6/hnh)-(nh1_7/hnh)-(nh1_8/hnh)-(nh1_9/hnh)-nh1_1-nh1_2-nh1_3-nh1_4-nh1_5-nh1_6-nh1_7-nh1_8-nh1_9))*(TP-(nh1_1/hnh)-(R125/hnh)-(S125/hnh)-(T125/hnh)-(U125/hnh)-(V125/hnh)-(W125/hnh)-(X125/hnh)-(Y125/hnh)-nh1_1-R125-S125-T125-U125-V125-W125-X125-Y125-(TP*VE*(TCv_3*tCo1_1+TCv_3*tCo1_2+TCv_3*tCo1_3+TCv_3*tCo1_4+TCv_3*tCo1_5+TCv_3*tCo1_6+TCv_3*tCo1_7+TCv_3*tCo1_8+TCv_3*tCo1_9))),IF(ScI=2,(TP-H_1-((TP-H_1-(H_1*hnh)-(TP*TCv_3*tCo1_1*VE))*H_2/(TP-H_1-(H_1*hnh)))-AP124-AQ124-AR124-AS124-AT124-AU124-AV124-(H_1*hnh)-((TP-H_1-(H_1*hnh)-(TP*TCv_3*tCo1_1*VE))*H_2*hnh/(TP-H_1-(H_1*hnh)))-AP126-AQ126-AR126-AS126-AT126-AU126-AV126-(TP*TCv_3*tCo1_1*VE)-(TP*TCv_3*tCo1_2*VE)-(TP*TCv_3*tCo1_3*VE)-(TP*TCv_3*tCo1_4*VE)-(TP*TCv_3*tCo1_5*VE)-(TP*TCv_3*tCo1_6*VE)-(TP*TCv_3*tCo1_7*VE)-(TP*TCv_3*tCo1_8*VE)-(TP*TCv_3*tCo1_9*VE))*(H_10*hnh/(TP-H_1-H_2-H_3-H_4-H_5-H_6-H_7-H_8-H_9-(hnh*(H_1+H_2+H_3+H_4+H_5+H_6+H_7+H_8+H_9)))),0))</f>
        <v>#DIV/0!</v>
      </c>
      <c r="AA125" s="86" t="e">
        <f>IF(ScI=1,(nh1_11/(TP-(nh1_1/hnh)-(nh1_2/hnh)-(nh1_3/hnh)-(nh1_4/hnh)-(nh1_5/hnh)-(nh1_6/hnh)-(nh1_7/hnh)-(nh1_8/hnh)-(nh1_9/hnh)-(nh1_10/hnh)-nh1_1-nh1_2-nh1_3-nh1_4-nh1_5-nh1_6-nh1_7-nh1_8-nh1_9-nh1_10))*(TP-(nh1_1/hnh)-(R125/hnh)-(S125/hnh)-(T125/hnh)-(U125/hnh)-(V125/hnh)-(W125/hnh)-(X125/hnh)-(Y125/hnh)-(Z125/hnh)-nh1_1-R125-S125-T125-U125-V125-W125-X125-Y125-Z125-(TP*VE*(TCv_3*tCo1_1+TCv_3*tCo1_2+TCv_3*tCo1_3+TCv_3*tCo1_4+TCv_3*tCo1_5+TCv_3*tCo1_6+TCv_3*tCo1_7+TCv_3*tCo1_8+TCv_3*tCo1_9+TCv_3*tCo1_10))),IF(ScI=2,(TP-H_1-((TP-H_1-(H_1*hnh)-(TP*TCv_3*tCo1_1*VE))*H_2/(TP-H_1-(H_1*hnh)))-AP124-AQ124-AR124-AS124-AT124-AU124-AV124-AW124-(H_1*hnh)-((TP-H_1-(H_1*hnh)-(TP*TCv_3*tCo1_1*VE))*H_2*hnh/(TP-H_1-(H_1*hnh)))-AP126-AQ126-AR126-AS126-AT126-AU126-AV126-AW126-(TP*TCv_3*tCo1_1*VE)-(TP*TCv_3*tCo1_2*VE)-(TP*TCv_3*tCo1_3*VE)-(TP*TCv_3*tCo1_4*VE)-(TP*TCv_3*tCo1_5*VE)-(TP*TCv_3*tCo1_6*VE)-(TP*TCv_3*tCo1_7*VE)-(TP*TCv_3*tCo1_8*VE)-(TP*TCv_3*tCo1_9*VE)-(TP*TCv_3*tCo1_10*VE))*(H_11*hnh/(TP-H_1-H_2-H_3-H_4-H_5-H_6-H_7-H_8-H_9-H_10-(hnh*(H_1+H_2+H_3+H_4+H_5+H_6+H_7+H_8+H_9+H_10)))),0))</f>
        <v>#DIV/0!</v>
      </c>
      <c r="AB125" s="86" t="e">
        <f>IF(ScI=1,(nh1_12/(TP-(nh1_1/hnh)-(nh1_2/hnh)-(nh1_3/hnh)-(nh1_4/hnh)-(nh1_5/hnh)-(nh1_6/hnh)-(nh1_7/hnh)-(nh1_8/hnh)-(nh1_9/hnh)-(nh1_10/hnh)-(nh1_11/hnh)-nh1_1-nh1_2-nh1_3-nh1_4-nh1_5-nh1_6-nh1_7-nh1_8-nh1_9-nh1_10-nh1_11))*(TP-(nh1_1/hnh)-(R125/hnh)-(S125/hnh)-(T125/hnh)-(U125/hnh)-(V125/hnh)-(W125/hnh)-(X125/hnh)-(Y125/hnh)-(Z125/hnh)-(AA125/hnh)-nh1_1-R125-S125-T125-U125-V125-W125-X125-Y125-Z125-AA125-(TP*VE*(TCv_3*tCo1_1+TCv_3*tCo1_2+TCv_3*tCo1_3+TCv_3*tCo1_4+TCv_3*tCo1_5+TCv_3*tCo1_6+TCv_3*tCo1_7+TCv_3*tCo1_8+TCv_3*tCo1_9+TCv_3*tCo1_10+TCv_3*tCo1_11))),IF(ScI=2,(TP-H_1-((TP-H_1-(H_1*hnh)-(TP*TCv_3*tCo1_1*VE))*H_2/(TP-H_1-(H_1*hnh)))-AP124-AQ124-AR124-AS124-AT124-AU124-AV124-AW124-AX124-(H_1*hnh)-((TP-H_1-(H_1*hnh)-(TP*TCv_3*tCo1_1*VE))*H_2*hnh/(TP-H_1-(H_1*hnh)))-AP126-AQ126-AR126-AS126-AT126-AU126-AV126-AW126-AX126-(TP*TCv_3*tCo1_1*VE)-(TP*TCv_3*tCo1_2*VE)-(TP*TCv_3*tCo1_3*VE)-(TP*TCv_3*tCo1_4*VE)-(TP*TCv_3*tCo1_5*VE)-(TP*TCv_3*tCo1_6*VE)-(TP*TCv_3*tCo1_7*VE)-(TP*TCv_3*tCo1_8*VE)-(TP*TCv_3*tCo1_9*VE)-(TP*TCv_3*tCo1_10*VE)-(TP*TCv_3*tCo1_11*VE))*(H_12*hnh/(TP-H_1-H_2-H_3-H_4-H_5-H_6-H_7-H_8-H_9-H_10-H_11-(hnh*(H_1+H_2+H_3+H_4+H_5+H_6+H_7+H_8+H_9+H_10+H_11)))),0))</f>
        <v>#DIV/0!</v>
      </c>
      <c r="AC125" s="88">
        <f>IF(ScI=1,H_1*hnh,IF(ScI=2,H_1*hnh,0))</f>
        <v>0</v>
      </c>
      <c r="AD125" s="88" t="e">
        <f>IF(ScI=1,(TP-H_1-(H_1*hnh))*H_2*hnh/(TP-H_1-(H_1*hnh)-(TP*TCv_3*tCo1_1*VE)),IF(ScI=2,H_2*hnh,0))</f>
        <v>#DIV/0!</v>
      </c>
      <c r="AE125" s="88" t="e">
        <f>IF(ScI=1,(TP-H_1-((TP-H_1-(H_1*hnh))*H_2/(TP-H_1-(H_1*hnh)-(TP*TCv_3*tCo1_1*VE)))-(H_1*hnh)-((TP-H_1-(H_1*hnh))*H_2*hnh/(TP-H_1-(H_1*hnh)-(TP*TCv_3*tCo1_1*VE))))*H_3*hnh/(TP-H_1-H_2-(hnh*(H_1+H_2))-(TP*VE*(TCv_3*tCo1_1+TCv_3*tCo1_2))),IF(ScI=2,H_3*hnh,0))</f>
        <v>#DIV/0!</v>
      </c>
      <c r="AF125" s="88" t="e">
        <f>IF(ScI=1,(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IF(ScI=2,H_4*hnh,0))</f>
        <v>#DIV/0!</v>
      </c>
      <c r="AG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H_5*hnh/(TP-H_1-H_2-H_3-H_4-(hnh*(H_1+H_2+H_3+H_4))-(TP*VE*(TCv_3*tCo1_1+TCv_3*tCo1_2+TCv_3*tCo1_3+TCv_3*tCo1_4))),IF(ScI=2,H_5*hnh,0))</f>
        <v>#DIV/0!</v>
      </c>
      <c r="AH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H_6*hnh/(TP-H_1-H_2-H_3-H_4-H_5-(hnh*(H_1+H_2+H_3+H_4+H_5))-(TP*VE*(TCv_3*tCo1_1+TCv_3*tCo1_2+TCv_3*tCo1_3+TCv_3*tCo1_4+TCv_3*tCo1_5))),IF(ScI=2,H_6*hnh,0))</f>
        <v>#DIV/0!</v>
      </c>
      <c r="AI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H_7*hnh/(TP-H_1-H_2-H_3-H_4-H_5-H_6-(hnh*(H_1+H_2+H_3+H_4+H_5+H_6))-(TP*VE*(TCv_3*tCo1_1+TCv_3*tCo1_2+TCv_3*tCo1_3+TCv_3*tCo1_4+TCv_3*tCo1_5+TCv_3*tCo1_6))),IF(ScI=2,H_7*hnh,0))</f>
        <v>#DIV/0!</v>
      </c>
      <c r="AJ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H_8*hnh/(TP-H_1-H_2-H_3-H_4-H_5-H_6-H_7-(hnh*(H_1+H_2+H_3+H_4+H_5+H_6+H_7))-(TP*VE*(TCv_3*tCo1_1+TCv_3*tCo1_2+TCv_3*tCo1_3+TCv_3*tCo1_4+TCv_3*tCo1_5+TCv_3*tCo1_6+TCv_3*tCo1_7))),IF(ScI=2,H_8*hnh,0))</f>
        <v>#DIV/0!</v>
      </c>
      <c r="AK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H_9*hnh/(TP-H_1-H_2-H_3-H_4-H_5-H_6-H_7-H_8-(hnh*(H_1+H_2+H_3+H_4+H_5+H_6+H_7+H_8))-(TP*VE*(TCv_3*tCo1_1+TCv_3*tCo1_2+TCv_3*tCo1_3+TCv_3*tCo1_4+TCv_3*tCo1_5+TCv_3*tCo1_6+TCv_3*tCo1_7+TCv_3*tCo1_8))),IF(ScI=2,H_9*hnh,0))</f>
        <v>#DIV/0!</v>
      </c>
      <c r="AL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H_10*hnh/(TP-H_1-H_2-H_3-H_4-H_5-H_6-H_7-H_8-H_9-(hnh*(H_1+H_2+H_3+H_4+H_5+H_6+H_7+H_8+H_9))-(TP*VE*(TCv_3*tCo1_1+TCv_3*tCo1_2+TCv_3*tCo1_3+TCv_3*tCo1_4+TCv_3*tCo1_5+TCv_3*tCo1_6+TCv_3*tCo1_7+TCv_3*tCo1_8+TCv_3*tCo1_9))),IF(ScI=2,H_10*hnh,0))</f>
        <v>#DIV/0!</v>
      </c>
      <c r="AM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H_11*hnh/(TP-H_1-H_2-H_3-H_4-H_5-H_6-H_7-H_8-H_9-H_10-(hnh*(H_1+H_2+H_3+H_4+H_5+H_6+H_7+H_8+H_9+H_10))-(TP*VE*(TCv_3*tCo1_1+TCv_3*tCo1_2+TCv_3*tCo1_3+TCv_3*tCo1_4+TCv_3*tCo1_5+TCv_3*tCo1_6+TCv_3*tCo1_7+TCv_3*tCo1_8+TCv_3*tCo1_9+TCv_3*tCo1_10))),IF(ScI=2,H_11*hnh,0))</f>
        <v>#DIV/0!</v>
      </c>
      <c r="AN125" s="88" t="e">
        <f>IF(ScI=1,(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BF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BF126)*H_12*hnh/(TP-H_1-H_2-H_3-H_4-H_5-H_6-H_7-H_8-H_9-H_10-H_11-(hnh*(H_1+H_2+H_3+H_4+H_5+H_6+H_7+H_8+H_9+H_10+H_11))-(TP*VE*(TCv_3*tCo1_1+TCv_3*tCo1_2+TCv_3*tCo1_3+TCv_3*tCo1_4+TCv_3*tCo1_5+TCv_3*tCo1_6+TCv_3*tCo1_7+TCv_3*tCo1_8+TCv_3*tCo1_9+TCv_3*tCo1_10+TCv_3*tCo1_11))),IF(ScI=2,H_12*hnh,0))</f>
        <v>#DIV/0!</v>
      </c>
      <c r="AP125" s="103" t="s">
        <v>82</v>
      </c>
      <c r="AQ125" s="103" t="s">
        <v>83</v>
      </c>
      <c r="AR125" s="103" t="s">
        <v>84</v>
      </c>
      <c r="AS125" s="103" t="s">
        <v>85</v>
      </c>
      <c r="AT125" s="103" t="s">
        <v>86</v>
      </c>
      <c r="AU125" s="103" t="s">
        <v>87</v>
      </c>
      <c r="AV125" s="103" t="s">
        <v>88</v>
      </c>
      <c r="AW125" s="103" t="s">
        <v>89</v>
      </c>
      <c r="AX125" s="103" t="s">
        <v>90</v>
      </c>
      <c r="AZ125" s="103" t="s">
        <v>106</v>
      </c>
      <c r="BA125" s="103" t="s">
        <v>92</v>
      </c>
      <c r="BB125" s="103" t="s">
        <v>98</v>
      </c>
      <c r="BC125" s="103" t="s">
        <v>99</v>
      </c>
      <c r="BD125" s="103" t="s">
        <v>100</v>
      </c>
      <c r="BE125" s="103" t="s">
        <v>101</v>
      </c>
      <c r="BF125" s="103" t="s">
        <v>102</v>
      </c>
    </row>
    <row r="126" spans="1:58" hidden="1" outlineLevel="1" x14ac:dyDescent="0.25">
      <c r="F126" s="113"/>
      <c r="G126" s="31"/>
      <c r="H126" s="31"/>
      <c r="I126" s="31"/>
      <c r="J126" s="31"/>
      <c r="K126" s="31"/>
      <c r="L126" s="31"/>
      <c r="M126" s="31"/>
      <c r="N126" s="31"/>
      <c r="Q126" s="31"/>
      <c r="R126" s="97"/>
      <c r="S126" s="97"/>
      <c r="T126" s="97"/>
      <c r="U126" s="97"/>
      <c r="V126" s="97"/>
      <c r="W126" s="97"/>
      <c r="X126" s="97"/>
      <c r="Y126" s="97"/>
      <c r="Z126" s="97"/>
      <c r="AA126" s="97"/>
      <c r="AB126" s="97"/>
      <c r="AC126" s="98"/>
      <c r="AD126" s="98"/>
      <c r="AE126" s="98"/>
      <c r="AF126" s="98"/>
      <c r="AG126" s="98"/>
      <c r="AH126" s="98"/>
      <c r="AI126" s="98"/>
      <c r="AJ126" s="98"/>
      <c r="AK126" s="98"/>
      <c r="AL126" s="98"/>
      <c r="AM126" s="98"/>
      <c r="AN126" s="98"/>
      <c r="AP126" s="103" t="e">
        <f>((TP-H_1-((TP-H_1-(H_1*hnh)-(TP*TCv_3*tCo1_1*VE))*H_2/(TP-H_1-(H_1*hnh)))-(H_1*hnh)-((TP-H_1-(H_1*hnh)-(TP*TCv_3*tCo1_1*VE))*H_2*hnh/(TP-H_1-(H_1*hnh)))-(TP*TCv_3*tCo1_1*VE)-(TP*TCv_3*tCo1_2*VE))*(H_3*hnh/(TP-H_1-H_2-(hnh*(H_1+H_2)))))</f>
        <v>#DIV/0!</v>
      </c>
      <c r="AQ126" s="103" t="e">
        <f>(TP-H_1-((TP-H_1-(H_1*hnh)-(TP*TCv_3*tCo1_1*VE))*H_2/(TP-H_1-(H_1*hnh)))-AP124-(H_1*hnh)-((TP-H_1-(H_1*hnh)-(TP*TCv_3*tCo1_1*VE))*H_2*hnh/(TP-H_1-(H_1*hnh)))-AP126-(TP*TCv_3*tCo1_1*VE)-(TP*TCv_3*tCo1_2*VE)-(TP*TCv_3*tCo1_3*VE))*(H_4*hnh/(TP-H_1-H_2-H_3-(hnh*(H_1+H_2+H_3))))</f>
        <v>#DIV/0!</v>
      </c>
      <c r="AR126" s="103" t="e">
        <f>(TP-H_1-((TP-H_1-(H_1*hnh)-(TP*TCv_3*tCo1_1*VE))*H_2/(TP-H_1-(H_1*hnh)))-AP124-AQ124-(H_1*hnh)-((TP-H_1-(H_1*hnh)-(TP*TCv_3*tCo1_1*VE))*H_2*hnh/(TP-H_1-(H_1*hnh)))-AP126-AQ126-(TP*TCv_3*tCo1_1*VE)-(TP*TCv_3*tCo1_2*VE)-(TP*TCv_3*tCo1_3*VE)-(TP*TCv_3*tCo1_4*VE))*(H_5*hnh/(TP-H_1-H_2-H_3-H_4-(hnh*(H_1+H_2+H_3+H_4))))</f>
        <v>#DIV/0!</v>
      </c>
      <c r="AS126" s="103" t="e">
        <f>(TP-H_1-((TP-H_1-(H_1*hnh)-(TP*TCv_3*tCo1_1*VE))*H_2/(TP-H_1-(H_1*hnh)))-AP124-AQ124-AR124-(H_1*hnh)-((TP-H_1-(H_1*hnh)-(TP*TCv_3*tCo1_1*VE))*H_2*hnh/(TP-H_1-(H_1*hnh)))-AP126-AQ126-AR126-(TP*TCv_3*tCo1_1*VE)-(TP*TCv_3*tCo1_2*VE)-(TP*TCv_3*tCo1_3*VE)-(TP*TCv_3*tCo1_4*VE)-(TP*TCv_3*tCo1_5*VE))*(H_6*hnh/(TP-H_1-H_2-H_3-H_4-H_5-(hnh*(H_1+H_2+H_3+H_4+H_5))))</f>
        <v>#DIV/0!</v>
      </c>
      <c r="AT126" s="103" t="e">
        <f>(TP-H_1-((TP-H_1-(H_1*hnh)-(TP*TCv_3*tCo1_1*VE))*H_2/(TP-H_1-(H_1*hnh)))-AP124-AQ124-AR124-AS124-(H_1*hnh)-((TP-H_1-(H_1*hnh)-(TP*TCv_3*tCo1_1*VE))*H_2*hnh/(TP-H_1-(H_1*hnh)))-AP126-AQ126-AR126-AS126-(TP*TCv_3*tCo1_1*VE)-(TP*TCv_3*tCo1_2*VE)-(TP*TCv_3*tCo1_3*VE)-(TP*TCv_3*tCo1_4*VE)-(TP*TCv_3*tCo1_5*VE)-(TP*TCv_3*tCo1_6*VE))*(H_7*hnh/(TP-H_1-H_2-H_3-H_4-H_5-H_6-(hnh*(H_1+H_2+H_3+H_4+H_5+H_6))))</f>
        <v>#DIV/0!</v>
      </c>
      <c r="AU126" s="103" t="e">
        <f>(TP-H_1-((TP-H_1-(H_1*hnh)-(TP*TCv_3*tCo1_1*VE))*H_2/(TP-H_1-(H_1*hnh)))-AP124-AQ124-AR124-AS124-AT124-(H_1*hnh)-((TP-H_1-(H_1*hnh)-(TP*TCv_3*tCo1_1*VE))*H_2*hnh/(TP-H_1-(H_1*hnh)))-AP126-AQ126-AR126-AS126-AT126-(TP*TCv_3*tCo1_1*VE)-(TP*TCv_3*tCo1_2*VE)-(TP*TCv_3*tCo1_3*VE)-(TP*TCv_3*tCo1_4*VE)-(TP*TCv_3*tCo1_5*VE)-(TP*TCv_3*tCo1_6*VE)-(TP*TCv_3*tCo1_7*VE))*(H_8*hnh/(TP-H_1-H_2-H_3-H_4-H_5-H_6-H_7-(hnh*(H_1+H_2+H_3+H_4+H_5+H_6+H_7))))</f>
        <v>#DIV/0!</v>
      </c>
      <c r="AV126" s="103" t="e">
        <f>(TP-H_1-((TP-H_1-(H_1*hnh)-(TP*TCv_3*tCo1_1*VE))*H_2/(TP-H_1-(H_1*hnh)))-AP124-AQ124-AR124-AS124-AT124-AU124-(H_1*hnh)-((TP-H_1-(H_1*hnh)-(TP*TCv_3*tCo1_1*VE))*H_2*hnh/(TP-H_1-(H_1*hnh)))-AP126-AQ126-AR126-AS126-AT126-AU126-(TP*TCv_3*tCo1_1*VE)-(TP*TCv_3*tCo1_2*VE)-(TP*TCv_3*tCo1_3*VE)-(TP*TCv_3*tCo1_4*VE)-(TP*TCv_3*tCo1_5*VE)-(TP*TCv_3*tCo1_6*VE)-(TP*TCv_3*tCo1_7*VE)-(TP*TCv_3*tCo1_8*VE))*(H_9*hnh/(TP-H_1-H_2-H_3-H_4-H_5-H_6-H_7-H_8-(hnh*(H_1+H_2+H_3+H_4+H_5+H_6+H_7+H_8))))</f>
        <v>#DIV/0!</v>
      </c>
      <c r="AW126" s="103" t="e">
        <f>(TP-H_1-((TP-H_1-(H_1*hnh)-(TP*TCv_3*tCo1_1*VE))*H_2/(TP-H_1-(H_1*hnh)))-AP124-AQ124-AR124-AS124-AT124-AU124-AV124-(H_1*hnh)-((TP-H_1-(H_1*hnh)-(TP*TCv_3*tCo1_1*VE))*H_2*hnh/(TP-H_1-(H_1*hnh)))-AP126-AQ126-AR126-AS126-AT126-AU126-AV126-(TP*TCv_3*tCo1_1*VE)-(TP*TCv_3*tCo1_2*VE)-(TP*TCv_3*tCo1_3*VE)-(TP*TCv_3*tCo1_4*VE)-(TP*TCv_3*tCo1_5*VE)-(TP*TCv_3*tCo1_6*VE)-(TP*TCv_3*tCo1_7*VE)-(TP*TCv_3*tCo1_8*VE)-(TP*TCv_3*tCo1_9*VE))*(H_10*hnh/(TP-H_1-H_2-H_3-H_4-H_5-H_6-H_7-H_8-H_9-(hnh*(H_1+H_2+H_3+H_4+H_5+H_6+H_7+H_8+H_9))))</f>
        <v>#DIV/0!</v>
      </c>
      <c r="AX126" s="103" t="e">
        <f>(TP-H_1-((TP-H_1-(H_1*hnh)-(TP*TCv_3*tCo1_1*VE))*H_2/(TP-H_1-(H_1*hnh)))-AP124-AQ124-AR124-AS124-AT124-AU124-AV124-AW124-(H_1*hnh)-((TP-H_1-(H_1*hnh)-(TP*TCv_3*tCo1_1*VE))*H_2*hnh/(TP-H_1-(H_1*hnh)))-AP126-AQ126-AR126-AS126-AT126-AU126-AV126-AW126-(TP*TCv_3*tCo1_1*VE)-(TP*TCv_3*tCo1_2*VE)-(TP*TCv_3*tCo1_3*VE)-(TP*TCv_3*tCo1_4*VE)-(TP*TCv_3*tCo1_5*VE)-(TP*TCv_3*tCo1_6*VE)-(TP*TCv_3*tCo1_7*VE)-(TP*TCv_3*tCo1_8*VE)-(TP*TCv_3*tCo1_9*VE)-(TP*TCv_3*tCo1_10*VE))*(H_11*hnh/(TP-H_1-H_2-H_3-H_4-H_5-H_6-H_7-H_8-H_9-H_10-(hnh*(H_1+H_2+H_3+H_4+H_5+H_6+H_7+H_8+H_9+H_10))))</f>
        <v>#DIV/0!</v>
      </c>
      <c r="AZ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H_5*hnh/(TP-H_1-H_2-H_3-H_4-(hnh*(H_1+H_2+H_3+H_4))-(TP*VE*(TCv_3*tCo1_1+TCv_3*tCo1_2+TCv_3*tCo1_3+TCv_3*tCo1_4)))</f>
        <v>#DIV/0!</v>
      </c>
      <c r="BA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H_6*hnh/(TP-H_1-H_2-H_3-H_4-H_5-(hnh*(H_1+H_2+H_3+H_4+H_5))-(TP*VE*(TCv_3*tCo1_1+TCv_3*tCo1_2+TCv_3*tCo1_3+TCv_3*tCo1_4+TCv_3*tCo1_5)))</f>
        <v>#DIV/0!</v>
      </c>
      <c r="BB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H_7*hnh/(TP-H_1-H_2-H_3-H_4-H_5-H_6-(hnh*(H_1+H_2+H_3+H_4+H_5+H_6))-(TP*VE*(TCv_3*tCo1_1+TCv_3*tCo1_2+TCv_3*tCo1_3+TCv_3*tCo1_4+TCv_3*tCo1_5+TCv_3*tCo1_6)))</f>
        <v>#DIV/0!</v>
      </c>
      <c r="BC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H_8*hnh/(TP-H_1-H_2-H_3-H_4-H_5-H_6-H_7-(hnh*(H_1+H_2+H_3+H_4+H_5+H_6+H_7))-(TP*VE*(TCv_3*tCo1_1+TCv_3*tCo1_2+TCv_3*tCo1_3+TCv_3*tCo1_4+TCv_3*tCo1_5+TCv_3*tCo1_6+TCv_3*tCo1_7)))</f>
        <v>#DIV/0!</v>
      </c>
      <c r="BD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H_9*hnh/(TP-H_1-H_2-H_3-H_4-H_5-H_6-H_7-H_8-(hnh*(H_1+H_2+H_3+H_4+H_5+H_6+H_7+H_8))-(TP*VE*(TCv_3*tCo1_1+TCv_3*tCo1_2+TCv_3*tCo1_3+TCv_3*tCo1_4+TCv_3*tCo1_5+TCv_3*tCo1_6+TCv_3*tCo1_7+TCv_3*tCo1_8)))</f>
        <v>#DIV/0!</v>
      </c>
      <c r="BE126"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124-BA124-BB124-BC124-BD124-(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126-BA126-BB126-BC126-BD126)*H_10*hnh/(TP-H_1-H_2-H_3-H_4-H_5-H_6-H_7-H_8-H_9-(hnh*(H_1+H_2+H_3+H_4+H_5+H_6+H_7+H_8+H_9))-(TP*VE*(Co_1+Co_2+Co_3+Co_4+Co_5+Co_6+Co_7+Co_8+Co_9)))</f>
        <v>#DIV/0!</v>
      </c>
      <c r="BF126" s="103" t="e">
        <f>(TP-H_1-((TP-H_1-(H_1*hnh))*H_2/(TP-H_1-(H_1*hnh)-(TP*TCv_3*tCo1_1*VE)))-((TP-H_1-((TP-H_1-(H_1*hnh))*H_2/(TP-H_1-(H_1*hnh)-(TP*TCv_3*tCo1_1*VE)))-(H_1*hnh)-((TP-H_1-(H_1*hnh))*H_2*hnh/(TP-H_1-(H_1*hnh)-(TP*TCv_3*tCo1_1*VE))))*H_3/(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TP-H_1-H_2-H_3-(hnh*(H_1+H_2+H_3))-(TP*VE*(TCv_3*tCo1_1+TCv_3*tCo1_2+TCv_3*tCo1_3))))-AZ124-BA124-BB124-BC124-BD124-BE124-(H_1*hnh)-((TP-H_1-(H_1*hnh))*H_2*hnh/(TP-H_1-(H_1*hnh)-(TP*TCv_3*tCo1_1*VE)))-((TP-H_1-((TP-H_1-(H_1*hnh))*H_2/(TP-H_1-(H_1*hnh)-(TP*TCv_3*tCo1_1*VE)))-(H_1*hnh)-((TP-H_1-(H_1*hnh))*H_2*hnh/(TP-H_1-(H_1*hnh)-(TP*TCv_3*tCo1_1*VE))))*H_3*hnh/(TP-H_1-H_2-(hnh*(H_1+H_2))-(TP*VE*(TCv_3*tCo1_1+TCv_3*tCo1_2))))-((TP-H_1-((TP-H_1-(H_1*hnh))*H_2/(TP-H_1-(H_1*hnh)-(TP*TCv_3*tCo1_1*VE)))-((TP-H_1-((TP-H_1-(H_1*hnh))*H_2/(TP-H_1-(H_1*hnh)-(TP*TCv_3*tCo1_1*VE)))-(H_1*hnh)-((TP-H_1-(H_1*hnh))*H_2*hnh/(TP-H_1-(H_1*hnh)-(TP*TCv_3*tCo1_1*VE))))*H_3/(TP-H_1-H_2-(hnh*(H_1+H_2))-(TP*VE*(TCv_3*tCo1_1+TCv_3*tCo1_2))))-(H_1*hnh)-((TP-H_1-(H_1*hnh))*H_2*hnh/(TP-H_1-(H_1*hnh)-(TP*TCv_3*tCo1_1*VE)))-((TP-H_1-((TP-H_1-(H_1*hnh))*H_2/(TP-H_1-(H_1*hnh)-(TP*TCv_3*tCo1_1*VE)))-(H_1*hnh)-((TP-H_1-(H_1*hnh))*H_2*hnh/(TP-H_1-(H_1*hnh)-(TP*TCv_3*tCo1_1*VE))))*H_3*hnh/(TP-H_1-H_2-(hnh*(H_1+H_2))-(TP*VE*(TCv_3*tCo1_1+TCv_3*tCo1_2)))))*H_4*hnh/(TP-H_1-H_2-H_3-(hnh*(H_1+H_2+H_3))-(TP*VE*(TCv_3*tCo1_1+TCv_3*tCo1_2+TCv_3*tCo1_3))))-AZ126-BA126-BB126-BC126-BD126-BE126)*H_11*hnh/(TP-H_1-H_2-H_3-H_4-H_5-H_6-H_7-H_8-H_9-H_10-(hnh*(H_1+H_2+H_3+H_4+H_5+H_6+H_7+H_8+H_9+H_10))-(TP*VE*(TCv_3*tCo1_1+TCv_3*tCo1_2+TCv_3*tCo1_3+TCv_3*tCo1_4+TCv_3*tCo1_5+TCv_3*tCo1_6+TCv_3*tCo1_7+TCv_3*tCo1_8+TCv_3*tCo1_9+TCv_3*tCo1_10)))</f>
        <v>#DIV/0!</v>
      </c>
    </row>
    <row r="127" spans="1:58" hidden="1" outlineLevel="1" x14ac:dyDescent="0.25">
      <c r="F127" s="112"/>
    </row>
    <row r="128" spans="1:58" hidden="1" outlineLevel="1" x14ac:dyDescent="0.25"/>
    <row r="129" spans="1:58" collapsed="1" x14ac:dyDescent="0.25"/>
    <row r="130" spans="1:58" s="105" customFormat="1" x14ac:dyDescent="0.25">
      <c r="A130" s="104" t="s">
        <v>299</v>
      </c>
      <c r="B130" s="104"/>
    </row>
    <row r="131" spans="1:58" hidden="1" outlineLevel="1" x14ac:dyDescent="0.25">
      <c r="Q131" s="102" t="s">
        <v>72</v>
      </c>
      <c r="R131" s="102"/>
      <c r="S131" s="102"/>
      <c r="T131" s="102"/>
      <c r="U131" s="102"/>
      <c r="V131" s="102"/>
      <c r="W131" s="102"/>
      <c r="X131" s="102"/>
      <c r="Y131" s="102"/>
      <c r="Z131" s="102"/>
      <c r="AA131" s="102"/>
      <c r="AB131" s="102"/>
      <c r="AC131" s="101" t="s">
        <v>104</v>
      </c>
      <c r="AD131" s="101"/>
      <c r="AE131" s="101"/>
      <c r="AF131" s="101"/>
      <c r="AG131" s="101"/>
      <c r="AH131" s="101"/>
      <c r="AI131" s="101"/>
      <c r="AJ131" s="101"/>
      <c r="AK131" s="101"/>
      <c r="AL131" s="101"/>
      <c r="AM131" s="101"/>
      <c r="AN131" s="101"/>
      <c r="AP131" s="103">
        <v>3</v>
      </c>
      <c r="AQ131" s="103">
        <v>4</v>
      </c>
      <c r="AR131" s="103">
        <v>5</v>
      </c>
      <c r="AS131" s="103">
        <v>6</v>
      </c>
      <c r="AT131" s="103">
        <v>7</v>
      </c>
      <c r="AU131" s="103">
        <v>8</v>
      </c>
      <c r="AV131" s="103">
        <v>9</v>
      </c>
      <c r="AW131" s="103">
        <v>10</v>
      </c>
      <c r="AX131" s="103">
        <v>11</v>
      </c>
      <c r="AZ131" s="103">
        <v>5</v>
      </c>
      <c r="BA131" s="103">
        <v>6</v>
      </c>
      <c r="BB131" s="103">
        <v>7</v>
      </c>
      <c r="BC131" s="103">
        <v>8</v>
      </c>
      <c r="BD131" s="103">
        <v>9</v>
      </c>
      <c r="BE131" s="103">
        <v>10</v>
      </c>
      <c r="BF131" s="103">
        <v>11</v>
      </c>
    </row>
    <row r="132" spans="1:58" ht="28.7" hidden="1" customHeight="1" outlineLevel="1" x14ac:dyDescent="0.25">
      <c r="A132" s="11" t="s">
        <v>47</v>
      </c>
      <c r="B132" s="11"/>
      <c r="C132" s="11"/>
      <c r="D132" s="11"/>
      <c r="E132" s="11"/>
      <c r="F132" s="11"/>
      <c r="G132" s="109" t="s">
        <v>50</v>
      </c>
      <c r="H132" s="109"/>
      <c r="I132" s="110" t="s">
        <v>44</v>
      </c>
      <c r="J132" s="110"/>
      <c r="K132" s="101" t="s">
        <v>58</v>
      </c>
      <c r="L132" s="101"/>
      <c r="M132" s="110" t="s">
        <v>45</v>
      </c>
      <c r="N132" s="110"/>
      <c r="Q132" s="102" t="s">
        <v>1</v>
      </c>
      <c r="R132" s="102"/>
      <c r="S132" s="102"/>
      <c r="T132" s="102"/>
      <c r="U132" s="102"/>
      <c r="V132" s="102"/>
      <c r="W132" s="102"/>
      <c r="X132" s="102"/>
      <c r="Y132" s="102"/>
      <c r="Z132" s="102"/>
      <c r="AA132" s="102"/>
      <c r="AB132" s="102"/>
      <c r="AC132" s="101" t="s">
        <v>71</v>
      </c>
      <c r="AD132" s="101"/>
      <c r="AE132" s="101"/>
      <c r="AF132" s="101"/>
      <c r="AG132" s="101"/>
      <c r="AH132" s="101"/>
      <c r="AI132" s="101"/>
      <c r="AJ132" s="101"/>
      <c r="AK132" s="101"/>
      <c r="AL132" s="101"/>
      <c r="AM132" s="101"/>
      <c r="AN132" s="101"/>
      <c r="AP132" s="103" t="s">
        <v>73</v>
      </c>
      <c r="AQ132" s="103" t="s">
        <v>74</v>
      </c>
      <c r="AR132" s="103" t="s">
        <v>75</v>
      </c>
      <c r="AS132" s="103" t="s">
        <v>76</v>
      </c>
      <c r="AT132" s="103" t="s">
        <v>77</v>
      </c>
      <c r="AU132" s="103" t="s">
        <v>78</v>
      </c>
      <c r="AV132" s="103" t="s">
        <v>79</v>
      </c>
      <c r="AW132" s="103" t="s">
        <v>80</v>
      </c>
      <c r="AX132" s="103" t="s">
        <v>81</v>
      </c>
      <c r="AZ132" s="103" t="s">
        <v>105</v>
      </c>
      <c r="BA132" s="103" t="s">
        <v>91</v>
      </c>
      <c r="BB132" s="103" t="s">
        <v>93</v>
      </c>
      <c r="BC132" s="103" t="s">
        <v>94</v>
      </c>
      <c r="BD132" s="103" t="s">
        <v>95</v>
      </c>
      <c r="BE132" s="103" t="s">
        <v>96</v>
      </c>
      <c r="BF132" s="103" t="s">
        <v>97</v>
      </c>
    </row>
    <row r="133" spans="1:58" ht="45" hidden="1" outlineLevel="1" x14ac:dyDescent="0.25">
      <c r="A133" s="70" t="s">
        <v>40</v>
      </c>
      <c r="B133" s="70" t="s">
        <v>41</v>
      </c>
      <c r="C133" s="70" t="s">
        <v>53</v>
      </c>
      <c r="D133" s="70" t="s">
        <v>48</v>
      </c>
      <c r="E133" s="70" t="s">
        <v>42</v>
      </c>
      <c r="F133" s="76" t="s">
        <v>49</v>
      </c>
      <c r="G133" s="71" t="s">
        <v>51</v>
      </c>
      <c r="H133" s="71" t="s">
        <v>52</v>
      </c>
      <c r="I133" s="72" t="s">
        <v>51</v>
      </c>
      <c r="J133" s="72" t="s">
        <v>52</v>
      </c>
      <c r="K133" s="77" t="s">
        <v>51</v>
      </c>
      <c r="L133" s="77" t="s">
        <v>52</v>
      </c>
      <c r="M133" s="72" t="s">
        <v>51</v>
      </c>
      <c r="N133" s="72" t="s">
        <v>52</v>
      </c>
      <c r="Q133" s="102">
        <v>1</v>
      </c>
      <c r="R133" s="102">
        <v>2</v>
      </c>
      <c r="S133" s="102">
        <v>3</v>
      </c>
      <c r="T133" s="102">
        <v>4</v>
      </c>
      <c r="U133" s="102">
        <v>5</v>
      </c>
      <c r="V133" s="102">
        <v>6</v>
      </c>
      <c r="W133" s="102">
        <v>7</v>
      </c>
      <c r="X133" s="102">
        <v>8</v>
      </c>
      <c r="Y133" s="102">
        <v>9</v>
      </c>
      <c r="Z133" s="102">
        <v>10</v>
      </c>
      <c r="AA133" s="102">
        <v>11</v>
      </c>
      <c r="AB133" s="102">
        <v>12</v>
      </c>
      <c r="AC133" s="101">
        <v>1</v>
      </c>
      <c r="AD133" s="101">
        <v>2</v>
      </c>
      <c r="AE133" s="101">
        <v>3</v>
      </c>
      <c r="AF133" s="101">
        <v>4</v>
      </c>
      <c r="AG133" s="101">
        <v>5</v>
      </c>
      <c r="AH133" s="101">
        <v>6</v>
      </c>
      <c r="AI133" s="101">
        <v>7</v>
      </c>
      <c r="AJ133" s="101">
        <v>8</v>
      </c>
      <c r="AK133" s="101">
        <v>9</v>
      </c>
      <c r="AL133" s="101">
        <v>10</v>
      </c>
      <c r="AM133" s="101">
        <v>11</v>
      </c>
      <c r="AN133" s="101">
        <v>12</v>
      </c>
      <c r="AP133" s="103" t="e">
        <f>((TP-H_1-((TP-H_1-(H_1*hnh)-(TP*TCv_4*tCo1_1*VE))*H_2/(TP-H_1-(H_1*hnh)))-(H_1*hnh)-((TP-H_1-(H_1*hnh)-(TP*TCv_4*tCo1_1*VE))*H_2*hnh/(TP-H_1-(H_1*hnh)))-(TP*TCv_4*tCo1_1*VE)-(TP*TCv_4*tCo1_2*VE))*(H_3/(TP-H_1-H_2-(hnh*(H_1+H_2)))))</f>
        <v>#DIV/0!</v>
      </c>
      <c r="AQ133" s="103" t="e">
        <f>(TP-H_1-((TP-H_1-(H_1*hnh)-(TP*TCv_4*tCo1_1*VE))*H_2/(TP-H_1-(H_1*hnh)))-AP133-(H_1*hnh)-((TP-H_1-(H_1*hnh)-(TP*TCv_4*tCo1_1*VE))*H_2*hnh/(TP-H_1-(H_1*hnh)))-AP135-(TP*TCv_4*tCo1_1*VE)-(TP*TCv_4*tCo1_2*VE)-(TP*TCv_4*tCo1_3*VE))*(H_4/(TP-H_1-H_2-H_3-(hnh*(H_1+H_2+H_3))))</f>
        <v>#DIV/0!</v>
      </c>
      <c r="AR133" s="103" t="e">
        <f>(TP-H_1-((TP-H_1-(H_1*hnh)-(TP*TCv_4*tCo1_1*VE))*H_2/(TP-H_1-(H_1*hnh)))-AP133-AQ133-(H_1*hnh)-((TP-H_1-(H_1*hnh)-(TP*TCv_4*tCo1_1*VE))*H_2*hnh/(TP-H_1-(H_1*hnh)))-AP135-AQ135-(TP*TCv_4*tCo1_1*VE)-(TP*TCv_4*tCo1_2*VE)-(TP*TCv_4*tCo1_3*VE)-(TP*TCv_4*tCo1_4*VE))*(H_5/(TP-H_1-H_2-H_3-H_4-(hnh*(H_1+H_2+H_3+H_4))))</f>
        <v>#DIV/0!</v>
      </c>
      <c r="AS133" s="103" t="e">
        <f>(TP-H_1-((TP-H_1-(H_1*hnh)-(TP*TCv_4*tCo1_1*VE))*H_2/(TP-H_1-(H_1*hnh)))-AP133-AQ133-AR133-(H_1*hnh)-((TP-H_1-(H_1*hnh)-(TP*TCv_4*tCo1_1*VE))*H_2*hnh/(TP-H_1-(H_1*hnh)))-AP135-AQ135-AR135-(TP*TCv_4*tCo1_1*VE)-(TP*TCv_4*tCo1_2*VE)-(TP*TCv_4*tCo1_3*VE)-(TP*TCv_4*tCo1_4*VE)-(TP*TCv_4*tCo1_5*VE))*(H_6/(TP-H_1-H_2-H_3-H_4-H_5-(hnh*(H_1+H_2+H_3+H_4+H_5))))</f>
        <v>#DIV/0!</v>
      </c>
      <c r="AT133" s="103" t="e">
        <f>(TP-H_1-((TP-H_1-(H_1*hnh)-(TP*TCv_4*tCo1_1*VE))*H_2/(TP-H_1-(H_1*hnh)))-AP133-AQ133-AR133-AS133-(H_1*hnh)-((TP-H_1-(H_1*hnh)-(TP*TCv_4*tCo1_1*VE))*H_2*hnh/(TP-H_1-(H_1*hnh)))-AP135-AQ135-AR135-AS135-(TP*TCv_4*tCo1_1*VE)-(TP*TCv_4*tCo1_2*VE)-(TP*TCv_4*tCo1_3*VE)-(TP*TCv_4*tCo1_4*VE)-(TP*TCv_4*tCo1_5*VE)-(TP*TCv_4*tCo1_6*VE))*(H_7/(TP-H_1-H_2-H_3-H_4-H_5-H_6-(hnh*(H_1+H_2+H_3+H_4+H_5+H_6))))</f>
        <v>#DIV/0!</v>
      </c>
      <c r="AU133" s="103" t="e">
        <f>(TP-H_1-((TP-H_1-(H_1*hnh)-(TP*TCv_4*tCo1_1*VE))*H_2/(TP-H_1-(H_1*hnh)))-AP133-AQ133-AR133-AS133-AT133-(H_1*hnh)-((TP-H_1-(H_1*hnh)-(TP*TCv_4*tCo1_1*VE))*H_2*hnh/(TP-H_1-(H_1*hnh)))-AP135-AQ135-AR135-AS135-AT135-(TP*TCv_4*tCo1_1*VE)-(TP*TCv_4*tCo1_2*VE)-(TP*TCv_4*tCo1_3*VE)-(TP*TCv_4*tCo1_4*VE)-(TP*TCv_4*tCo1_5*VE)-(TP*TCv_4*tCo1_6*VE)-(TP*TCv_4*tCo1_7*VE))*(H_8/(TP-H_1-H_2-H_3-H_4-H_5-H_6-H_7-(hnh*(H_1+H_2+H_3+H_4+H_5+H_6+H_7))))</f>
        <v>#DIV/0!</v>
      </c>
      <c r="AV133" s="103" t="e">
        <f>(TP-H_1-((TP-H_1-(H_1*hnh)-(TP*TCv_4*tCo1_1*VE))*H_2/(TP-H_1-(H_1*hnh)))-AP133-AQ133-AR133-AS133-AT133-AU133-(H_1*hnh)-((TP-H_1-(H_1*hnh)-(TP*TCv_4*tCo1_1*VE))*H_2*hnh/(TP-H_1-(H_1*hnh)))-AP135-AQ135-AR135-AS135-AT135-AU135-(TP*TCv_4*tCo1_1*VE)-(TP*TCv_4*tCo1_2*VE)-(TP*TCv_4*tCo1_3*VE)-(TP*TCv_4*tCo1_4*VE)-(TP*TCv_4*tCo1_5*VE)-(TP*TCv_4*tCo1_6*VE)-(TP*TCv_4*tCo1_7*VE)-(TP*TCv_4*tCo1_8*VE))*(H_9/(TP-H_1-H_2-H_3-H_4-H_5-H_6-H_7-H_8-(hnh*(H_1+H_2+H_3+H_4+H_5+H_6+H_7+H_8))))</f>
        <v>#DIV/0!</v>
      </c>
      <c r="AW133" s="103" t="e">
        <f>(TP-H_1-((TP-H_1-(H_1*hnh)-(TP*TCv_4*tCo1_1*VE))*H_2/(TP-H_1-(H_1*hnh)))-AP133-AQ133-AR133-AS133-AT133-AU133-AV133-(H_1*hnh)-((TP-H_1-(H_1*hnh)-(TP*TCv_4*tCo1_1*VE))*H_2*hnh/(TP-H_1-(H_1*hnh)))-AP135-AQ135-AR135-AS135-AT135-AU135-AV135-(TP*TCv_4*tCo1_1*VE)-(TP*TCv_4*tCo1_2*VE)-(TP*TCv_4*tCo1_3*VE)-(TP*TCv_4*tCo1_4*VE)-(TP*TCv_4*tCo1_5*VE)-(TP*TCv_4*tCo1_6*VE)-(TP*TCv_4*tCo1_7*VE)-(TP*TCv_4*tCo1_8*VE)-(TP*TCv_4*tCo1_9*VE))*(H_10/(TP-H_1-H_2-H_3-H_4-H_5-H_6-H_7-H_8-H_9-(hnh*(H_1+H_2+H_3+H_4+H_5+H_6+H_7+H_8+H_9))))</f>
        <v>#DIV/0!</v>
      </c>
      <c r="AX133" s="103" t="e">
        <f>(TP-H_1-((TP-H_1-(H_1*hnh)-(TP*TCv_4*tCo1_1*VE))*H_2/(TP-H_1-(H_1*hnh)))-AP133-AQ133-AR133-AS133-AT133-AU133-AV133-AW133-(H_1*hnh)-((TP-H_1-(H_1*hnh)-(TP*TCv_4*tCo1_1*VE))*H_2*hnh/(TP-H_1-(H_1*hnh)))-AP135-AQ135-AR135-AS135-AT135-AU135-AV135-AW135-(TP*TCv_4*tCo1_1*VE)-(TP*TCv_4*tCo1_2*VE)-(TP*TCv_4*tCo1_3*VE)-(TP*TCv_4*tCo1_4*VE)-(TP*TCv_4*tCo1_5*VE)-(TP*TCv_4*tCo1_6*VE)-(TP*TCv_4*tCo1_7*VE)-(TP*TCv_4*tCo1_8*VE)-(TP*TCv_4*tCo1_9*VE)-(TP*TCv_4*tCo1_10*VE))*(H_11/(TP-H_1-H_2-H_3-H_4-H_5-H_6-H_7-H_8-H_9-H_10-(hnh*(H_1+H_2+H_3+H_4+H_5+H_6+H_7+H_8+H_9+H_10))))</f>
        <v>#DIV/0!</v>
      </c>
      <c r="AZ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H_5/(TP-H_1-H_2-H_3-H_4-(hnh*(H_1+H_2+H_3+H_4))-(TP*VE*(TCv_4*tCo1_1+TCv_4*tCo1_2+TCv_4*tCo1_3+TCv_4*tCo1_4)))</f>
        <v>#DIV/0!</v>
      </c>
      <c r="BA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H_6/(TP-H_1-H_2-H_3-H_4-H_5-(hnh*(H_1+H_2+H_3+H_4+H_5))-(TP*VE*(TCv_4*tCo1_1+TCv_4*tCo1_2+TCv_4*tCo1_3+TCv_4*tCo1_4+TCv_4*tCo1_5)))</f>
        <v>#DIV/0!</v>
      </c>
      <c r="BB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H_7/(TP-H_1-H_2-H_3-H_4-H_5-H_6-(hnh*(H_1+H_2+H_3+H_4+H_5+H_6))-(TP*VE*(TCv_4*tCo1_1+TCv_4*tCo1_2+TCv_4*tCo1_3+TCv_4*tCo1_4+TCv_4*tCo1_5+TCv_4*tCo1_6)))</f>
        <v>#DIV/0!</v>
      </c>
      <c r="BC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H_8/(TP-H_1-H_2-H_3-H_4-H_5-H_6-H_7-(hnh*(H_1+H_2+H_3+H_4+H_5+H_6+H_7))-(TP*VE*(TCv_4*tCo1_1+TCv_4*tCo1_2+TCv_4*tCo1_3+TCv_4*tCo1_4+TCv_4*tCo1_5+TCv_4*tCo1_6+TCv_4*tCo1_7)))</f>
        <v>#DIV/0!</v>
      </c>
      <c r="BD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H_9/(TP-H_1-H_2-H_3-H_4-H_5-H_6-H_7-H_8-(hnh*(H_1+H_2+H_3+H_4+H_5+H_6+H_7+H_8))-(TP*VE*(TCv_4*tCo1_1+TCv_4*tCo1_2+TCv_4*tCo1_3+TCv_4*tCo1_4+TCv_4*tCo1_5+TCv_4*tCo1_6+TCv_4*tCo1_7+TCv_4*tCo1_8)))</f>
        <v>#DIV/0!</v>
      </c>
      <c r="BE133"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133-BA133-BB133-BC133-BD133-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135-BA135-BB135-BC135-BD135)*H_10/(TP-H_1-H_2-H_3-H_4-H_5-H_6-H_7-H_8-H_9-(hnh*(H_1+H_2+H_3+H_4+H_5+H_6+H_7+H_8+H_9))-(TP*VE*(Co_1+Co_2+Co_3+Co_4+Co_5+Co_6+Co_7+Co_8+Co_9)))</f>
        <v>#DIV/0!</v>
      </c>
      <c r="BF133"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H_11/(TP-H_1-H_2-H_3-H_4-H_5-H_6-H_7-H_8-H_9-H_10-(hnh*(H_1+H_2+H_3+H_4+H_5+H_6+H_7+H_8+H_9+H_10))-(TP*VE*(TCv_4*tCo1_1+TCv_4*tCo1_2+TCv_4*tCo1_3+TCv_4*tCo1_4+TCv_4*tCo1_5+TCv_4*tCo1_6+TCv_4*tCo1_7+TCv_4*tCo1_8+TCv_4*tCo1_9+TCv_4*tCo1_10)))</f>
        <v>#DIV/0!</v>
      </c>
    </row>
    <row r="134" spans="1:58" hidden="1" outlineLevel="1" x14ac:dyDescent="0.25">
      <c r="A134" s="73">
        <f>season</f>
        <v>0</v>
      </c>
      <c r="B134" s="73">
        <f>TG</f>
        <v>0</v>
      </c>
      <c r="C134" s="73">
        <f>TP</f>
        <v>0</v>
      </c>
      <c r="D134" s="74">
        <f>TCv</f>
        <v>0</v>
      </c>
      <c r="E134" s="75">
        <f>VE</f>
        <v>0</v>
      </c>
      <c r="F134" s="78" t="e">
        <f>G134/IF(mb=1,SUM(AC134:AN134),IF(mb=2,SUM(AD134:AN134),IF(mb=3,SUM(AE134:AN134),IF(mb=4,SUM(AF134:AN134),IF(mb=5,SUM(AG134:AN134),IF(mb=6,SUM(AH134:AN134),IF(mb=7,SUM(AI134:AN134),IF(mb=8,SUM(AJ134:AN134),0))))))))</f>
        <v>#DIV/0!</v>
      </c>
      <c r="G134" s="42">
        <f>IF(mb=1,SUM(AC134:AN134)-SUM(Q134:AB134),IF(mb=2,SUM(AD134:AN134)-SUM(R134:AB134),IF(mb=3,SUM(AE134:AN134)-SUM(S134:AB134),IF(mb=4,SUM(AF134:AN134)-SUM(T134:AB134),IF(mb=5,SUM(AG134:AN134)-SUM(U134:AB134),IF(mb=6,SUM(AH134:AN134)-SUM(V134:AB134),IF(mb=7,SUM(AI134:AN134)-SUM(W134:AB134),IF(mb=8,SUM(AJ134:AN134)-SUM(X134:AB134),0))))))))</f>
        <v>0</v>
      </c>
      <c r="H134" s="96" t="e">
        <f>1/(VE*IF(mb=1,SUM(AC134:AN134),IF(mb=2,SUM(AD134:AN134),IF(mb=3,SUM(AE134:AN134),IF(mb=4,SUM(AF134:AN134),IF(mb=5,SUM(AG134:AN134),IF(mb=6,SUM(AH134:AN134),IF(mb=7,SUM(AI134:AN134),IF(mb=8,SUM(AJ134:AN134),0))))))))/TP)</f>
        <v>#DIV/0!</v>
      </c>
      <c r="I134" s="93" t="e">
        <f>G134/hnh</f>
        <v>#DIV/0!</v>
      </c>
      <c r="J134" s="42" t="e">
        <f>1/(VE*IF(mb=1,SUM(AC134:AN134),IF(mb=2,SUM(AD134:AN134),IF(mb=3,SUM(AE134:AN134),IF(mb=4,SUM(AF134:AN134),IF(mb=5,SUM(AG134:AN134),IF(mb=6,SUM(AH134:AN134),IF(mb=7,SUM(AI134:AN134),IF(mb=8,SUM(AJ134:AN134),0))))))))/(TP*hnh))</f>
        <v>#DIV/0!</v>
      </c>
      <c r="K134" s="42" t="e">
        <f>M134*mai</f>
        <v>#DIV/0!</v>
      </c>
      <c r="L134" s="42" t="e">
        <f>1/(VE*((IF(mb=1,SUM(AC134:AN134),IF(mb=2,SUM(AD134:AN134),IF(mb=3,SUM(AE134:AN134),IF(mb=4,SUM(AF134:AN134),IF(mb=5,SUM(AG134:AN134),IF(mb=6,SUM(AH134:AN134),IF(mb=7,SUM(AI134:AN134),IF(mb=8,SUM(AJ134:AN134),0))))))))+(IF(mb=1,SUM(AC134:AN134),IF(mb=2,SUM(AD134:AN134),IF(mb=3,SUM(AE134:AN134),IF(mb=4,SUM(AF134:AN134),IF(mb=5,SUM(AG134:AN134),IF(mb=6,SUM(AH134:AN134),IF(mb=7,SUM(AI134:AN134),IF(mb=8,SUM(AJ134:AN134),0)))))))))/hnh)*mai)/TP)</f>
        <v>#DIV/0!</v>
      </c>
      <c r="M134" s="42" t="e">
        <f>G134+I134</f>
        <v>#DIV/0!</v>
      </c>
      <c r="N134" s="42" t="e">
        <f>1/(VE*(IF(mb=1,SUM(AC134:AN134),IF(mb=2,SUM(AD134:AN134),IF(mb=3,SUM(AE134:AN134),IF(mb=4,SUM(AF134:AN134),IF(mb=5,SUM(AG134:AN134),IF(mb=6,SUM(AH134:AN134),IF(mb=7,SUM(AI134:AN134),IF(mb=8,SUM(AJ134:AN134),0))))))))+(IF(mb=1,SUM(AC134:AN134),IF(mb=2,SUM(AD134:AN134),IF(mb=3,SUM(AE134:AN134),IF(mb=4,SUM(AF134:AN134),IF(mb=5,SUM(AG134:AN134),IF(mb=6,SUM(AH134:AN134),IF(mb=7,SUM(AI134:AN134),IF(mb=8,SUM(AJ134:AN134),0)))))))))/hnh)/TP)</f>
        <v>#DIV/0!</v>
      </c>
      <c r="Q134" s="86" t="e">
        <f>IF(ISc=1,nh1_1,IF(ISc=2,H_1*hnh,0))</f>
        <v>#DIV/0!</v>
      </c>
      <c r="R134" s="111" t="e">
        <f>IF(ScI=1,((nh1_2/(TP-(nh1_1/hnh)-nh1_1))*(TP-(nh1_1/hnh)-nh1_1-(TP*TCv_4*tCo1_1*VE))),IF(ScI=2,(TP-H_1-(H_1*hnh)-(TP*TCv_4*tCo1_1*VE))*(H_2*hnh/(TP-H_1-(H_1*hnh))),"fal"))</f>
        <v>#DIV/0!</v>
      </c>
      <c r="S134" s="137" t="e">
        <f>IF(ScI=1,(nh1_3/(TP-((nh1_1+nh1_2)/hnh)-nh1_1-nh1_2))*(TP-(nh1_1/hnh)-(R134/hnh)-nh1_1-R134-(TP*VE*(TCv_4*tCo1_1+TCv_4*tCo1_2))),IF(ScI=2,(TP-H_1-((TP-H_1-(H_1*hnh)-(TP*TCv_4*tCo1_1*VE))*H_2/(TP-H_1-(H_1*hnh)))-(H_1*hnh)-((TP-H_1-(H_1*hnh)-(TP*TCv_4*tCo1_1*VE))*H_2*hnh/(TP-H_1-(H_1*hnh)))-(TP*TCv_4*tCo1_1*VE)-(TP*TCv_4*tCo1_2*VE))*(H_3*hnh/(TP-H_1-H_2-(hnh*(H_1+H_2)))),0))</f>
        <v>#DIV/0!</v>
      </c>
      <c r="T134" s="86" t="e">
        <f>IF(ScI=1,(nh1_4/(TP-(nh1_1/hnh)-(nh1_2/hnh)-(nh1_3/hnh)-nh1_1-nh1_2-nh1_3))*(TP-(nh1_1/hnh)-(R134/hnh)-(S134/hnh)-nh1_1-R134-S134-(TP*VE*(TCv_4*tCo1_1+TCv_4*tCo1_2+TCv_4*tCo1_3))),IF(ScI=2,(TP-H_1-((TP-H_1-(H_1*hnh)-(TP*TCv_4*tCo1_1*VE))*H_2/(TP-H_1-(H_1*hnh)))-((TP-H_1-(((TP-H_1-(H_1*hnh)-(TP*TCv_4*tCo1_1*VE))*H_2/(TP-H_1-(H_1*hnh))))-(H_1*hnh)-((TP-H_1-(H_1*hnh)-(TP*TCv_4*tCo1_1*VE))*H_2*hnh/(TP-H_1-(H_1*hnh)))-(TP*TCv_4*tCo1_1*VE)-(TP*TCv_4*tCo1_2*VE))*(H_3/(TP-H_1-H_2-(hnh*(H_1+H_2)))))-(H_1*hnh)-((TP-H_1-(H_1*hnh)-(TP*TCv_4*tCo1_1*VE))*H_2*hnh/(TP-H_1-(H_1*hnh)))-((TP-H_1-(((TP-H_1-(H_1*hnh)-(TP*TCv_4*tCo1_1*VE))*H_2/(TP-H_1-(H_1*hnh))))-(H_1*hnh)-(((TP-H_1-(H_1*hnh)-(TP*TCv_4*tCo1_1*VE))*H_2*hnh/(TP-H_1-(H_1*hnh))))-(TP*TCv_4*tCo1_1*VE)-(TP*TCv_4*tCo1_2*VE))*(H_3*hnh/(TP-H_1-H_2-(hnh*(H_1+H_2)))))-(TP*TCv_4*tCo1_1*VE)-(TP*TCv_4*tCo1_2*VE)-(TP*TCv_4*tCo1_3*VE))*(H_4*hnh/(TP-H_1-H_2-H_3-(hnh*(H_1+H_2+H_3)))),0))</f>
        <v>#DIV/0!</v>
      </c>
      <c r="U134" s="86" t="e">
        <f>IF(ScI=1,(nh1_5/(TP-(nh1_1/hnh)-(nh1_2/hnh)-(nh1_3/hnh)-(nh1_4/hnh)-nh1_1-nh1_2-nh1_3-nh1_4))*(TP-(nh1_1/hnh)-(R134/hnh)-(S134/hnh)-(T134/hnh)-nh1_1-R134-S134-T134-(TP*VE*(TCv_4*tCo1_1+TCv_4*tCo1_2+TCv_4*tCo1_3+TCv_4*tCo1_4))),IF(ScI=2,(TP-H_1-(((TP-H_1-(H_1*hnh)-(TP*TCv_4*tCo1_1*VE))*H_2/(TP-H_1-(H_1*hnh))))-AP133-AQ133-(H_1*hnh)-((TP-H_1-(H_1*hnh)-(TP*TCv_4*tCo1_1*VE))*H_2*hnh/(TP-H_1-(H_1*hnh)))-AP135-AQ135-(TP*TCv_4*tCo1_1*VE)-(TP*TCv_4*tCo1_2*VE)-(TP*TCv_4*tCo1_3*VE)-(TP*TCv_4*tCo1_4*VE))*(H_5*hnh/(TP-H_1-H_2-H_3-H_4-(hnh*(H_1+H_2+H_3+H_4)))),0))</f>
        <v>#DIV/0!</v>
      </c>
      <c r="V134" s="86" t="e">
        <f>IF(ScI=1,(nh1_6/(TP-(nh1_1/hnh)-(nh1_2/hnh)-(nh1_3/hnh)-(nh1_4/hnh)-(nh1_5/hnh)-nh1_1-nh1_2-nh1_3-nh1_4-nh1_5))*(TP-(nh1_1/hnh)-(R134/hnh)-(S134/hnh)-(T134/hnh)-(U134/hnh)-nh1_1-R134-S134-T134-U134-(TP*VE*(TCv_4*tCo1_1+TCv_4*tCo1_2+TCv_4*tCo1_3+TCv_4*tCo1_4+TCv_4*tCo1_5))),IF(ScI=2,(TP-H_1-((TP-H_1-(H_1*hnh)-(TP*TCv_4*tCo1_1*VE))*H_2/(TP-H_1-(H_1*hnh)))-AP133-AQ133-AR133-(H_1*hnh)-((TP-H_1-(H_1*hnh)-(TP*TCv_4*tCo1_1*VE))*H_2*hnh/(TP-H_1-(H_1*hnh)))-AP135-AQ135-AR135-(TP*TCv_4*tCo1_1*VE)-(TP*TCv_4*tCo1_2*VE)-(TP*TCv_4*tCo1_3*VE)-(TP*TCv_4*tCo1_4*VE)-(TP*TCv_4*tCo1_5*VE))*(H_6*hnh/(TP-H_1-H_2-H_3-H_4-H_5-(hnh*(H_1+H_2+H_3+H_4+H_5)))),0))</f>
        <v>#DIV/0!</v>
      </c>
      <c r="W134" s="86" t="e">
        <f>IF(ScI=1,(nh1_7/(TP-(nh1_1/hnh)-(nh1_2/hnh)-(nh1_3/hnh)-(nh1_4/hnh)-(nh1_5/hnh)-(nh1_6/hnh)-nh1_1-nh1_2-nh1_3-nh1_4-nh1_5-nh1_6))*(TP-(nh1_1/hnh)-(R134/hnh)-(S134/hnh)-(T134/hnh)-(U134/hnh)-(V134/hnh)-nh1_1-R134-S134-T134-U134-V134-(TP*VE*(TCv_4*tCo1_1+TCv_4*tCo1_2+TCv_4*tCo1_3+TCv_4*tCo1_4+TCv_4*tCo1_5+TCv_4*tCo1_6))),IF(ScI=2,(TP-H_1-((TP-H_1-(H_1*hnh)-(TP*TCv_4*tCo1_1*VE))*H_2/(TP-H_1-(H_1*hnh)))-AP133-AQ133-AR133-AS133-(H_1*hnh)-((TP-H_1-(H_1*hnh)-(TP*TCv_4*tCo1_1*VE))*H_2*hnh/(TP-H_1-(H_1*hnh)))-AP135-AQ135-AR135-AS135-(TP*TCv_4*tCo1_1*VE)-(TP*TCv_4*tCo1_2*VE)-(TP*TCv_4*tCo1_3*VE)-(TP*TCv_4*tCo1_4*VE)-(TP*TCv_4*tCo1_5*VE)-(TP*TCv_4*tCo1_6*VE))*(H_7*hnh/(TP-H_1-H_2-H_3-H_4-H_5-H_6-(hnh*(H_1+H_2+H_3+H_4+H_5+H_6)))),0))</f>
        <v>#DIV/0!</v>
      </c>
      <c r="X134" s="86" t="e">
        <f>IF(ScI=1,(nh1_8/(TP-(nh1_1/hnh)-(nh1_2/hnh)-(nh1_3/hnh)-(nh1_4/hnh)-(nh1_5/hnh)-(nh1_6/hnh)-(nh1_7/hnh)-nh1_1-nh1_2-nh1_3-nh1_4-nh1_5-nh1_6-nh1_7))*(TP-(nh1_1/hnh)-(R134/hnh)-(S134/hnh)-(T134/hnh)-(U134/hnh)-(V134/hnh)-(W134/hnh)-nh1_1-R134-S134-T134-U134-V134-W134-(TP*VE*(TCv_4*tCo1_1+TCv_4*tCo1_2+TCv_4*tCo1_3+TCv_4*tCo1_4+TCv_4*tCo1_5+TCv_4*tCo1_6+TCv_4*tCo1_7))),IF(ScI=2,(TP-H_1-((TP-H_1-(H_1*hnh)-(TP*TCv_4*tCo1_1*VE))*H_2/(TP-H_1-(H_1*hnh)))-AP133-AQ133-AR133-AS133-AT133-(H_1*hnh)-((TP-H_1-(H_1*hnh)-(TP*TCv_4*tCo1_1*VE))*H_2*hnh/(TP-H_1-(H_1*hnh)))-AP135-AQ135-AR135-AS135-AT135-(TP*TCv_4*tCo1_1*VE)-(TP*TCv_4*tCo1_2*VE)-(TP*TCv_4*tCo1_3*VE)-(TP*TCv_4*tCo1_4*VE)-(TP*TCv_4*tCo1_5*VE)-(TP*TCv_4*tCo1_6*VE)-(TP*TCv_4*tCo1_7*VE))*(H_8*hnh/(TP-H_1-H_2-H_3-H_4-H_5-H_6-H_7-(hnh*(H_1+H_2+H_3+H_4+H_5+H_6+H_7)))),0))</f>
        <v>#DIV/0!</v>
      </c>
      <c r="Y134" s="86" t="e">
        <f>IF(ScI=1,(nh1_9/(TP-(nh1_1/hnh)-(nh1_2/hnh)-(nh1_3/hnh)-(nh1_4/hnh)-(nh1_5/hnh)-(nh1_6/hnh)-(nh1_7/hnh)-(nh1_8/hnh)-nh1_1-nh1_2-nh1_3-nh1_4-nh1_5-nh1_6-nh1_7-nh1_8))*(TP-(nh1_1/hnh)-(R134/hnh)-(S134/hnh)-(T134/hnh)-(U134/hnh)-(V134/hnh)-(W134/hnh)-(X134/hnh)-nh1_1-R134-S134-T134-U134-V134-W134-X134-(TP*VE*(TCv_4*tCo1_1+TCv_4*tCo1_2+TCv_4*tCo1_3+TCv_4*tCo1_4+TCv_4*tCo1_5+TCv_4*tCo1_6+TCv_4*tCo1_7+TCv_4*tCo1_8))),IF(ScI=2,(TP-H_1-((TP-H_1-(H_1*hnh)-(TP*TCv_4*tCo1_1*VE))*H_2/(TP-H_1-(H_1*hnh)))-AP133-AQ133-AR133-AS133-AT133-AU133-(H_1*hnh)-((TP-H_1-(H_1*hnh)-(TP*TCv_4*tCo1_1*VE))*H_2*hnh/(TP-H_1-(H_1*hnh)))-AP135-AQ135-AR135-AS135-AT135-AU135-(TP*TCv_4*tCo1_1*VE)-(TP*TCv_4*tCo1_2*VE)-(TP*TCv_4*tCo1_3*VE)-(TP*TCv_4*tCo1_4*VE)-(TP*TCv_4*tCo1_5*VE)-(TP*TCv_4*tCo1_6*VE)-(TP*TCv_4*tCo1_7*VE)-(TP*TCv_4*tCo1_8*VE))*(H_9*hnh/(TP-H_1-H_2-H_3-H_4-H_5-H_6-H_7-H_8-(hnh*(H_1+H_2+H_3+H_4+H_5+H_6+H_7+H_8)))),0))</f>
        <v>#DIV/0!</v>
      </c>
      <c r="Z134" s="86" t="e">
        <f>IF(ScI=1,(nh1_10/(TP-(nh1_1/hnh)-(nh1_2/hnh)-(nh1_3/hnh)-(nh1_4/hnh)-(nh1_5/hnh)-(nh1_6/hnh)-(nh1_7/hnh)-(nh1_8/hnh)-(nh1_9/hnh)-nh1_1-nh1_2-nh1_3-nh1_4-nh1_5-nh1_6-nh1_7-nh1_8-nh1_9))*(TP-(nh1_1/hnh)-(R134/hnh)-(S134/hnh)-(T134/hnh)-(U134/hnh)-(V134/hnh)-(W134/hnh)-(X134/hnh)-(Y134/hnh)-nh1_1-R134-S134-T134-U134-V134-W134-X134-Y134-(TP*VE*(TCv_4*tCo1_1+TCv_4*tCo1_2+TCv_4*tCo1_3+TCv_4*tCo1_4+TCv_4*tCo1_5+TCv_4*tCo1_6+TCv_4*tCo1_7+TCv_4*tCo1_8+TCv_4*tCo1_9))),IF(ScI=2,(TP-H_1-((TP-H_1-(H_1*hnh)-(TP*TCv_4*tCo1_1*VE))*H_2/(TP-H_1-(H_1*hnh)))-AP133-AQ133-AR133-AS133-AT133-AU133-AV133-(H_1*hnh)-((TP-H_1-(H_1*hnh)-(TP*TCv_4*tCo1_1*VE))*H_2*hnh/(TP-H_1-(H_1*hnh)))-AP135-AQ135-AR135-AS135-AT135-AU135-AV135-(TP*TCv_4*tCo1_1*VE)-(TP*TCv_4*tCo1_2*VE)-(TP*TCv_4*tCo1_3*VE)-(TP*TCv_4*tCo1_4*VE)-(TP*TCv_4*tCo1_5*VE)-(TP*TCv_4*tCo1_6*VE)-(TP*TCv_4*tCo1_7*VE)-(TP*TCv_4*tCo1_8*VE)-(TP*TCv_4*tCo1_9*VE))*(H_10*hnh/(TP-H_1-H_2-H_3-H_4-H_5-H_6-H_7-H_8-H_9-(hnh*(H_1+H_2+H_3+H_4+H_5+H_6+H_7+H_8+H_9)))),0))</f>
        <v>#DIV/0!</v>
      </c>
      <c r="AA134" s="86" t="e">
        <f>IF(ScI=1,(nh1_11/(TP-(nh1_1/hnh)-(nh1_2/hnh)-(nh1_3/hnh)-(nh1_4/hnh)-(nh1_5/hnh)-(nh1_6/hnh)-(nh1_7/hnh)-(nh1_8/hnh)-(nh1_9/hnh)-(nh1_10/hnh)-nh1_1-nh1_2-nh1_3-nh1_4-nh1_5-nh1_6-nh1_7-nh1_8-nh1_9-nh1_10))*(TP-(nh1_1/hnh)-(R134/hnh)-(S134/hnh)-(T134/hnh)-(U134/hnh)-(V134/hnh)-(W134/hnh)-(X134/hnh)-(Y134/hnh)-(Z134/hnh)-nh1_1-R134-S134-T134-U134-V134-W134-X134-Y134-Z134-(TP*VE*(TCv_4*tCo1_1+TCv_4*tCo1_2+TCv_4*tCo1_3+TCv_4*tCo1_4+TCv_4*tCo1_5+TCv_4*tCo1_6+TCv_4*tCo1_7+TCv_4*tCo1_8+TCv_4*tCo1_9+TCv_4*tCo1_10))),IF(ScI=2,(TP-H_1-((TP-H_1-(H_1*hnh)-(TP*TCv_4*tCo1_1*VE))*H_2/(TP-H_1-(H_1*hnh)))-AP133-AQ133-AR133-AS133-AT133-AU133-AV133-AW133-(H_1*hnh)-((TP-H_1-(H_1*hnh)-(TP*TCv_4*tCo1_1*VE))*H_2*hnh/(TP-H_1-(H_1*hnh)))-AP135-AQ135-AR135-AS135-AT135-AU135-AV135-AW135-(TP*TCv_4*tCo1_1*VE)-(TP*TCv_4*tCo1_2*VE)-(TP*TCv_4*tCo1_3*VE)-(TP*TCv_4*tCo1_4*VE)-(TP*TCv_4*tCo1_5*VE)-(TP*TCv_4*tCo1_6*VE)-(TP*TCv_4*tCo1_7*VE)-(TP*TCv_4*tCo1_8*VE)-(TP*TCv_4*tCo1_9*VE)-(TP*TCv_4*tCo1_10*VE))*(H_11*hnh/(TP-H_1-H_2-H_3-H_4-H_5-H_6-H_7-H_8-H_9-H_10-(hnh*(H_1+H_2+H_3+H_4+H_5+H_6+H_7+H_8+H_9+H_10)))),0))</f>
        <v>#DIV/0!</v>
      </c>
      <c r="AB134" s="86" t="e">
        <f>IF(ScI=1,(nh1_12/(TP-(nh1_1/hnh)-(nh1_2/hnh)-(nh1_3/hnh)-(nh1_4/hnh)-(nh1_5/hnh)-(nh1_6/hnh)-(nh1_7/hnh)-(nh1_8/hnh)-(nh1_9/hnh)-(nh1_10/hnh)-(nh1_11/hnh)-nh1_1-nh1_2-nh1_3-nh1_4-nh1_5-nh1_6-nh1_7-nh1_8-nh1_9-nh1_10-nh1_11))*(TP-(nh1_1/hnh)-(R134/hnh)-(S134/hnh)-(T134/hnh)-(U134/hnh)-(V134/hnh)-(W134/hnh)-(X134/hnh)-(Y134/hnh)-(Z134/hnh)-(AA134/hnh)-nh1_1-R134-S134-T134-U134-V134-W134-X134-Y134-Z134-AA134-(TP*VE*(TCv_4*tCo1_1+TCv_4*tCo1_2+TCv_4*tCo1_3+TCv_4*tCo1_4+TCv_4*tCo1_5+TCv_4*tCo1_6+TCv_4*tCo1_7+TCv_4*tCo1_8+TCv_4*tCo1_9+TCv_4*tCo1_10+TCv_4*tCo1_11))),IF(ScI=2,(TP-H_1-((TP-H_1-(H_1*hnh)-(TP*TCv_4*tCo1_1*VE))*H_2/(TP-H_1-(H_1*hnh)))-AP133-AQ133-AR133-AS133-AT133-AU133-AV133-AW133-AX133-(H_1*hnh)-((TP-H_1-(H_1*hnh)-(TP*TCv_4*tCo1_1*VE))*H_2*hnh/(TP-H_1-(H_1*hnh)))-AP135-AQ135-AR135-AS135-AT135-AU135-AV135-AW135-AX135-(TP*TCv_4*tCo1_1*VE)-(TP*TCv_4*tCo1_2*VE)-(TP*TCv_4*tCo1_3*VE)-(TP*TCv_4*tCo1_4*VE)-(TP*TCv_4*tCo1_5*VE)-(TP*TCv_4*tCo1_6*VE)-(TP*TCv_4*tCo1_7*VE)-(TP*TCv_4*tCo1_8*VE)-(TP*TCv_4*tCo1_9*VE)-(TP*TCv_4*tCo1_10*VE)-(TP*TCv_4*tCo1_11*VE))*(H_12*hnh/(TP-H_1-H_2-H_3-H_4-H_5-H_6-H_7-H_8-H_9-H_10-H_11-(hnh*(H_1+H_2+H_3+H_4+H_5+H_6+H_7+H_8+H_9+H_10+H_11)))),0))</f>
        <v>#DIV/0!</v>
      </c>
      <c r="AC134" s="88">
        <f>IF(ScI=1,H_1*hnh,IF(ScI=2,H_1*hnh,0))</f>
        <v>0</v>
      </c>
      <c r="AD134" s="88" t="e">
        <f>IF(ScI=1,(TP-H_1-(H_1*hnh))*H_2*hnh/(TP-H_1-(H_1*hnh)-(TP*TCv_4*tCo1_1*VE)),IF(ScI=2,H_2*hnh,0))</f>
        <v>#DIV/0!</v>
      </c>
      <c r="AE134" s="88" t="e">
        <f>IF(ScI=1,(TP-H_1-((TP-H_1-(H_1*hnh))*H_2/(TP-H_1-(H_1*hnh)-(TP*TCv_4*tCo1_1*VE)))-(H_1*hnh)-((TP-H_1-(H_1*hnh))*H_2*hnh/(TP-H_1-(H_1*hnh)-(TP*TCv_4*tCo1_1*VE))))*H_3*hnh/(TP-H_1-H_2-(hnh*(H_1+H_2))-(TP*VE*(TCv_4*tCo1_1+TCv_4*tCo1_2))),IF(ScI=2,H_3*hnh,0))</f>
        <v>#DIV/0!</v>
      </c>
      <c r="AF134" s="88" t="e">
        <f>IF(ScI=1,(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IF(ScI=2,H_4*hnh,0))</f>
        <v>#DIV/0!</v>
      </c>
      <c r="AG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H_5*hnh/(TP-H_1-H_2-H_3-H_4-(hnh*(H_1+H_2+H_3+H_4))-(TP*VE*(TCv_4*tCo1_1+TCv_4*tCo1_2+TCv_4*tCo1_3+TCv_4*tCo1_4))),IF(ScI=2,H_5*hnh,0))</f>
        <v>#DIV/0!</v>
      </c>
      <c r="AH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H_6*hnh/(TP-H_1-H_2-H_3-H_4-H_5-(hnh*(H_1+H_2+H_3+H_4+H_5))-(TP*VE*(TCv_4*tCo1_1+TCv_4*tCo1_2+TCv_4*tCo1_3+TCv_4*tCo1_4+TCv_4*tCo1_5))),IF(ScI=2,H_6*hnh,0))</f>
        <v>#DIV/0!</v>
      </c>
      <c r="AI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H_7*hnh/(TP-H_1-H_2-H_3-H_4-H_5-H_6-(hnh*(H_1+H_2+H_3+H_4+H_5+H_6))-(TP*VE*(TCv_4*tCo1_1+TCv_4*tCo1_2+TCv_4*tCo1_3+TCv_4*tCo1_4+TCv_4*tCo1_5+TCv_4*tCo1_6))),IF(ScI=2,H_7*hnh,0))</f>
        <v>#DIV/0!</v>
      </c>
      <c r="AJ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H_8*hnh/(TP-H_1-H_2-H_3-H_4-H_5-H_6-H_7-(hnh*(H_1+H_2+H_3+H_4+H_5+H_6+H_7))-(TP*VE*(TCv_4*tCo1_1+TCv_4*tCo1_2+TCv_4*tCo1_3+TCv_4*tCo1_4+TCv_4*tCo1_5+TCv_4*tCo1_6+TCv_4*tCo1_7))),IF(ScI=2,H_8*hnh,0))</f>
        <v>#DIV/0!</v>
      </c>
      <c r="AK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H_9*hnh/(TP-H_1-H_2-H_3-H_4-H_5-H_6-H_7-H_8-(hnh*(H_1+H_2+H_3+H_4+H_5+H_6+H_7+H_8))-(TP*VE*(TCv_4*tCo1_1+TCv_4*tCo1_2+TCv_4*tCo1_3+TCv_4*tCo1_4+TCv_4*tCo1_5+TCv_4*tCo1_6+TCv_4*tCo1_7+TCv_4*tCo1_8))),IF(ScI=2,H_9*hnh,0))</f>
        <v>#DIV/0!</v>
      </c>
      <c r="AL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H_10*hnh/(TP-H_1-H_2-H_3-H_4-H_5-H_6-H_7-H_8-H_9-(hnh*(H_1+H_2+H_3+H_4+H_5+H_6+H_7+H_8+H_9))-(TP*VE*(TCv_4*tCo1_1+TCv_4*tCo1_2+TCv_4*tCo1_3+TCv_4*tCo1_4+TCv_4*tCo1_5+TCv_4*tCo1_6+TCv_4*tCo1_7+TCv_4*tCo1_8+TCv_4*tCo1_9))),IF(ScI=2,H_10*hnh,0))</f>
        <v>#DIV/0!</v>
      </c>
      <c r="AM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H_11*hnh/(TP-H_1-H_2-H_3-H_4-H_5-H_6-H_7-H_8-H_9-H_10-(hnh*(H_1+H_2+H_3+H_4+H_5+H_6+H_7+H_8+H_9+H_10))-(TP*VE*(TCv_4*tCo1_1+TCv_4*tCo1_2+TCv_4*tCo1_3+TCv_4*tCo1_4+TCv_4*tCo1_5+TCv_4*tCo1_6+TCv_4*tCo1_7+TCv_4*tCo1_8+TCv_4*tCo1_9+TCv_4*tCo1_10))),IF(ScI=2,H_11*hnh,0))</f>
        <v>#DIV/0!</v>
      </c>
      <c r="AN134" s="88" t="e">
        <f>IF(ScI=1,(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BF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BF135)*H_12*hnh/(TP-H_1-H_2-H_3-H_4-H_5-H_6-H_7-H_8-H_9-H_10-H_11-(hnh*(H_1+H_2+H_3+H_4+H_5+H_6+H_7+H_8+H_9+H_10+H_11))-(TP*VE*(TCv_4*tCo1_1+TCv_4*tCo1_2+TCv_4*tCo1_3+TCv_4*tCo1_4+TCv_4*tCo1_5+TCv_4*tCo1_6+TCv_4*tCo1_7+TCv_4*tCo1_8+TCv_4*tCo1_9+TCv_4*tCo1_10+TCv_4*tCo1_11))),IF(ScI=2,H_12*hnh,0))</f>
        <v>#DIV/0!</v>
      </c>
      <c r="AP134" s="103" t="s">
        <v>82</v>
      </c>
      <c r="AQ134" s="103" t="s">
        <v>83</v>
      </c>
      <c r="AR134" s="103" t="s">
        <v>84</v>
      </c>
      <c r="AS134" s="103" t="s">
        <v>85</v>
      </c>
      <c r="AT134" s="103" t="s">
        <v>86</v>
      </c>
      <c r="AU134" s="103" t="s">
        <v>87</v>
      </c>
      <c r="AV134" s="103" t="s">
        <v>88</v>
      </c>
      <c r="AW134" s="103" t="s">
        <v>89</v>
      </c>
      <c r="AX134" s="103" t="s">
        <v>90</v>
      </c>
      <c r="AZ134" s="103" t="s">
        <v>106</v>
      </c>
      <c r="BA134" s="103" t="s">
        <v>92</v>
      </c>
      <c r="BB134" s="103" t="s">
        <v>98</v>
      </c>
      <c r="BC134" s="103" t="s">
        <v>99</v>
      </c>
      <c r="BD134" s="103" t="s">
        <v>100</v>
      </c>
      <c r="BE134" s="103" t="s">
        <v>101</v>
      </c>
      <c r="BF134" s="103" t="s">
        <v>102</v>
      </c>
    </row>
    <row r="135" spans="1:58" hidden="1" outlineLevel="1" x14ac:dyDescent="0.25">
      <c r="F135" s="113"/>
      <c r="G135" s="31"/>
      <c r="H135" s="31"/>
      <c r="I135" s="31"/>
      <c r="J135" s="31"/>
      <c r="K135" s="31"/>
      <c r="L135" s="31"/>
      <c r="M135" s="31"/>
      <c r="N135" s="31"/>
      <c r="Q135" s="31"/>
      <c r="R135" s="97"/>
      <c r="S135" s="97"/>
      <c r="T135" s="97"/>
      <c r="U135" s="97"/>
      <c r="V135" s="97"/>
      <c r="W135" s="97"/>
      <c r="X135" s="97"/>
      <c r="Y135" s="97"/>
      <c r="Z135" s="97"/>
      <c r="AA135" s="97"/>
      <c r="AB135" s="97"/>
      <c r="AC135" s="98"/>
      <c r="AD135" s="98"/>
      <c r="AE135" s="98"/>
      <c r="AF135" s="98"/>
      <c r="AG135" s="98"/>
      <c r="AH135" s="98"/>
      <c r="AI135" s="98"/>
      <c r="AJ135" s="98"/>
      <c r="AK135" s="98"/>
      <c r="AL135" s="98"/>
      <c r="AM135" s="98"/>
      <c r="AN135" s="98"/>
      <c r="AP135" s="103" t="e">
        <f>((TP-H_1-((TP-H_1-(H_1*hnh)-(TP*TCv_4*tCo1_1*VE))*H_2/(TP-H_1-(H_1*hnh)))-(H_1*hnh)-((TP-H_1-(H_1*hnh)-(TP*TCv_4*tCo1_1*VE))*H_2*hnh/(TP-H_1-(H_1*hnh)))-(TP*TCv_4*tCo1_1*VE)-(TP*TCv_4*tCo1_2*VE))*(H_3*hnh/(TP-H_1-H_2-(hnh*(H_1+H_2)))))</f>
        <v>#DIV/0!</v>
      </c>
      <c r="AQ135" s="103" t="e">
        <f>(TP-H_1-((TP-H_1-(H_1*hnh)-(TP*TCv_4*tCo1_1*VE))*H_2/(TP-H_1-(H_1*hnh)))-AP133-(H_1*hnh)-((TP-H_1-(H_1*hnh)-(TP*TCv_4*tCo1_1*VE))*H_2*hnh/(TP-H_1-(H_1*hnh)))-AP135-(TP*TCv_4*tCo1_1*VE)-(TP*TCv_4*tCo1_2*VE)-(TP*TCv_4*tCo1_3*VE))*(H_4*hnh/(TP-H_1-H_2-H_3-(hnh*(H_1+H_2+H_3))))</f>
        <v>#DIV/0!</v>
      </c>
      <c r="AR135" s="103" t="e">
        <f>(TP-H_1-((TP-H_1-(H_1*hnh)-(TP*TCv_4*tCo1_1*VE))*H_2/(TP-H_1-(H_1*hnh)))-AP133-AQ133-(H_1*hnh)-((TP-H_1-(H_1*hnh)-(TP*TCv_4*tCo1_1*VE))*H_2*hnh/(TP-H_1-(H_1*hnh)))-AP135-AQ135-(TP*TCv_4*tCo1_1*VE)-(TP*TCv_4*tCo1_2*VE)-(TP*TCv_4*tCo1_3*VE)-(TP*TCv_4*tCo1_4*VE))*(H_5*hnh/(TP-H_1-H_2-H_3-H_4-(hnh*(H_1+H_2+H_3+H_4))))</f>
        <v>#DIV/0!</v>
      </c>
      <c r="AS135" s="103" t="e">
        <f>(TP-H_1-((TP-H_1-(H_1*hnh)-(TP*TCv_4*tCo1_1*VE))*H_2/(TP-H_1-(H_1*hnh)))-AP133-AQ133-AR133-(H_1*hnh)-((TP-H_1-(H_1*hnh)-(TP*TCv_4*tCo1_1*VE))*H_2*hnh/(TP-H_1-(H_1*hnh)))-AP135-AQ135-AR135-(TP*TCv_4*tCo1_1*VE)-(TP*TCv_4*tCo1_2*VE)-(TP*TCv_4*tCo1_3*VE)-(TP*TCv_4*tCo1_4*VE)-(TP*TCv_4*tCo1_5*VE))*(H_6*hnh/(TP-H_1-H_2-H_3-H_4-H_5-(hnh*(H_1+H_2+H_3+H_4+H_5))))</f>
        <v>#DIV/0!</v>
      </c>
      <c r="AT135" s="103" t="e">
        <f>(TP-H_1-((TP-H_1-(H_1*hnh)-(TP*TCv_4*tCo1_1*VE))*H_2/(TP-H_1-(H_1*hnh)))-AP133-AQ133-AR133-AS133-(H_1*hnh)-((TP-H_1-(H_1*hnh)-(TP*TCv_4*tCo1_1*VE))*H_2*hnh/(TP-H_1-(H_1*hnh)))-AP135-AQ135-AR135-AS135-(TP*TCv_4*tCo1_1*VE)-(TP*TCv_4*tCo1_2*VE)-(TP*TCv_4*tCo1_3*VE)-(TP*TCv_4*tCo1_4*VE)-(TP*TCv_4*tCo1_5*VE)-(TP*TCv_4*tCo1_6*VE))*(H_7*hnh/(TP-H_1-H_2-H_3-H_4-H_5-H_6-(hnh*(H_1+H_2+H_3+H_4+H_5+H_6))))</f>
        <v>#DIV/0!</v>
      </c>
      <c r="AU135" s="103" t="e">
        <f>(TP-H_1-((TP-H_1-(H_1*hnh)-(TP*TCv_4*tCo1_1*VE))*H_2/(TP-H_1-(H_1*hnh)))-AP133-AQ133-AR133-AS133-AT133-(H_1*hnh)-((TP-H_1-(H_1*hnh)-(TP*TCv_4*tCo1_1*VE))*H_2*hnh/(TP-H_1-(H_1*hnh)))-AP135-AQ135-AR135-AS135-AT135-(TP*TCv_4*tCo1_1*VE)-(TP*TCv_4*tCo1_2*VE)-(TP*TCv_4*tCo1_3*VE)-(TP*TCv_4*tCo1_4*VE)-(TP*TCv_4*tCo1_5*VE)-(TP*TCv_4*tCo1_6*VE)-(TP*TCv_4*tCo1_7*VE))*(H_8*hnh/(TP-H_1-H_2-H_3-H_4-H_5-H_6-H_7-(hnh*(H_1+H_2+H_3+H_4+H_5+H_6+H_7))))</f>
        <v>#DIV/0!</v>
      </c>
      <c r="AV135" s="103" t="e">
        <f>(TP-H_1-((TP-H_1-(H_1*hnh)-(TP*TCv_4*tCo1_1*VE))*H_2/(TP-H_1-(H_1*hnh)))-AP133-AQ133-AR133-AS133-AT133-AU133-(H_1*hnh)-((TP-H_1-(H_1*hnh)-(TP*TCv_4*tCo1_1*VE))*H_2*hnh/(TP-H_1-(H_1*hnh)))-AP135-AQ135-AR135-AS135-AT135-AU135-(TP*TCv_4*tCo1_1*VE)-(TP*TCv_4*tCo1_2*VE)-(TP*TCv_4*tCo1_3*VE)-(TP*TCv_4*tCo1_4*VE)-(TP*TCv_4*tCo1_5*VE)-(TP*TCv_4*tCo1_6*VE)-(TP*TCv_4*tCo1_7*VE)-(TP*TCv_4*tCo1_8*VE))*(H_9*hnh/(TP-H_1-H_2-H_3-H_4-H_5-H_6-H_7-H_8-(hnh*(H_1+H_2+H_3+H_4+H_5+H_6+H_7+H_8))))</f>
        <v>#DIV/0!</v>
      </c>
      <c r="AW135" s="103" t="e">
        <f>(TP-H_1-((TP-H_1-(H_1*hnh)-(TP*TCv_4*tCo1_1*VE))*H_2/(TP-H_1-(H_1*hnh)))-AP133-AQ133-AR133-AS133-AT133-AU133-AV133-(H_1*hnh)-((TP-H_1-(H_1*hnh)-(TP*TCv_4*tCo1_1*VE))*H_2*hnh/(TP-H_1-(H_1*hnh)))-AP135-AQ135-AR135-AS135-AT135-AU135-AV135-(TP*TCv_4*tCo1_1*VE)-(TP*TCv_4*tCo1_2*VE)-(TP*TCv_4*tCo1_3*VE)-(TP*TCv_4*tCo1_4*VE)-(TP*TCv_4*tCo1_5*VE)-(TP*TCv_4*tCo1_6*VE)-(TP*TCv_4*tCo1_7*VE)-(TP*TCv_4*tCo1_8*VE)-(TP*TCv_4*tCo1_9*VE))*(H_10*hnh/(TP-H_1-H_2-H_3-H_4-H_5-H_6-H_7-H_8-H_9-(hnh*(H_1+H_2+H_3+H_4+H_5+H_6+H_7+H_8+H_9))))</f>
        <v>#DIV/0!</v>
      </c>
      <c r="AX135" s="103" t="e">
        <f>(TP-H_1-((TP-H_1-(H_1*hnh)-(TP*TCv_4*tCo1_1*VE))*H_2/(TP-H_1-(H_1*hnh)))-AP133-AQ133-AR133-AS133-AT133-AU133-AV133-AW133-(H_1*hnh)-((TP-H_1-(H_1*hnh)-(TP*TCv_4*tCo1_1*VE))*H_2*hnh/(TP-H_1-(H_1*hnh)))-AP135-AQ135-AR135-AS135-AT135-AU135-AV135-AW135-(TP*TCv_4*tCo1_1*VE)-(TP*TCv_4*tCo1_2*VE)-(TP*TCv_4*tCo1_3*VE)-(TP*TCv_4*tCo1_4*VE)-(TP*TCv_4*tCo1_5*VE)-(TP*TCv_4*tCo1_6*VE)-(TP*TCv_4*tCo1_7*VE)-(TP*TCv_4*tCo1_8*VE)-(TP*TCv_4*tCo1_9*VE)-(TP*TCv_4*tCo1_10*VE))*(H_11*hnh/(TP-H_1-H_2-H_3-H_4-H_5-H_6-H_7-H_8-H_9-H_10-(hnh*(H_1+H_2+H_3+H_4+H_5+H_6+H_7+H_8+H_9+H_10))))</f>
        <v>#DIV/0!</v>
      </c>
      <c r="AZ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H_5*hnh/(TP-H_1-H_2-H_3-H_4-(hnh*(H_1+H_2+H_3+H_4))-(TP*VE*(TCv_4*tCo1_1+TCv_4*tCo1_2+TCv_4*tCo1_3+TCv_4*tCo1_4)))</f>
        <v>#DIV/0!</v>
      </c>
      <c r="BA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H_6*hnh/(TP-H_1-H_2-H_3-H_4-H_5-(hnh*(H_1+H_2+H_3+H_4+H_5))-(TP*VE*(TCv_4*tCo1_1+TCv_4*tCo1_2+TCv_4*tCo1_3+TCv_4*tCo1_4+TCv_4*tCo1_5)))</f>
        <v>#DIV/0!</v>
      </c>
      <c r="BB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H_7*hnh/(TP-H_1-H_2-H_3-H_4-H_5-H_6-(hnh*(H_1+H_2+H_3+H_4+H_5+H_6))-(TP*VE*(TCv_4*tCo1_1+TCv_4*tCo1_2+TCv_4*tCo1_3+TCv_4*tCo1_4+TCv_4*tCo1_5+TCv_4*tCo1_6)))</f>
        <v>#DIV/0!</v>
      </c>
      <c r="BC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H_8*hnh/(TP-H_1-H_2-H_3-H_4-H_5-H_6-H_7-(hnh*(H_1+H_2+H_3+H_4+H_5+H_6+H_7))-(TP*VE*(TCv_4*tCo1_1+TCv_4*tCo1_2+TCv_4*tCo1_3+TCv_4*tCo1_4+TCv_4*tCo1_5+TCv_4*tCo1_6+TCv_4*tCo1_7)))</f>
        <v>#DIV/0!</v>
      </c>
      <c r="BD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H_9*hnh/(TP-H_1-H_2-H_3-H_4-H_5-H_6-H_7-H_8-(hnh*(H_1+H_2+H_3+H_4+H_5+H_6+H_7+H_8))-(TP*VE*(TCv_4*tCo1_1+TCv_4*tCo1_2+TCv_4*tCo1_3+TCv_4*tCo1_4+TCv_4*tCo1_5+TCv_4*tCo1_6+TCv_4*tCo1_7+TCv_4*tCo1_8)))</f>
        <v>#DIV/0!</v>
      </c>
      <c r="BE135" s="103" t="e">
        <f>(TP-H_1-((TP-H_1-(H_1*hnh))*H_2/(TP-H_1-(H_1*hnh)-(TP*Co_1*VE)))-((TP-H_1-((TP-H_1-(H_1*hnh))*H_2/(TP-H_1-(H_1*hnh)-(TP*Co_1*VE)))-(H_1*hnh)-((TP-H_1-(H_1*hnh))*H_2*hnh/(TP-H_1-(H_1*hnh)-(TP*Co_1*VE))))*H_3/(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TP-H_1-H_2-H_3-(hnh*(H_1+H_2+H_3))-(TP*VE*(Co_1+Co_2+Co_3))))-AZ133-BA133-BB133-BC133-BD133-(H_1*hnh)-((TP-H_1-(H_1*hnh))*H_2*hnh/(TP-H_1-(H_1*hnh)-(TP*Co_1*VE)))-((TP-H_1-((TP-H_1-(H_1*hnh))*H_2/(TP-H_1-(H_1*hnh)-(TP*Co_1*VE)))-(H_1*hnh)-((TP-H_1-(H_1*hnh))*H_2*hnh/(TP-H_1-(H_1*hnh)-(TP*Co_1*VE))))*H_3*hnh/(TP-H_1-H_2-(hnh*(H_1+H_2))-(TP*VE*(Co_1+Co_2))))-((TP-H_1-((TP-H_1-(H_1*hnh))*H_2/(TP-H_1-(H_1*hnh)-(TP*Co_1*VE)))-((TP-H_1-((TP-H_1-(H_1*hnh))*H_2/(TP-H_1-(H_1*hnh)-(TP*Co_1*VE)))-(H_1*hnh)-((TP-H_1-(H_1*hnh))*H_2*hnh/(TP-H_1-(H_1*hnh)-(TP*Co_1*VE))))*H_3/(TP-H_1-H_2-(hnh*(H_1+H_2))-(TP*VE*(Co_1+Co_2))))-(H_1*hnh)-((TP-H_1-(H_1*hnh))*H_2*hnh/(TP-H_1-(H_1*hnh)-(TP*Co_1*VE)))-((TP-H_1-((TP-H_1-(H_1*hnh))*H_2/(TP-H_1-(H_1*hnh)-(TP*Co_1*VE)))-(H_1*hnh)-((TP-H_1-(H_1*hnh))*H_2*hnh/(TP-H_1-(H_1*hnh)-(TP*Co_1*VE))))*H_3*hnh/(TP-H_1-H_2-(hnh*(H_1+H_2))-(TP*VE*(Co_1+Co_2)))))*H_4*hnh/(TP-H_1-H_2-H_3-(hnh*(H_1+H_2+H_3))-(TP*VE*(Co_1+Co_2+Co_3))))-AZ135-BA135-BB135-BC135-BD135)*H_10*hnh/(TP-H_1-H_2-H_3-H_4-H_5-H_6-H_7-H_8-H_9-(hnh*(H_1+H_2+H_3+H_4+H_5+H_6+H_7+H_8+H_9))-(TP*VE*(Co_1+Co_2+Co_3+Co_4+Co_5+Co_6+Co_7+Co_8+Co_9)))</f>
        <v>#DIV/0!</v>
      </c>
      <c r="BF135" s="103" t="e">
        <f>(TP-H_1-((TP-H_1-(H_1*hnh))*H_2/(TP-H_1-(H_1*hnh)-(TP*TCv_4*tCo1_1*VE)))-((TP-H_1-((TP-H_1-(H_1*hnh))*H_2/(TP-H_1-(H_1*hnh)-(TP*TCv_4*tCo1_1*VE)))-(H_1*hnh)-((TP-H_1-(H_1*hnh))*H_2*hnh/(TP-H_1-(H_1*hnh)-(TP*TCv_4*tCo1_1*VE))))*H_3/(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TP-H_1-H_2-H_3-(hnh*(H_1+H_2+H_3))-(TP*VE*(TCv_4*tCo1_1+TCv_4*tCo1_2+TCv_4*tCo1_3))))-AZ133-BA133-BB133-BC133-BD133-BE133-(H_1*hnh)-((TP-H_1-(H_1*hnh))*H_2*hnh/(TP-H_1-(H_1*hnh)-(TP*TCv_4*tCo1_1*VE)))-((TP-H_1-((TP-H_1-(H_1*hnh))*H_2/(TP-H_1-(H_1*hnh)-(TP*TCv_4*tCo1_1*VE)))-(H_1*hnh)-((TP-H_1-(H_1*hnh))*H_2*hnh/(TP-H_1-(H_1*hnh)-(TP*TCv_4*tCo1_1*VE))))*H_3*hnh/(TP-H_1-H_2-(hnh*(H_1+H_2))-(TP*VE*(TCv_4*tCo1_1+TCv_4*tCo1_2))))-((TP-H_1-((TP-H_1-(H_1*hnh))*H_2/(TP-H_1-(H_1*hnh)-(TP*TCv_4*tCo1_1*VE)))-((TP-H_1-((TP-H_1-(H_1*hnh))*H_2/(TP-H_1-(H_1*hnh)-(TP*TCv_4*tCo1_1*VE)))-(H_1*hnh)-((TP-H_1-(H_1*hnh))*H_2*hnh/(TP-H_1-(H_1*hnh)-(TP*TCv_4*tCo1_1*VE))))*H_3/(TP-H_1-H_2-(hnh*(H_1+H_2))-(TP*VE*(TCv_4*tCo1_1+TCv_4*tCo1_2))))-(H_1*hnh)-((TP-H_1-(H_1*hnh))*H_2*hnh/(TP-H_1-(H_1*hnh)-(TP*TCv_4*tCo1_1*VE)))-((TP-H_1-((TP-H_1-(H_1*hnh))*H_2/(TP-H_1-(H_1*hnh)-(TP*TCv_4*tCo1_1*VE)))-(H_1*hnh)-((TP-H_1-(H_1*hnh))*H_2*hnh/(TP-H_1-(H_1*hnh)-(TP*TCv_4*tCo1_1*VE))))*H_3*hnh/(TP-H_1-H_2-(hnh*(H_1+H_2))-(TP*VE*(TCv_4*tCo1_1+TCv_4*tCo1_2)))))*H_4*hnh/(TP-H_1-H_2-H_3-(hnh*(H_1+H_2+H_3))-(TP*VE*(TCv_4*tCo1_1+TCv_4*tCo1_2+TCv_4*tCo1_3))))-AZ135-BA135-BB135-BC135-BD135-BE135)*H_11*hnh/(TP-H_1-H_2-H_3-H_4-H_5-H_6-H_7-H_8-H_9-H_10-(hnh*(H_1+H_2+H_3+H_4+H_5+H_6+H_7+H_8+H_9+H_10))-(TP*VE*(TCv_4*tCo1_1+TCv_4*tCo1_2+TCv_4*tCo1_3+TCv_4*tCo1_4+TCv_4*tCo1_5+TCv_4*tCo1_6+TCv_4*tCo1_7+TCv_4*tCo1_8+TCv_4*tCo1_9+TCv_4*tCo1_10)))</f>
        <v>#DIV/0!</v>
      </c>
    </row>
    <row r="136" spans="1:58" hidden="1" outlineLevel="1" x14ac:dyDescent="0.25">
      <c r="F136" s="112"/>
    </row>
    <row r="137" spans="1:58" hidden="1" outlineLevel="1" x14ac:dyDescent="0.25"/>
    <row r="138" spans="1:58" collapsed="1" x14ac:dyDescent="0.25"/>
    <row r="139" spans="1:58" s="105" customFormat="1" x14ac:dyDescent="0.25">
      <c r="A139" s="104" t="s">
        <v>300</v>
      </c>
      <c r="B139" s="104"/>
    </row>
    <row r="140" spans="1:58" hidden="1" outlineLevel="1" x14ac:dyDescent="0.25">
      <c r="Q140" s="102" t="s">
        <v>72</v>
      </c>
      <c r="R140" s="102"/>
      <c r="S140" s="102"/>
      <c r="T140" s="102"/>
      <c r="U140" s="102"/>
      <c r="V140" s="102"/>
      <c r="W140" s="102"/>
      <c r="X140" s="102"/>
      <c r="Y140" s="102"/>
      <c r="Z140" s="102"/>
      <c r="AA140" s="102"/>
      <c r="AB140" s="102"/>
      <c r="AC140" s="101" t="s">
        <v>104</v>
      </c>
      <c r="AD140" s="101"/>
      <c r="AE140" s="101"/>
      <c r="AF140" s="101"/>
      <c r="AG140" s="101"/>
      <c r="AH140" s="101"/>
      <c r="AI140" s="101"/>
      <c r="AJ140" s="101"/>
      <c r="AK140" s="101"/>
      <c r="AL140" s="101"/>
      <c r="AM140" s="101"/>
      <c r="AN140" s="101"/>
      <c r="AP140" s="103">
        <v>3</v>
      </c>
      <c r="AQ140" s="103">
        <v>4</v>
      </c>
      <c r="AR140" s="103">
        <v>5</v>
      </c>
      <c r="AS140" s="103">
        <v>6</v>
      </c>
      <c r="AT140" s="103">
        <v>7</v>
      </c>
      <c r="AU140" s="103">
        <v>8</v>
      </c>
      <c r="AV140" s="103">
        <v>9</v>
      </c>
      <c r="AW140" s="103">
        <v>10</v>
      </c>
      <c r="AX140" s="103">
        <v>11</v>
      </c>
      <c r="AZ140" s="103">
        <v>5</v>
      </c>
      <c r="BA140" s="103">
        <v>6</v>
      </c>
      <c r="BB140" s="103">
        <v>7</v>
      </c>
      <c r="BC140" s="103">
        <v>8</v>
      </c>
      <c r="BD140" s="103">
        <v>9</v>
      </c>
      <c r="BE140" s="103">
        <v>10</v>
      </c>
      <c r="BF140" s="103">
        <v>11</v>
      </c>
    </row>
    <row r="141" spans="1:58" ht="28.7" hidden="1" customHeight="1" outlineLevel="1" x14ac:dyDescent="0.25">
      <c r="A141" s="11" t="s">
        <v>47</v>
      </c>
      <c r="B141" s="11"/>
      <c r="C141" s="11"/>
      <c r="D141" s="11"/>
      <c r="E141" s="11"/>
      <c r="F141" s="11"/>
      <c r="G141" s="109" t="s">
        <v>50</v>
      </c>
      <c r="H141" s="109"/>
      <c r="I141" s="110" t="s">
        <v>44</v>
      </c>
      <c r="J141" s="110"/>
      <c r="K141" s="101" t="s">
        <v>58</v>
      </c>
      <c r="L141" s="101"/>
      <c r="M141" s="110" t="s">
        <v>45</v>
      </c>
      <c r="N141" s="110"/>
      <c r="Q141" s="102" t="s">
        <v>1</v>
      </c>
      <c r="R141" s="102"/>
      <c r="S141" s="102"/>
      <c r="T141" s="102"/>
      <c r="U141" s="102"/>
      <c r="V141" s="102"/>
      <c r="W141" s="102"/>
      <c r="X141" s="102"/>
      <c r="Y141" s="102"/>
      <c r="Z141" s="102"/>
      <c r="AA141" s="102"/>
      <c r="AB141" s="102"/>
      <c r="AC141" s="101" t="s">
        <v>71</v>
      </c>
      <c r="AD141" s="101"/>
      <c r="AE141" s="101"/>
      <c r="AF141" s="101"/>
      <c r="AG141" s="101"/>
      <c r="AH141" s="101"/>
      <c r="AI141" s="101"/>
      <c r="AJ141" s="101"/>
      <c r="AK141" s="101"/>
      <c r="AL141" s="101"/>
      <c r="AM141" s="101"/>
      <c r="AN141" s="101"/>
      <c r="AP141" s="103" t="s">
        <v>73</v>
      </c>
      <c r="AQ141" s="103" t="s">
        <v>74</v>
      </c>
      <c r="AR141" s="103" t="s">
        <v>75</v>
      </c>
      <c r="AS141" s="103" t="s">
        <v>76</v>
      </c>
      <c r="AT141" s="103" t="s">
        <v>77</v>
      </c>
      <c r="AU141" s="103" t="s">
        <v>78</v>
      </c>
      <c r="AV141" s="103" t="s">
        <v>79</v>
      </c>
      <c r="AW141" s="103" t="s">
        <v>80</v>
      </c>
      <c r="AX141" s="103" t="s">
        <v>81</v>
      </c>
      <c r="AZ141" s="103" t="s">
        <v>105</v>
      </c>
      <c r="BA141" s="103" t="s">
        <v>91</v>
      </c>
      <c r="BB141" s="103" t="s">
        <v>93</v>
      </c>
      <c r="BC141" s="103" t="s">
        <v>94</v>
      </c>
      <c r="BD141" s="103" t="s">
        <v>95</v>
      </c>
      <c r="BE141" s="103" t="s">
        <v>96</v>
      </c>
      <c r="BF141" s="103" t="s">
        <v>97</v>
      </c>
    </row>
    <row r="142" spans="1:58" ht="45" hidden="1" outlineLevel="1" x14ac:dyDescent="0.25">
      <c r="A142" s="70" t="s">
        <v>40</v>
      </c>
      <c r="B142" s="70" t="s">
        <v>41</v>
      </c>
      <c r="C142" s="70" t="s">
        <v>53</v>
      </c>
      <c r="D142" s="70" t="s">
        <v>48</v>
      </c>
      <c r="E142" s="70" t="s">
        <v>42</v>
      </c>
      <c r="F142" s="76" t="s">
        <v>49</v>
      </c>
      <c r="G142" s="71" t="s">
        <v>51</v>
      </c>
      <c r="H142" s="71" t="s">
        <v>52</v>
      </c>
      <c r="I142" s="72" t="s">
        <v>51</v>
      </c>
      <c r="J142" s="72" t="s">
        <v>52</v>
      </c>
      <c r="K142" s="77" t="s">
        <v>51</v>
      </c>
      <c r="L142" s="77" t="s">
        <v>52</v>
      </c>
      <c r="M142" s="72" t="s">
        <v>51</v>
      </c>
      <c r="N142" s="72" t="s">
        <v>52</v>
      </c>
      <c r="Q142" s="102">
        <v>1</v>
      </c>
      <c r="R142" s="102">
        <v>2</v>
      </c>
      <c r="S142" s="102">
        <v>3</v>
      </c>
      <c r="T142" s="102">
        <v>4</v>
      </c>
      <c r="U142" s="102">
        <v>5</v>
      </c>
      <c r="V142" s="102">
        <v>6</v>
      </c>
      <c r="W142" s="102">
        <v>7</v>
      </c>
      <c r="X142" s="102">
        <v>8</v>
      </c>
      <c r="Y142" s="102">
        <v>9</v>
      </c>
      <c r="Z142" s="102">
        <v>10</v>
      </c>
      <c r="AA142" s="102">
        <v>11</v>
      </c>
      <c r="AB142" s="102">
        <v>12</v>
      </c>
      <c r="AC142" s="101">
        <v>1</v>
      </c>
      <c r="AD142" s="101">
        <v>2</v>
      </c>
      <c r="AE142" s="101">
        <v>3</v>
      </c>
      <c r="AF142" s="101">
        <v>4</v>
      </c>
      <c r="AG142" s="101">
        <v>5</v>
      </c>
      <c r="AH142" s="101">
        <v>6</v>
      </c>
      <c r="AI142" s="101">
        <v>7</v>
      </c>
      <c r="AJ142" s="101">
        <v>8</v>
      </c>
      <c r="AK142" s="101">
        <v>9</v>
      </c>
      <c r="AL142" s="101">
        <v>10</v>
      </c>
      <c r="AM142" s="101">
        <v>11</v>
      </c>
      <c r="AN142" s="101">
        <v>12</v>
      </c>
      <c r="AP142" s="103" t="e">
        <f>((TP-H_1-((TP-H_1-(H_1*hnh)-(TP*TCv_1*tCo2_1*VE))*H_2/(TP-H_1-(H_1*hnh)))-(H_1*hnh)-((TP-H_1-(H_1*hnh)-(TP*TCv_1*tCo2_1*VE))*H_2*hnh/(TP-H_1-(H_1*hnh)))-(TP*TCv_1*tCo2_1*VE)-(TP*TCv_1*tCo2_2*VE))*(H_3/(TP-H_1-H_2-(hnh*(H_1+H_2)))))</f>
        <v>#DIV/0!</v>
      </c>
      <c r="AQ142" s="103" t="e">
        <f>(TP-H_1-((TP-H_1-(H_1*hnh)-(TP*TCv_1*tCo2_1*VE))*H_2/(TP-H_1-(H_1*hnh)))-AP142-(H_1*hnh)-((TP-H_1-(H_1*hnh)-(TP*TCv_1*tCo2_1*VE))*H_2*hnh/(TP-H_1-(H_1*hnh)))-AP144-(TP*TCv_1*tCo2_1*VE)-(TP*TCv_1*tCo2_2*VE)-(TP*TCv_1*tCo2_3*VE))*(H_4/(TP-H_1-H_2-H_3-(hnh*(H_1+H_2+H_3))))</f>
        <v>#DIV/0!</v>
      </c>
      <c r="AR142" s="103" t="e">
        <f>(TP-H_1-((TP-H_1-(H_1*hnh)-(TP*TCv_1*tCo2_1*VE))*H_2/(TP-H_1-(H_1*hnh)))-AP142-AQ142-(H_1*hnh)-((TP-H_1-(H_1*hnh)-(TP*TCv_1*tCo2_1*VE))*H_2*hnh/(TP-H_1-(H_1*hnh)))-AP144-AQ144-(TP*TCv_1*tCo2_1*VE)-(TP*TCv_1*tCo2_2*VE)-(TP*TCv_1*tCo2_3*VE)-(TP*TCv_1*tCo2_4*VE))*(H_5/(TP-H_1-H_2-H_3-H_4-(hnh*(H_1+H_2+H_3+H_4))))</f>
        <v>#DIV/0!</v>
      </c>
      <c r="AS142" s="103" t="e">
        <f>(TP-H_1-((TP-H_1-(H_1*hnh)-(TP*TCv_1*tCo2_1*VE))*H_2/(TP-H_1-(H_1*hnh)))-AP142-AQ142-AR142-(H_1*hnh)-((TP-H_1-(H_1*hnh)-(TP*TCv_1*tCo2_1*VE))*H_2*hnh/(TP-H_1-(H_1*hnh)))-AP144-AQ144-AR144-(TP*TCv_1*tCo2_1*VE)-(TP*TCv_1*tCo2_2*VE)-(TP*TCv_1*tCo2_3*VE)-(TP*TCv_1*tCo2_4*VE)-(TP*TCv_1*tCo2_5*VE))*(H_6/(TP-H_1-H_2-H_3-H_4-H_5-(hnh*(H_1+H_2+H_3+H_4+H_5))))</f>
        <v>#DIV/0!</v>
      </c>
      <c r="AT142" s="103" t="e">
        <f>(TP-H_1-((TP-H_1-(H_1*hnh)-(TP*TCv_1*tCo2_1*VE))*H_2/(TP-H_1-(H_1*hnh)))-AP142-AQ142-AR142-AS142-(H_1*hnh)-((TP-H_1-(H_1*hnh)-(TP*TCv_1*tCo2_1*VE))*H_2*hnh/(TP-H_1-(H_1*hnh)))-AP144-AQ144-AR144-AS144-(TP*TCv_1*tCo2_1*VE)-(TP*TCv_1*tCo2_2*VE)-(TP*TCv_1*tCo2_3*VE)-(TP*TCv_1*tCo2_4*VE)-(TP*TCv_1*tCo2_5*VE)-(TP*TCv_1*tCo2_6*VE))*(H_7/(TP-H_1-H_2-H_3-H_4-H_5-H_6-(hnh*(H_1+H_2+H_3+H_4+H_5+H_6))))</f>
        <v>#DIV/0!</v>
      </c>
      <c r="AU142" s="103" t="e">
        <f>(TP-H_1-((TP-H_1-(H_1*hnh)-(TP*TCv_1*tCo2_1*VE))*H_2/(TP-H_1-(H_1*hnh)))-AP142-AQ142-AR142-AS142-AT142-(H_1*hnh)-((TP-H_1-(H_1*hnh)-(TP*TCv_1*tCo2_1*VE))*H_2*hnh/(TP-H_1-(H_1*hnh)))-AP144-AQ144-AR144-AS144-AT144-(TP*TCv_1*tCo2_1*VE)-(TP*TCv_1*tCo2_2*VE)-(TP*TCv_1*tCo2_3*VE)-(TP*TCv_1*tCo2_4*VE)-(TP*TCv_1*tCo2_5*VE)-(TP*TCv_1*tCo2_6*VE)-(TP*TCv_1*tCo2_7*VE))*(H_8/(TP-H_1-H_2-H_3-H_4-H_5-H_6-H_7-(hnh*(H_1+H_2+H_3+H_4+H_5+H_6+H_7))))</f>
        <v>#DIV/0!</v>
      </c>
      <c r="AV142" s="103" t="e">
        <f>(TP-H_1-((TP-H_1-(H_1*hnh)-(TP*TCv_1*tCo2_1*VE))*H_2/(TP-H_1-(H_1*hnh)))-AP142-AQ142-AR142-AS142-AT142-AU142-(H_1*hnh)-((TP-H_1-(H_1*hnh)-(TP*TCv_1*tCo2_1*VE))*H_2*hnh/(TP-H_1-(H_1*hnh)))-AP144-AQ144-AR144-AS144-AT144-AU144-(TP*TCv_1*tCo2_1*VE)-(TP*TCv_1*tCo2_2*VE)-(TP*TCv_1*tCo2_3*VE)-(TP*TCv_1*tCo2_4*VE)-(TP*TCv_1*tCo2_5*VE)-(TP*TCv_1*tCo2_6*VE)-(TP*TCv_1*tCo2_7*VE)-(TP*TCv_1*tCo2_8*VE))*(H_9/(TP-H_1-H_2-H_3-H_4-H_5-H_6-H_7-H_8-(hnh*(H_1+H_2+H_3+H_4+H_5+H_6+H_7+H_8))))</f>
        <v>#DIV/0!</v>
      </c>
      <c r="AW142" s="103" t="e">
        <f>(TP-H_1-((TP-H_1-(H_1*hnh)-(TP*TCv_1*tCo2_1*VE))*H_2/(TP-H_1-(H_1*hnh)))-AP142-AQ142-AR142-AS142-AT142-AU142-AV142-(H_1*hnh)-((TP-H_1-(H_1*hnh)-(TP*TCv_1*tCo2_1*VE))*H_2*hnh/(TP-H_1-(H_1*hnh)))-AP144-AQ144-AR144-AS144-AT144-AU144-AV144-(TP*TCv_1*tCo2_1*VE)-(TP*TCv_1*tCo2_2*VE)-(TP*TCv_1*tCo2_3*VE)-(TP*TCv_1*tCo2_4*VE)-(TP*TCv_1*tCo2_5*VE)-(TP*TCv_1*tCo2_6*VE)-(TP*TCv_1*tCo2_7*VE)-(TP*TCv_1*tCo2_8*VE)-(TP*TCv_1*tCo2_9*VE))*(H_10/(TP-H_1-H_2-H_3-H_4-H_5-H_6-H_7-H_8-H_9-(hnh*(H_1+H_2+H_3+H_4+H_5+H_6+H_7+H_8+H_9))))</f>
        <v>#DIV/0!</v>
      </c>
      <c r="AX142" s="103" t="e">
        <f>(TP-H_1-((TP-H_1-(H_1*hnh)-(TP*TCv_1*tCo2_1*VE))*H_2/(TP-H_1-(H_1*hnh)))-AP142-AQ142-AR142-AS142-AT142-AU142-AV142-AW142-(H_1*hnh)-((TP-H_1-(H_1*hnh)-(TP*TCv_1*tCo2_1*VE))*H_2*hnh/(TP-H_1-(H_1*hnh)))-AP144-AQ144-AR144-AS144-AT144-AU144-AV144-AW144-(TP*TCv_1*tCo2_1*VE)-(TP*TCv_1*tCo2_2*VE)-(TP*TCv_1*tCo2_3*VE)-(TP*TCv_1*tCo2_4*VE)-(TP*TCv_1*tCo2_5*VE)-(TP*TCv_1*tCo2_6*VE)-(TP*TCv_1*tCo2_7*VE)-(TP*TCv_1*tCo2_8*VE)-(TP*TCv_1*tCo2_9*VE)-(TP*TCv_1*tCo2_10*VE))*(H_11/(TP-H_1-H_2-H_3-H_4-H_5-H_6-H_7-H_8-H_9-H_10-(hnh*(H_1+H_2+H_3+H_4+H_5+H_6+H_7+H_8+H_9+H_10))))</f>
        <v>#DIV/0!</v>
      </c>
      <c r="AZ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H_5/(TP-H_1-H_2-H_3-H_4-(hnh*(H_1+H_2+H_3+H_4))-(TP*VE*(TCv_1*tCo2_1+TCv_1*tCo2_2+TCv_1*tCo2_3+TCv_1*tCo2_4)))</f>
        <v>#DIV/0!</v>
      </c>
      <c r="BA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H_6/(TP-H_1-H_2-H_3-H_4-H_5-(hnh*(H_1+H_2+H_3+H_4+H_5))-(TP*VE*(TCv_1*tCo2_1+TCv_1*tCo2_2+TCv_1*tCo2_3+TCv_1*tCo2_4+TCv_1*tCo2_5)))</f>
        <v>#DIV/0!</v>
      </c>
      <c r="BB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H_7/(TP-H_1-H_2-H_3-H_4-H_5-H_6-(hnh*(H_1+H_2+H_3+H_4+H_5+H_6))-(TP*VE*(TCv_1*tCo2_1+TCv_1*tCo2_2+TCv_1*tCo2_3+TCv_1*tCo2_4+TCv_1*tCo2_5+TCv_1*tCo2_6)))</f>
        <v>#DIV/0!</v>
      </c>
      <c r="BC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H_8/(TP-H_1-H_2-H_3-H_4-H_5-H_6-H_7-(hnh*(H_1+H_2+H_3+H_4+H_5+H_6+H_7))-(TP*VE*(TCv_1*tCo2_1+TCv_1*tCo2_2+TCv_1*tCo2_3+TCv_1*tCo2_4+TCv_1*tCo2_5+TCv_1*tCo2_6+TCv_1*tCo2_7)))</f>
        <v>#DIV/0!</v>
      </c>
      <c r="BD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H_9/(TP-H_1-H_2-H_3-H_4-H_5-H_6-H_7-H_8-(hnh*(H_1+H_2+H_3+H_4+H_5+H_6+H_7+H_8))-(TP*VE*(TCv_1*tCo2_1+TCv_1*tCo2_2+TCv_1*tCo2_3+TCv_1*tCo2_4+TCv_1*tCo2_5+TCv_1*tCo2_6+TCv_1*tCo2_7+TCv_1*tCo2_8)))</f>
        <v>#DIV/0!</v>
      </c>
      <c r="BE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H_10/(TP-H_1-H_2-H_3-H_4-H_5-H_6-H_7-H_8-H_9-(hnh*(H_1+H_2+H_3+H_4+H_5+H_6+H_7+H_8+H_9))-(TP*VE*(TCv_1*tCo2_1+TCv_1*tCo2_2+TCv_1*tCo2_3+TCv_1*tCo2_4+TCv_1*tCo2_5+TCv_1*tCo2_6+TCv_1*tCo2_7+TCv_1*tCo2_8+TCv_1*tCo2_9)))</f>
        <v>#DIV/0!</v>
      </c>
      <c r="BF142"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H_11/(TP-H_1-H_2-H_3-H_4-H_5-H_6-H_7-H_8-H_9-H_10-(hnh*(H_1+H_2+H_3+H_4+H_5+H_6+H_7+H_8+H_9+H_10))-(TP*VE*(TCv_1*tCo2_1+TCv_1*tCo2_2+TCv_1*tCo2_3+TCv_1*tCo2_4+TCv_1*tCo2_5+TCv_1*tCo2_6+TCv_1*tCo2_7+TCv_1*tCo2_8+TCv_1*tCo2_9+TCv_1*tCo2_10)))</f>
        <v>#DIV/0!</v>
      </c>
    </row>
    <row r="143" spans="1:58" hidden="1" outlineLevel="1" x14ac:dyDescent="0.25">
      <c r="A143" s="73">
        <f>season</f>
        <v>0</v>
      </c>
      <c r="B143" s="73">
        <f>TG</f>
        <v>0</v>
      </c>
      <c r="C143" s="73">
        <f>TP</f>
        <v>0</v>
      </c>
      <c r="D143" s="74">
        <f>TCv</f>
        <v>0</v>
      </c>
      <c r="E143" s="75">
        <f>VE</f>
        <v>0</v>
      </c>
      <c r="F143" s="78" t="e">
        <f>G143/IF(mb=1,SUM(AC143:AN143),IF(mb=2,SUM(AD143:AN143),IF(mb=3,SUM(AE143:AN143),IF(mb=4,SUM(AF143:AN143),IF(mb=5,SUM(AG143:AN143),IF(mb=6,SUM(AH143:AN143),IF(mb=7,SUM(AI143:AN143),IF(mb=8,SUM(AJ143:AN143),0))))))))</f>
        <v>#DIV/0!</v>
      </c>
      <c r="G143" s="42">
        <f>IF(mb=1,SUM(AC143:AN143)-SUM(Q143:AB143),IF(mb=2,SUM(AD143:AN143)-SUM(R143:AB143),IF(mb=3,SUM(AE143:AN143)-SUM(S143:AB143),IF(mb=4,SUM(AF143:AN143)-SUM(T143:AB143),IF(mb=5,SUM(AG143:AN143)-SUM(U143:AB143),IF(mb=6,SUM(AH143:AN143)-SUM(V143:AB143),IF(mb=7,SUM(AI143:AN143)-SUM(W143:AB143),IF(mb=8,SUM(AJ143:AN143)-SUM(X143:AB143),0))))))))</f>
        <v>0</v>
      </c>
      <c r="H143" s="96" t="e">
        <f>1/(VE*IF(mb=1,SUM(AC143:AN143),IF(mb=2,SUM(AD143:AN143),IF(mb=3,SUM(AE143:AN143),IF(mb=4,SUM(AF143:AN143),IF(mb=5,SUM(AG143:AN143),IF(mb=6,SUM(AH143:AN143),IF(mb=7,SUM(AI143:AN143),IF(mb=8,SUM(AJ143:AN143),0))))))))/TP)</f>
        <v>#DIV/0!</v>
      </c>
      <c r="I143" s="93" t="e">
        <f>G143/hnh</f>
        <v>#DIV/0!</v>
      </c>
      <c r="J143" s="42" t="e">
        <f>1/(VE*IF(mb=1,SUM(AC143:AN143),IF(mb=2,SUM(AD143:AN143),IF(mb=3,SUM(AE143:AN143),IF(mb=4,SUM(AF143:AN143),IF(mb=5,SUM(AG143:AN143),IF(mb=6,SUM(AH143:AN143),IF(mb=7,SUM(AI143:AN143),IF(mb=8,SUM(AJ143:AN143),0))))))))/(TP*hnh))</f>
        <v>#DIV/0!</v>
      </c>
      <c r="K143" s="42" t="e">
        <f>M143*mai</f>
        <v>#DIV/0!</v>
      </c>
      <c r="L143" s="42" t="e">
        <f>1/(VE*((IF(mb=1,SUM(AC143:AN143),IF(mb=2,SUM(AD143:AN143),IF(mb=3,SUM(AE143:AN143),IF(mb=4,SUM(AF143:AN143),IF(mb=5,SUM(AG143:AN143),IF(mb=6,SUM(AH143:AN143),IF(mb=7,SUM(AI143:AN143),IF(mb=8,SUM(AJ143:AN143),0))))))))+(IF(mb=1,SUM(AC143:AN143),IF(mb=2,SUM(AD143:AN143),IF(mb=3,SUM(AE143:AN143),IF(mb=4,SUM(AF143:AN143),IF(mb=5,SUM(AG143:AN143),IF(mb=6,SUM(AH143:AN143),IF(mb=7,SUM(AI143:AN143),IF(mb=8,SUM(AJ143:AN143),0)))))))))/hnh)*mai)/TP)</f>
        <v>#DIV/0!</v>
      </c>
      <c r="M143" s="42" t="e">
        <f>G143+I143</f>
        <v>#DIV/0!</v>
      </c>
      <c r="N143" s="42" t="e">
        <f>1/(VE*(IF(mb=1,SUM(AC143:AN143),IF(mb=2,SUM(AD143:AN143),IF(mb=3,SUM(AE143:AN143),IF(mb=4,SUM(AF143:AN143),IF(mb=5,SUM(AG143:AN143),IF(mb=6,SUM(AH143:AN143),IF(mb=7,SUM(AI143:AN143),IF(mb=8,SUM(AJ143:AN143),0))))))))+(IF(mb=1,SUM(AC143:AN143),IF(mb=2,SUM(AD143:AN143),IF(mb=3,SUM(AE143:AN143),IF(mb=4,SUM(AF143:AN143),IF(mb=5,SUM(AG143:AN143),IF(mb=6,SUM(AH143:AN143),IF(mb=7,SUM(AI143:AN143),IF(mb=8,SUM(AJ143:AN143),0)))))))))/hnh)/TP)</f>
        <v>#DIV/0!</v>
      </c>
      <c r="Q143" s="86" t="e">
        <f>IF(ISc=1,nh1_1,IF(ISc=2,H_1*hnh,0))</f>
        <v>#DIV/0!</v>
      </c>
      <c r="R143" s="111" t="e">
        <f>IF(ScI=1,((nh1_2/(TP-(nh1_1/hnh)-nh1_1))*(TP-(nh1_1/hnh)-nh1_1-(TP*TCv_1*tCo2_1*VE))),IF(ScI=2,(TP-H_1-(H_1*hnh)-(TP*TCv_1*tCo2_1*VE))*(H_2*hnh/(TP-H_1-(H_1*hnh))),"fal"))</f>
        <v>#DIV/0!</v>
      </c>
      <c r="S143" s="137" t="e">
        <f>IF(ScI=1,(nh1_3/(TP-((nh1_1+nh1_2)/hnh)-nh1_1-nh1_2))*(TP-(nh1_1/hnh)-(R143/hnh)-nh1_1-R143-(TP*VE*(TCv_1*tCo2_1+TCv_1*tCo2_2))),IF(ScI=2,(TP-H_1-((TP-H_1-(H_1*hnh)-(TP*TCv_1*tCo2_1*VE))*H_2/(TP-H_1-(H_1*hnh)))-(H_1*hnh)-((TP-H_1-(H_1*hnh)-(TP*TCv_1*tCo2_1*VE))*H_2*hnh/(TP-H_1-(H_1*hnh)))-(TP*TCv_1*tCo2_1*VE)-(TP*TCv_1*tCo2_2*VE))*(H_3*hnh/(TP-H_1-H_2-(hnh*(H_1+H_2)))),0))</f>
        <v>#DIV/0!</v>
      </c>
      <c r="T143" s="86" t="e">
        <f>IF(ScI=1,(nh1_4/(TP-(nh1_1/hnh)-(nh1_2/hnh)-(nh1_3/hnh)-nh1_1-nh1_2-nh1_3))*(TP-(nh1_1/hnh)-(R143/hnh)-(S143/hnh)-nh1_1-R143-S143-(TP*VE*(TCv_1*tCo2_1+TCv_1*tCo2_2+TCv_1*tCo2_3))),IF(ScI=2,(TP-H_1-((TP-H_1-(H_1*hnh)-(TP*TCv_1*tCo2_1*VE))*H_2/(TP-H_1-(H_1*hnh)))-((TP-H_1-(((TP-H_1-(H_1*hnh)-(TP*TCv_1*tCo2_1*VE))*H_2/(TP-H_1-(H_1*hnh))))-(H_1*hnh)-((TP-H_1-(H_1*hnh)-(TP*TCv_1*tCo2_1*VE))*H_2*hnh/(TP-H_1-(H_1*hnh)))-(TP*TCv_1*tCo2_1*VE)-(TP*TCv_1*tCo2_2*VE))*(H_3/(TP-H_1-H_2-(hnh*(H_1+H_2)))))-(H_1*hnh)-((TP-H_1-(H_1*hnh)-(TP*TCv_1*tCo2_1*VE))*H_2*hnh/(TP-H_1-(H_1*hnh)))-((TP-H_1-(((TP-H_1-(H_1*hnh)-(TP*TCv_1*tCo2_1*VE))*H_2/(TP-H_1-(H_1*hnh))))-(H_1*hnh)-(((TP-H_1-(H_1*hnh)-(TP*TCv_1*tCo2_1*VE))*H_2*hnh/(TP-H_1-(H_1*hnh))))-(TP*TCv_1*tCo2_1*VE)-(TP*TCv_1*tCo2_2*VE))*(H_3*hnh/(TP-H_1-H_2-(hnh*(H_1+H_2)))))-(TP*TCv_1*tCo2_1*VE)-(TP*TCv_1*tCo2_2*VE)-(TP*TCv_1*tCo2_3*VE))*(H_4*hnh/(TP-H_1-H_2-H_3-(hnh*(H_1+H_2+H_3)))),0))</f>
        <v>#DIV/0!</v>
      </c>
      <c r="U143" s="86" t="e">
        <f>IF(ScI=1,(nh1_5/(TP-(nh1_1/hnh)-(nh1_2/hnh)-(nh1_3/hnh)-(nh1_4/hnh)-nh1_1-nh1_2-nh1_3-nh1_4))*(TP-(nh1_1/hnh)-(R143/hnh)-(S143/hnh)-(T143/hnh)-nh1_1-R143-S143-T143-(TP*VE*(TCv_1*tCo2_1+TCv_1*tCo2_2+TCv_1*tCo2_3+TCv_1*tCo2_4))),IF(ScI=2,(TP-H_1-(((TP-H_1-(H_1*hnh)-(TP*TCv_1*tCo2_1*VE))*H_2/(TP-H_1-(H_1*hnh))))-AP142-AQ142-(H_1*hnh)-((TP-H_1-(H_1*hnh)-(TP*TCv_1*tCo2_1*VE))*H_2*hnh/(TP-H_1-(H_1*hnh)))-AP144-AQ144-(TP*TCv_1*tCo2_1*VE)-(TP*TCv_1*tCo2_2*VE)-(TP*TCv_1*tCo2_3*VE)-(TP*TCv_1*tCo2_4*VE))*(H_5*hnh/(TP-H_1-H_2-H_3-H_4-(hnh*(H_1+H_2+H_3+H_4)))),0))</f>
        <v>#DIV/0!</v>
      </c>
      <c r="V143" s="86" t="e">
        <f>IF(ScI=1,(nh1_6/(TP-(nh1_1/hnh)-(nh1_2/hnh)-(nh1_3/hnh)-(nh1_4/hnh)-(nh1_5/hnh)-nh1_1-nh1_2-nh1_3-nh1_4-nh1_5))*(TP-(nh1_1/hnh)-(R143/hnh)-(S143/hnh)-(T143/hnh)-(U143/hnh)-nh1_1-R143-S143-T143-U143-(TP*VE*(TCv_1*tCo2_1+TCv_1*tCo2_2+TCv_1*tCo2_3+TCv_1*tCo2_4+TCv_1*tCo2_5))),IF(ScI=2,(TP-H_1-((TP-H_1-(H_1*hnh)-(TP*TCv_1*tCo2_1*VE))*H_2/(TP-H_1-(H_1*hnh)))-AP142-AQ142-AR142-(H_1*hnh)-((TP-H_1-(H_1*hnh)-(TP*TCv_1*tCo2_1*VE))*H_2*hnh/(TP-H_1-(H_1*hnh)))-AP144-AQ144-AR144-(TP*TCv_1*tCo2_1*VE)-(TP*TCv_1*tCo2_2*VE)-(TP*TCv_1*tCo2_3*VE)-(TP*TCv_1*tCo2_4*VE)-(TP*TCv_1*tCo2_5*VE))*(H_6*hnh/(TP-H_1-H_2-H_3-H_4-H_5-(hnh*(H_1+H_2+H_3+H_4+H_5)))),0))</f>
        <v>#DIV/0!</v>
      </c>
      <c r="W143" s="86" t="e">
        <f>IF(ScI=1,(nh1_7/(TP-(nh1_1/hnh)-(nh1_2/hnh)-(nh1_3/hnh)-(nh1_4/hnh)-(nh1_5/hnh)-(nh1_6/hnh)-nh1_1-nh1_2-nh1_3-nh1_4-nh1_5-nh1_6))*(TP-(nh1_1/hnh)-(R143/hnh)-(S143/hnh)-(T143/hnh)-(U143/hnh)-(V143/hnh)-nh1_1-R143-S143-T143-U143-V143-(TP*VE*(TCv_1*tCo2_1+TCv_1*tCo2_2+TCv_1*tCo2_3+TCv_1*tCo2_4+TCv_1*tCo2_5+TCv_1*tCo2_6))),IF(ScI=2,(TP-H_1-((TP-H_1-(H_1*hnh)-(TP*TCv_1*tCo2_1*VE))*H_2/(TP-H_1-(H_1*hnh)))-AP142-AQ142-AR142-AS142-(H_1*hnh)-((TP-H_1-(H_1*hnh)-(TP*TCv_1*tCo2_1*VE))*H_2*hnh/(TP-H_1-(H_1*hnh)))-AP144-AQ144-AR144-AS144-(TP*TCv_1*tCo2_1*VE)-(TP*TCv_1*tCo2_2*VE)-(TP*TCv_1*tCo2_3*VE)-(TP*TCv_1*tCo2_4*VE)-(TP*TCv_1*tCo2_5*VE)-(TP*TCv_1*tCo2_6*VE))*(H_7*hnh/(TP-H_1-H_2-H_3-H_4-H_5-H_6-(hnh*(H_1+H_2+H_3+H_4+H_5+H_6)))),0))</f>
        <v>#DIV/0!</v>
      </c>
      <c r="X143" s="86" t="e">
        <f>IF(ScI=1,(nh1_8/(TP-(nh1_1/hnh)-(nh1_2/hnh)-(nh1_3/hnh)-(nh1_4/hnh)-(nh1_5/hnh)-(nh1_6/hnh)-(nh1_7/hnh)-nh1_1-nh1_2-nh1_3-nh1_4-nh1_5-nh1_6-nh1_7))*(TP-(nh1_1/hnh)-(R143/hnh)-(S143/hnh)-(T143/hnh)-(U143/hnh)-(V143/hnh)-(W143/hnh)-nh1_1-R143-S143-T143-U143-V143-W143-(TP*VE*(TCv_1*tCo2_1+TCv_1*tCo2_2+TCv_1*tCo2_3+TCv_1*tCo2_4+TCv_1*tCo2_5+TCv_1*tCo2_6+TCv_1*tCo2_7))),IF(ScI=2,(TP-H_1-((TP-H_1-(H_1*hnh)-(TP*TCv_1*tCo2_1*VE))*H_2/(TP-H_1-(H_1*hnh)))-AP142-AQ142-AR142-AS142-AT142-(H_1*hnh)-((TP-H_1-(H_1*hnh)-(TP*TCv_1*tCo2_1*VE))*H_2*hnh/(TP-H_1-(H_1*hnh)))-AP144-AQ144-AR144-AS144-AT144-(TP*TCv_1*tCo2_1*VE)-(TP*TCv_1*tCo2_2*VE)-(TP*TCv_1*tCo2_3*VE)-(TP*TCv_1*tCo2_4*VE)-(TP*TCv_1*tCo2_5*VE)-(TP*TCv_1*tCo2_6*VE)-(TP*TCv_1*tCo2_7*VE))*(H_8*hnh/(TP-H_1-H_2-H_3-H_4-H_5-H_6-H_7-(hnh*(H_1+H_2+H_3+H_4+H_5+H_6+H_7)))),0))</f>
        <v>#DIV/0!</v>
      </c>
      <c r="Y143" s="86" t="e">
        <f>IF(ScI=1,(nh1_9/(TP-(nh1_1/hnh)-(nh1_2/hnh)-(nh1_3/hnh)-(nh1_4/hnh)-(nh1_5/hnh)-(nh1_6/hnh)-(nh1_7/hnh)-(nh1_8/hnh)-nh1_1-nh1_2-nh1_3-nh1_4-nh1_5-nh1_6-nh1_7-nh1_8))*(TP-(nh1_1/hnh)-(R143/hnh)-(S143/hnh)-(T143/hnh)-(U143/hnh)-(V143/hnh)-(W143/hnh)-(X143/hnh)-nh1_1-R143-S143-T143-U143-V143-W143-X143-(TP*VE*(TCv_1*tCo2_1+TCv_1*tCo2_2+TCv_1*tCo2_3+TCv_1*tCo2_4+TCv_1*tCo2_5+TCv_1*tCo2_6+TCv_1*tCo2_7+TCv_1*tCo2_8))),IF(ScI=2,(TP-H_1-((TP-H_1-(H_1*hnh)-(TP*TCv_1*tCo2_1*VE))*H_2/(TP-H_1-(H_1*hnh)))-AP142-AQ142-AR142-AS142-AT142-AU142-(H_1*hnh)-((TP-H_1-(H_1*hnh)-(TP*TCv_1*tCo2_1*VE))*H_2*hnh/(TP-H_1-(H_1*hnh)))-AP144-AQ144-AR144-AS144-AT144-AU144-(TP*TCv_1*tCo2_1*VE)-(TP*TCv_1*tCo2_2*VE)-(TP*TCv_1*tCo2_3*VE)-(TP*TCv_1*tCo2_4*VE)-(TP*TCv_1*tCo2_5*VE)-(TP*TCv_1*tCo2_6*VE)-(TP*TCv_1*tCo2_7*VE)-(TP*TCv_1*tCo2_8*VE))*(H_9*hnh/(TP-H_1-H_2-H_3-H_4-H_5-H_6-H_7-H_8-(hnh*(H_1+H_2+H_3+H_4+H_5+H_6+H_7+H_8)))),0))</f>
        <v>#DIV/0!</v>
      </c>
      <c r="Z143" s="86" t="e">
        <f>IF(ScI=1,(nh1_10/(TP-(nh1_1/hnh)-(nh1_2/hnh)-(nh1_3/hnh)-(nh1_4/hnh)-(nh1_5/hnh)-(nh1_6/hnh)-(nh1_7/hnh)-(nh1_8/hnh)-(nh1_9/hnh)-nh1_1-nh1_2-nh1_3-nh1_4-nh1_5-nh1_6-nh1_7-nh1_8-nh1_9))*(TP-(nh1_1/hnh)-(R143/hnh)-(S143/hnh)-(T143/hnh)-(U143/hnh)-(V143/hnh)-(W143/hnh)-(X143/hnh)-(Y143/hnh)-nh1_1-R143-S143-T143-U143-V143-W143-X143-Y143-(TP*VE*(TCv_1*tCo2_1+TCv_1*tCo2_2+TCv_1*tCo2_3+TCv_1*tCo2_4+TCv_1*tCo2_5+TCv_1*tCo2_6+TCv_1*tCo2_7+TCv_1*tCo2_8+TCv_1*tCo2_9))),IF(ScI=2,(TP-H_1-((TP-H_1-(H_1*hnh)-(TP*TCv_1*tCo2_1*VE))*H_2/(TP-H_1-(H_1*hnh)))-AP142-AQ142-AR142-AS142-AT142-AU142-AV142-(H_1*hnh)-((TP-H_1-(H_1*hnh)-(TP*TCv_1*tCo2_1*VE))*H_2*hnh/(TP-H_1-(H_1*hnh)))-AP144-AQ144-AR144-AS144-AT144-AU144-AV144-(TP*TCv_1*tCo2_1*VE)-(TP*TCv_1*tCo2_2*VE)-(TP*TCv_1*tCo2_3*VE)-(TP*TCv_1*tCo2_4*VE)-(TP*TCv_1*tCo2_5*VE)-(TP*TCv_1*tCo2_6*VE)-(TP*TCv_1*tCo2_7*VE)-(TP*TCv_1*tCo2_8*VE)-(TP*TCv_1*tCo2_9*VE))*(H_10*hnh/(TP-H_1-H_2-H_3-H_4-H_5-H_6-H_7-H_8-H_9-(hnh*(H_1+H_2+H_3+H_4+H_5+H_6+H_7+H_8+H_9)))),0))</f>
        <v>#DIV/0!</v>
      </c>
      <c r="AA143" s="86" t="e">
        <f>IF(ScI=1,(nh1_11/(TP-(nh1_1/hnh)-(nh1_2/hnh)-(nh1_3/hnh)-(nh1_4/hnh)-(nh1_5/hnh)-(nh1_6/hnh)-(nh1_7/hnh)-(nh1_8/hnh)-(nh1_9/hnh)-(nh1_10/hnh)-nh1_1-nh1_2-nh1_3-nh1_4-nh1_5-nh1_6-nh1_7-nh1_8-nh1_9-nh1_10))*(TP-(nh1_1/hnh)-(R143/hnh)-(S143/hnh)-(T143/hnh)-(U143/hnh)-(V143/hnh)-(W143/hnh)-(X143/hnh)-(Y143/hnh)-(Z143/hnh)-nh1_1-R143-S143-T143-U143-V143-W143-X143-Y143-Z143-(TP*VE*(TCv_1*tCo2_1+TCv_1*tCo2_2+TCv_1*tCo2_3+TCv_1*tCo2_4+TCv_1*tCo2_5+TCv_1*tCo2_6+TCv_1*tCo2_7+TCv_1*tCo2_8+TCv_1*tCo2_9+TCv_1*tCo2_10))),IF(ScI=2,(TP-H_1-((TP-H_1-(H_1*hnh)-(TP*TCv_1*tCo2_1*VE))*H_2/(TP-H_1-(H_1*hnh)))-AP142-AQ142-AR142-AS142-AT142-AU142-AV142-AW142-(H_1*hnh)-((TP-H_1-(H_1*hnh)-(TP*TCv_1*tCo2_1*VE))*H_2*hnh/(TP-H_1-(H_1*hnh)))-AP144-AQ144-AR144-AS144-AT144-AU144-AV144-AW144-(TP*TCv_1*tCo2_1*VE)-(TP*TCv_1*tCo2_2*VE)-(TP*TCv_1*tCo2_3*VE)-(TP*TCv_1*tCo2_4*VE)-(TP*TCv_1*tCo2_5*VE)-(TP*TCv_1*tCo2_6*VE)-(TP*TCv_1*tCo2_7*VE)-(TP*TCv_1*tCo2_8*VE)-(TP*TCv_1*tCo2_9*VE)-(TP*TCv_1*tCo2_10*VE))*(H_11*hnh/(TP-H_1-H_2-H_3-H_4-H_5-H_6-H_7-H_8-H_9-H_10-(hnh*(H_1+H_2+H_3+H_4+H_5+H_6+H_7+H_8+H_9+H_10)))),0))</f>
        <v>#DIV/0!</v>
      </c>
      <c r="AB143" s="86" t="e">
        <f>IF(ScI=1,(nh1_12/(TP-(nh1_1/hnh)-(nh1_2/hnh)-(nh1_3/hnh)-(nh1_4/hnh)-(nh1_5/hnh)-(nh1_6/hnh)-(nh1_7/hnh)-(nh1_8/hnh)-(nh1_9/hnh)-(nh1_10/hnh)-(nh1_11/hnh)-nh1_1-nh1_2-nh1_3-nh1_4-nh1_5-nh1_6-nh1_7-nh1_8-nh1_9-nh1_10-nh1_11))*(TP-(nh1_1/hnh)-(R143/hnh)-(S143/hnh)-(T143/hnh)-(U143/hnh)-(V143/hnh)-(W143/hnh)-(X143/hnh)-(Y143/hnh)-(Z143/hnh)-(AA143/hnh)-nh1_1-R143-S143-T143-U143-V143-W143-X143-Y143-Z143-AA143-(TP*VE*(TCv_1*tCo2_1+TCv_1*tCo2_2+TCv_1*tCo2_3+TCv_1*tCo2_4+TCv_1*tCo2_5+TCv_1*tCo2_6+TCv_1*tCo2_7+TCv_1*tCo2_8+TCv_1*tCo2_9+TCv_1*tCo2_10+TCv_1*tCo2_11))),IF(ScI=2,(TP-H_1-((TP-H_1-(H_1*hnh)-(TP*TCv_1*tCo2_1*VE))*H_2/(TP-H_1-(H_1*hnh)))-AP142-AQ142-AR142-AS142-AT142-AU142-AV142-AW142-AX142-(H_1*hnh)-((TP-H_1-(H_1*hnh)-(TP*TCv_1*tCo2_1*VE))*H_2*hnh/(TP-H_1-(H_1*hnh)))-AP144-AQ144-AR144-AS144-AT144-AU144-AV144-AW144-AX144-(TP*TCv_1*tCo2_1*VE)-(TP*TCv_1*tCo2_2*VE)-(TP*TCv_1*tCo2_3*VE)-(TP*TCv_1*tCo2_4*VE)-(TP*TCv_1*tCo2_5*VE)-(TP*TCv_1*tCo2_6*VE)-(TP*TCv_1*tCo2_7*VE)-(TP*TCv_1*tCo2_8*VE)-(TP*TCv_1*tCo2_9*VE)-(TP*TCv_1*tCo2_10*VE)-(TP*TCv_1*tCo2_11*VE))*(H_12*hnh/(TP-H_1-H_2-H_3-H_4-H_5-H_6-H_7-H_8-H_9-H_10-H_11-(hnh*(H_1+H_2+H_3+H_4+H_5+H_6+H_7+H_8+H_9+H_10+H_11)))),0))</f>
        <v>#DIV/0!</v>
      </c>
      <c r="AC143" s="88">
        <f>IF(ScI=1,H_1*hnh,IF(ScI=2,H_1*hnh,0))</f>
        <v>0</v>
      </c>
      <c r="AD143" s="88" t="e">
        <f>IF(ScI=1,(TP-H_1-(H_1*hnh))*H_2*hnh/(TP-H_1-(H_1*hnh)-(TP*TCv_1*tCo2_1*VE)),IF(ScI=2,H_2*hnh,0))</f>
        <v>#DIV/0!</v>
      </c>
      <c r="AE143" s="88" t="e">
        <f>IF(ScI=1,(TP-H_1-((TP-H_1-(H_1*hnh))*H_2/(TP-H_1-(H_1*hnh)-(TP*TCv_1*tCo2_1*VE)))-(H_1*hnh)-((TP-H_1-(H_1*hnh))*H_2*hnh/(TP-H_1-(H_1*hnh)-(TP*TCv_1*tCo2_1*VE))))*H_3*hnh/(TP-H_1-H_2-(hnh*(H_1+H_2))-(TP*VE*(TCv_1*tCo2_1+TCv_1*tCo2_2))),IF(ScI=2,H_3*hnh,0))</f>
        <v>#DIV/0!</v>
      </c>
      <c r="AF143" s="88" t="e">
        <f>IF(ScI=1,(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IF(ScI=2,H_4*hnh,0))</f>
        <v>#DIV/0!</v>
      </c>
      <c r="AG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H_5*hnh/(TP-H_1-H_2-H_3-H_4-(hnh*(H_1+H_2+H_3+H_4))-(TP*VE*(TCv_1*tCo2_1+TCv_1*tCo2_2+TCv_1*tCo2_3+TCv_1*tCo2_4))),IF(ScI=2,H_5*hnh,0))</f>
        <v>#DIV/0!</v>
      </c>
      <c r="AH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H_6*hnh/(TP-H_1-H_2-H_3-H_4-H_5-(hnh*(H_1+H_2+H_3+H_4+H_5))-(TP*VE*(TCv_1*tCo2_1+TCv_1*tCo2_2+TCv_1*tCo2_3+TCv_1*tCo2_4+TCv_1*tCo2_5))),IF(ScI=2,H_6*hnh,0))</f>
        <v>#DIV/0!</v>
      </c>
      <c r="AI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H_7*hnh/(TP-H_1-H_2-H_3-H_4-H_5-H_6-(hnh*(H_1+H_2+H_3+H_4+H_5+H_6))-(TP*VE*(TCv_1*tCo2_1+TCv_1*tCo2_2+TCv_1*tCo2_3+TCv_1*tCo2_4+TCv_1*tCo2_5+TCv_1*tCo2_6))),IF(ScI=2,H_7*hnh,0))</f>
        <v>#DIV/0!</v>
      </c>
      <c r="AJ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H_8*hnh/(TP-H_1-H_2-H_3-H_4-H_5-H_6-H_7-(hnh*(H_1+H_2+H_3+H_4+H_5+H_6+H_7))-(TP*VE*(TCv_1*tCo2_1+TCv_1*tCo2_2+TCv_1*tCo2_3+TCv_1*tCo2_4+TCv_1*tCo2_5+TCv_1*tCo2_6+TCv_1*tCo2_7))),IF(ScI=2,H_8*hnh,0))</f>
        <v>#DIV/0!</v>
      </c>
      <c r="AK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H_9*hnh/(TP-H_1-H_2-H_3-H_4-H_5-H_6-H_7-H_8-(hnh*(H_1+H_2+H_3+H_4+H_5+H_6+H_7+H_8))-(TP*VE*(TCv_1*tCo2_1+TCv_1*tCo2_2+TCv_1*tCo2_3+TCv_1*tCo2_4+TCv_1*tCo2_5+TCv_1*tCo2_6+TCv_1*tCo2_7+TCv_1*tCo2_8))),IF(ScI=2,H_9*hnh,0))</f>
        <v>#DIV/0!</v>
      </c>
      <c r="AL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H_10*hnh/(TP-H_1-H_2-H_3-H_4-H_5-H_6-H_7-H_8-H_9-(hnh*(H_1+H_2+H_3+H_4+H_5+H_6+H_7+H_8+H_9))-(TP*VE*(TCv_1*tCo2_1+TCv_1*tCo2_2+TCv_1*tCo2_3+TCv_1*tCo2_4+TCv_1*tCo2_5+TCv_1*tCo2_6+TCv_1*tCo2_7+TCv_1*tCo2_8+TCv_1*tCo2_9))),IF(ScI=2,H_10*hnh,0))</f>
        <v>#DIV/0!</v>
      </c>
      <c r="AM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H_11*hnh/(TP-H_1-H_2-H_3-H_4-H_5-H_6-H_7-H_8-H_9-H_10-(hnh*(H_1+H_2+H_3+H_4+H_5+H_6+H_7+H_8+H_9+H_10))-(TP*VE*(TCv_1*tCo2_1+TCv_1*tCo2_2+TCv_1*tCo2_3+TCv_1*tCo2_4+TCv_1*tCo2_5+TCv_1*tCo2_6+TCv_1*tCo2_7+TCv_1*tCo2_8+TCv_1*tCo2_9+TCv_1*tCo2_10))),IF(ScI=2,H_11*hnh,0))</f>
        <v>#DIV/0!</v>
      </c>
      <c r="AN143" s="88" t="e">
        <f>IF(ScI=1,(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BF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BF144)*H_12*hnh/(TP-H_1-H_2-H_3-H_4-H_5-H_6-H_7-H_8-H_9-H_10-H_11-(hnh*(H_1+H_2+H_3+H_4+H_5+H_6+H_7+H_8+H_9+H_10+H_11))-(TP*VE*(TCv_1*tCo2_1+TCv_1*tCo2_2+TCv_1*tCo2_3+TCv_1*tCo2_4+TCv_1*tCo2_5+TCv_1*tCo2_6+TCv_1*tCo2_7+TCv_1*tCo2_8+TCv_1*tCo2_9+TCv_1*tCo2_10+TCv_1*tCo2_11))),IF(ScI=2,H_12*hnh,0))</f>
        <v>#DIV/0!</v>
      </c>
      <c r="AP143" s="103" t="s">
        <v>82</v>
      </c>
      <c r="AQ143" s="103" t="s">
        <v>83</v>
      </c>
      <c r="AR143" s="103" t="s">
        <v>84</v>
      </c>
      <c r="AS143" s="103" t="s">
        <v>85</v>
      </c>
      <c r="AT143" s="103" t="s">
        <v>86</v>
      </c>
      <c r="AU143" s="103" t="s">
        <v>87</v>
      </c>
      <c r="AV143" s="103" t="s">
        <v>88</v>
      </c>
      <c r="AW143" s="103" t="s">
        <v>89</v>
      </c>
      <c r="AX143" s="103" t="s">
        <v>90</v>
      </c>
      <c r="AZ143" s="103" t="s">
        <v>106</v>
      </c>
      <c r="BA143" s="103" t="s">
        <v>92</v>
      </c>
      <c r="BB143" s="103" t="s">
        <v>98</v>
      </c>
      <c r="BC143" s="103" t="s">
        <v>99</v>
      </c>
      <c r="BD143" s="103" t="s">
        <v>100</v>
      </c>
      <c r="BE143" s="103" t="s">
        <v>101</v>
      </c>
      <c r="BF143" s="103" t="s">
        <v>102</v>
      </c>
    </row>
    <row r="144" spans="1:58" hidden="1" outlineLevel="1" x14ac:dyDescent="0.25">
      <c r="F144" s="113"/>
      <c r="G144" s="31"/>
      <c r="H144" s="31"/>
      <c r="I144" s="31"/>
      <c r="J144" s="31"/>
      <c r="K144" s="31"/>
      <c r="L144" s="31"/>
      <c r="M144" s="31"/>
      <c r="N144" s="31"/>
      <c r="Q144" s="31"/>
      <c r="R144" s="97"/>
      <c r="S144" s="97"/>
      <c r="T144" s="97"/>
      <c r="U144" s="97"/>
      <c r="V144" s="97"/>
      <c r="W144" s="97"/>
      <c r="X144" s="97"/>
      <c r="Y144" s="97"/>
      <c r="Z144" s="97"/>
      <c r="AA144" s="97"/>
      <c r="AB144" s="97"/>
      <c r="AC144" s="98"/>
      <c r="AD144" s="98"/>
      <c r="AE144" s="98"/>
      <c r="AF144" s="98"/>
      <c r="AG144" s="98"/>
      <c r="AH144" s="98"/>
      <c r="AI144" s="98"/>
      <c r="AJ144" s="98"/>
      <c r="AK144" s="98"/>
      <c r="AL144" s="98"/>
      <c r="AM144" s="98"/>
      <c r="AN144" s="98"/>
      <c r="AP144" s="103" t="e">
        <f>((TP-H_1-((TP-H_1-(H_1*hnh)-(TP*TCv_1*tCo2_1*VE))*H_2/(TP-H_1-(H_1*hnh)))-(H_1*hnh)-((TP-H_1-(H_1*hnh)-(TP*TCv_1*tCo2_1*VE))*H_2*hnh/(TP-H_1-(H_1*hnh)))-(TP*TCv_1*tCo2_1*VE)-(TP*TCv_1*tCo2_2*VE))*(H_3*hnh/(TP-H_1-H_2-(hnh*(H_1+H_2)))))</f>
        <v>#DIV/0!</v>
      </c>
      <c r="AQ144" s="103" t="e">
        <f>(TP-H_1-((TP-H_1-(H_1*hnh)-(TP*TCv_1*tCo2_1*VE))*H_2/(TP-H_1-(H_1*hnh)))-AP142-(H_1*hnh)-((TP-H_1-(H_1*hnh)-(TP*TCv_1*tCo2_1*VE))*H_2*hnh/(TP-H_1-(H_1*hnh)))-AP144-(TP*TCv_1*tCo2_1*VE)-(TP*TCv_1*tCo2_2*VE)-(TP*TCv_1*tCo2_3*VE))*(H_4*hnh/(TP-H_1-H_2-H_3-(hnh*(H_1+H_2+H_3))))</f>
        <v>#DIV/0!</v>
      </c>
      <c r="AR144" s="103" t="e">
        <f>(TP-H_1-((TP-H_1-(H_1*hnh)-(TP*TCv_1*tCo2_1*VE))*H_2/(TP-H_1-(H_1*hnh)))-AP142-AQ142-(H_1*hnh)-((TP-H_1-(H_1*hnh)-(TP*TCv_1*tCo2_1*VE))*H_2*hnh/(TP-H_1-(H_1*hnh)))-AP144-AQ144-(TP*TCv_1*tCo2_1*VE)-(TP*TCv_1*tCo2_2*VE)-(TP*TCv_1*tCo2_3*VE)-(TP*TCv_1*tCo2_4*VE))*(H_5*hnh/(TP-H_1-H_2-H_3-H_4-(hnh*(H_1+H_2+H_3+H_4))))</f>
        <v>#DIV/0!</v>
      </c>
      <c r="AS144" s="103" t="e">
        <f>(TP-H_1-((TP-H_1-(H_1*hnh)-(TP*TCv_1*tCo2_1*VE))*H_2/(TP-H_1-(H_1*hnh)))-AP142-AQ142-AR142-(H_1*hnh)-((TP-H_1-(H_1*hnh)-(TP*TCv_1*tCo2_1*VE))*H_2*hnh/(TP-H_1-(H_1*hnh)))-AP144-AQ144-AR144-(TP*TCv_1*tCo2_1*VE)-(TP*TCv_1*tCo2_2*VE)-(TP*TCv_1*tCo2_3*VE)-(TP*TCv_1*tCo2_4*VE)-(TP*TCv_1*tCo2_5*VE))*(H_6*hnh/(TP-H_1-H_2-H_3-H_4-H_5-(hnh*(H_1+H_2+H_3+H_4+H_5))))</f>
        <v>#DIV/0!</v>
      </c>
      <c r="AT144" s="103" t="e">
        <f>(TP-H_1-((TP-H_1-(H_1*hnh)-(TP*TCv_1*tCo2_1*VE))*H_2/(TP-H_1-(H_1*hnh)))-AP142-AQ142-AR142-AS142-(H_1*hnh)-((TP-H_1-(H_1*hnh)-(TP*TCv_1*tCo2_1*VE))*H_2*hnh/(TP-H_1-(H_1*hnh)))-AP144-AQ144-AR144-AS144-(TP*TCv_1*tCo2_1*VE)-(TP*TCv_1*tCo2_2*VE)-(TP*TCv_1*tCo2_3*VE)-(TP*TCv_1*tCo2_4*VE)-(TP*TCv_1*tCo2_5*VE)-(TP*TCv_1*tCo2_6*VE))*(H_7*hnh/(TP-H_1-H_2-H_3-H_4-H_5-H_6-(hnh*(H_1+H_2+H_3+H_4+H_5+H_6))))</f>
        <v>#DIV/0!</v>
      </c>
      <c r="AU144" s="103" t="e">
        <f>(TP-H_1-((TP-H_1-(H_1*hnh)-(TP*TCv_1*tCo2_1*VE))*H_2/(TP-H_1-(H_1*hnh)))-AP142-AQ142-AR142-AS142-AT142-(H_1*hnh)-((TP-H_1-(H_1*hnh)-(TP*TCv_1*tCo2_1*VE))*H_2*hnh/(TP-H_1-(H_1*hnh)))-AP144-AQ144-AR144-AS144-AT144-(TP*TCv_1*tCo2_1*VE)-(TP*TCv_1*tCo2_2*VE)-(TP*TCv_1*tCo2_3*VE)-(TP*TCv_1*tCo2_4*VE)-(TP*TCv_1*tCo2_5*VE)-(TP*TCv_1*tCo2_6*VE)-(TP*TCv_1*tCo2_7*VE))*(H_8*hnh/(TP-H_1-H_2-H_3-H_4-H_5-H_6-H_7-(hnh*(H_1+H_2+H_3+H_4+H_5+H_6+H_7))))</f>
        <v>#DIV/0!</v>
      </c>
      <c r="AV144" s="103" t="e">
        <f>(TP-H_1-((TP-H_1-(H_1*hnh)-(TP*TCv_1*tCo2_1*VE))*H_2/(TP-H_1-(H_1*hnh)))-AP142-AQ142-AR142-AS142-AT142-AU142-(H_1*hnh)-((TP-H_1-(H_1*hnh)-(TP*TCv_1*tCo2_1*VE))*H_2*hnh/(TP-H_1-(H_1*hnh)))-AP144-AQ144-AR144-AS144-AT144-AU144-(TP*TCv_1*tCo2_1*VE)-(TP*TCv_1*tCo2_2*VE)-(TP*TCv_1*tCo2_3*VE)-(TP*TCv_1*tCo2_4*VE)-(TP*TCv_1*tCo2_5*VE)-(TP*TCv_1*tCo2_6*VE)-(TP*TCv_1*tCo2_7*VE)-(TP*TCv_1*tCo2_8*VE))*(H_9*hnh/(TP-H_1-H_2-H_3-H_4-H_5-H_6-H_7-H_8-(hnh*(H_1+H_2+H_3+H_4+H_5+H_6+H_7+H_8))))</f>
        <v>#DIV/0!</v>
      </c>
      <c r="AW144" s="103" t="e">
        <f>(TP-H_1-((TP-H_1-(H_1*hnh)-(TP*TCv_1*tCo2_1*VE))*H_2/(TP-H_1-(H_1*hnh)))-AP142-AQ142-AR142-AS142-AT142-AU142-AV142-(H_1*hnh)-((TP-H_1-(H_1*hnh)-(TP*TCv_1*tCo2_1*VE))*H_2*hnh/(TP-H_1-(H_1*hnh)))-AP144-AQ144-AR144-AS144-AT144-AU144-AV144-(TP*TCv_1*tCo2_1*VE)-(TP*TCv_1*tCo2_2*VE)-(TP*TCv_1*tCo2_3*VE)-(TP*TCv_1*tCo2_4*VE)-(TP*TCv_1*tCo2_5*VE)-(TP*TCv_1*tCo2_6*VE)-(TP*TCv_1*tCo2_7*VE)-(TP*TCv_1*tCo2_8*VE)-(TP*TCv_1*tCo2_9*VE))*(H_10*hnh/(TP-H_1-H_2-H_3-H_4-H_5-H_6-H_7-H_8-H_9-(hnh*(H_1+H_2+H_3+H_4+H_5+H_6+H_7+H_8+H_9))))</f>
        <v>#DIV/0!</v>
      </c>
      <c r="AX144" s="103" t="e">
        <f>(TP-H_1-((TP-H_1-(H_1*hnh)-(TP*TCv_1*tCo2_1*VE))*H_2/(TP-H_1-(H_1*hnh)))-AP142-AQ142-AR142-AS142-AT142-AU142-AV142-AW142-(H_1*hnh)-((TP-H_1-(H_1*hnh)-(TP*TCv_1*tCo2_1*VE))*H_2*hnh/(TP-H_1-(H_1*hnh)))-AP144-AQ144-AR144-AS144-AT144-AU144-AV144-AW144-(TP*TCv_1*tCo2_1*VE)-(TP*TCv_1*tCo2_2*VE)-(TP*TCv_1*tCo2_3*VE)-(TP*TCv_1*tCo2_4*VE)-(TP*TCv_1*tCo2_5*VE)-(TP*TCv_1*tCo2_6*VE)-(TP*TCv_1*tCo2_7*VE)-(TP*TCv_1*tCo2_8*VE)-(TP*TCv_1*tCo2_9*VE)-(TP*TCv_1*tCo2_10*VE))*(H_11*hnh/(TP-H_1-H_2-H_3-H_4-H_5-H_6-H_7-H_8-H_9-H_10-(hnh*(H_1+H_2+H_3+H_4+H_5+H_6+H_7+H_8+H_9+H_10))))</f>
        <v>#DIV/0!</v>
      </c>
      <c r="AZ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H_5*hnh/(TP-H_1-H_2-H_3-H_4-(hnh*(H_1+H_2+H_3+H_4))-(TP*VE*(TCv_1*tCo2_1+TCv_1*tCo2_2+TCv_1*tCo2_3+TCv_1*tCo2_4)))</f>
        <v>#DIV/0!</v>
      </c>
      <c r="BA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H_6*hnh/(TP-H_1-H_2-H_3-H_4-H_5-(hnh*(H_1+H_2+H_3+H_4+H_5))-(TP*VE*(TCv_1*tCo2_1+TCv_1*tCo2_2+TCv_1*tCo2_3+TCv_1*tCo2_4+TCv_1*tCo2_5)))</f>
        <v>#DIV/0!</v>
      </c>
      <c r="BB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H_7*hnh/(TP-H_1-H_2-H_3-H_4-H_5-H_6-(hnh*(H_1+H_2+H_3+H_4+H_5+H_6))-(TP*VE*(TCv_1*tCo2_1+TCv_1*tCo2_2+TCv_1*tCo2_3+TCv_1*tCo2_4+TCv_1*tCo2_5+TCv_1*tCo2_6)))</f>
        <v>#DIV/0!</v>
      </c>
      <c r="BC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H_8*hnh/(TP-H_1-H_2-H_3-H_4-H_5-H_6-H_7-(hnh*(H_1+H_2+H_3+H_4+H_5+H_6+H_7))-(TP*VE*(TCv_1*tCo2_1+TCv_1*tCo2_2+TCv_1*tCo2_3+TCv_1*tCo2_4+TCv_1*tCo2_5+TCv_1*tCo2_6+TCv_1*tCo2_7)))</f>
        <v>#DIV/0!</v>
      </c>
      <c r="BD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H_9*hnh/(TP-H_1-H_2-H_3-H_4-H_5-H_6-H_7-H_8-(hnh*(H_1+H_2+H_3+H_4+H_5+H_6+H_7+H_8))-(TP*VE*(TCv_1*tCo2_1+TCv_1*tCo2_2+TCv_1*tCo2_3+TCv_1*tCo2_4+TCv_1*tCo2_5+TCv_1*tCo2_6+TCv_1*tCo2_7+TCv_1*tCo2_8)))</f>
        <v>#DIV/0!</v>
      </c>
      <c r="BE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H_10*hnh/(TP-H_1-H_2-H_3-H_4-H_5-H_6-H_7-H_8-H_9-(hnh*(H_1+H_2+H_3+H_4+H_5+H_6+H_7+H_8+H_9))-(TP*VE*(TCv_1*tCo2_1+TCv_1*tCo2_2+TCv_1*tCo2_3+TCv_1*tCo2_4+TCv_1*tCo2_5+TCv_1*tCo2_6+TCv_1*tCo2_7+TCv_1*tCo2_8+TCv_1*tCo2_9)))</f>
        <v>#DIV/0!</v>
      </c>
      <c r="BF144" s="103" t="e">
        <f>(TP-H_1-((TP-H_1-(H_1*hnh))*H_2/(TP-H_1-(H_1*hnh)-(TP*TCv_1*tCo2_1*VE)))-((TP-H_1-((TP-H_1-(H_1*hnh))*H_2/(TP-H_1-(H_1*hnh)-(TP*TCv_1*tCo2_1*VE)))-(H_1*hnh)-((TP-H_1-(H_1*hnh))*H_2*hnh/(TP-H_1-(H_1*hnh)-(TP*TCv_1*tCo2_1*VE))))*H_3/(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TP-H_1-H_2-H_3-(hnh*(H_1+H_2+H_3))-(TP*VE*(TCv_1*tCo2_1+TCv_1*tCo2_2+TCv_1*tCo2_3))))-AZ142-BA142-BB142-BC142-BD142-BE142-(H_1*hnh)-((TP-H_1-(H_1*hnh))*H_2*hnh/(TP-H_1-(H_1*hnh)-(TP*TCv_1*tCo2_1*VE)))-((TP-H_1-((TP-H_1-(H_1*hnh))*H_2/(TP-H_1-(H_1*hnh)-(TP*TCv_1*tCo2_1*VE)))-(H_1*hnh)-((TP-H_1-(H_1*hnh))*H_2*hnh/(TP-H_1-(H_1*hnh)-(TP*TCv_1*tCo2_1*VE))))*H_3*hnh/(TP-H_1-H_2-(hnh*(H_1+H_2))-(TP*VE*(TCv_1*tCo2_1+TCv_1*tCo2_2))))-((TP-H_1-((TP-H_1-(H_1*hnh))*H_2/(TP-H_1-(H_1*hnh)-(TP*TCv_1*tCo2_1*VE)))-((TP-H_1-((TP-H_1-(H_1*hnh))*H_2/(TP-H_1-(H_1*hnh)-(TP*TCv_1*tCo2_1*VE)))-(H_1*hnh)-((TP-H_1-(H_1*hnh))*H_2*hnh/(TP-H_1-(H_1*hnh)-(TP*TCv_1*tCo2_1*VE))))*H_3/(TP-H_1-H_2-(hnh*(H_1+H_2))-(TP*VE*(TCv_1*tCo2_1+TCv_1*tCo2_2))))-(H_1*hnh)-((TP-H_1-(H_1*hnh))*H_2*hnh/(TP-H_1-(H_1*hnh)-(TP*TCv_1*tCo2_1*VE)))-((TP-H_1-((TP-H_1-(H_1*hnh))*H_2/(TP-H_1-(H_1*hnh)-(TP*TCv_1*tCo2_1*VE)))-(H_1*hnh)-((TP-H_1-(H_1*hnh))*H_2*hnh/(TP-H_1-(H_1*hnh)-(TP*TCv_1*tCo2_1*VE))))*H_3*hnh/(TP-H_1-H_2-(hnh*(H_1+H_2))-(TP*VE*(TCv_1*tCo2_1+TCv_1*tCo2_2)))))*H_4*hnh/(TP-H_1-H_2-H_3-(hnh*(H_1+H_2+H_3))-(TP*VE*(TCv_1*tCo2_1+TCv_1*tCo2_2+TCv_1*tCo2_3))))-AZ144-BA144-BB144-BC144-BD144-BE144)*H_11*hnh/(TP-H_1-H_2-H_3-H_4-H_5-H_6-H_7-H_8-H_9-H_10-(hnh*(H_1+H_2+H_3+H_4+H_5+H_6+H_7+H_8+H_9+H_10))-(TP*VE*(TCv_1*tCo2_1+TCv_1*tCo2_2+TCv_1*tCo2_3+TCv_1*tCo2_4+TCv_1*tCo2_5+TCv_1*tCo2_6+TCv_1*tCo2_7+TCv_1*tCo2_8+TCv_1*tCo2_9+TCv_1*tCo2_10)))</f>
        <v>#DIV/0!</v>
      </c>
    </row>
    <row r="145" spans="1:58" hidden="1" outlineLevel="1" x14ac:dyDescent="0.25">
      <c r="F145" s="112"/>
    </row>
    <row r="146" spans="1:58" hidden="1" outlineLevel="1" x14ac:dyDescent="0.25"/>
    <row r="147" spans="1:58" collapsed="1" x14ac:dyDescent="0.25"/>
    <row r="148" spans="1:58" s="105" customFormat="1" x14ac:dyDescent="0.25">
      <c r="A148" s="104" t="s">
        <v>301</v>
      </c>
      <c r="B148" s="104"/>
    </row>
    <row r="149" spans="1:58" hidden="1" outlineLevel="1" x14ac:dyDescent="0.25">
      <c r="Q149" s="102" t="s">
        <v>72</v>
      </c>
      <c r="R149" s="102"/>
      <c r="S149" s="102"/>
      <c r="T149" s="102"/>
      <c r="U149" s="102"/>
      <c r="V149" s="102"/>
      <c r="W149" s="102"/>
      <c r="X149" s="102"/>
      <c r="Y149" s="102"/>
      <c r="Z149" s="102"/>
      <c r="AA149" s="102"/>
      <c r="AB149" s="102"/>
      <c r="AC149" s="101" t="s">
        <v>104</v>
      </c>
      <c r="AD149" s="101"/>
      <c r="AE149" s="101"/>
      <c r="AF149" s="101"/>
      <c r="AG149" s="101"/>
      <c r="AH149" s="101"/>
      <c r="AI149" s="101"/>
      <c r="AJ149" s="101"/>
      <c r="AK149" s="101"/>
      <c r="AL149" s="101"/>
      <c r="AM149" s="101"/>
      <c r="AN149" s="101"/>
      <c r="AP149" s="103">
        <v>3</v>
      </c>
      <c r="AQ149" s="103">
        <v>4</v>
      </c>
      <c r="AR149" s="103">
        <v>5</v>
      </c>
      <c r="AS149" s="103">
        <v>6</v>
      </c>
      <c r="AT149" s="103">
        <v>7</v>
      </c>
      <c r="AU149" s="103">
        <v>8</v>
      </c>
      <c r="AV149" s="103">
        <v>9</v>
      </c>
      <c r="AW149" s="103">
        <v>10</v>
      </c>
      <c r="AX149" s="103">
        <v>11</v>
      </c>
      <c r="AZ149" s="103">
        <v>5</v>
      </c>
      <c r="BA149" s="103">
        <v>6</v>
      </c>
      <c r="BB149" s="103">
        <v>7</v>
      </c>
      <c r="BC149" s="103">
        <v>8</v>
      </c>
      <c r="BD149" s="103">
        <v>9</v>
      </c>
      <c r="BE149" s="103">
        <v>10</v>
      </c>
      <c r="BF149" s="103">
        <v>11</v>
      </c>
    </row>
    <row r="150" spans="1:58" ht="28.7" hidden="1" customHeight="1" outlineLevel="1" x14ac:dyDescent="0.25">
      <c r="A150" s="11" t="s">
        <v>47</v>
      </c>
      <c r="B150" s="11"/>
      <c r="C150" s="11"/>
      <c r="D150" s="11"/>
      <c r="E150" s="11"/>
      <c r="F150" s="11"/>
      <c r="G150" s="109" t="s">
        <v>50</v>
      </c>
      <c r="H150" s="109"/>
      <c r="I150" s="110" t="s">
        <v>44</v>
      </c>
      <c r="J150" s="110"/>
      <c r="K150" s="101" t="s">
        <v>58</v>
      </c>
      <c r="L150" s="101"/>
      <c r="M150" s="110" t="s">
        <v>45</v>
      </c>
      <c r="N150" s="110"/>
      <c r="Q150" s="102" t="s">
        <v>1</v>
      </c>
      <c r="R150" s="102"/>
      <c r="S150" s="102"/>
      <c r="T150" s="102"/>
      <c r="U150" s="102"/>
      <c r="V150" s="102"/>
      <c r="W150" s="102"/>
      <c r="X150" s="102"/>
      <c r="Y150" s="102"/>
      <c r="Z150" s="102"/>
      <c r="AA150" s="102"/>
      <c r="AB150" s="102"/>
      <c r="AC150" s="101" t="s">
        <v>71</v>
      </c>
      <c r="AD150" s="101"/>
      <c r="AE150" s="101"/>
      <c r="AF150" s="101"/>
      <c r="AG150" s="101"/>
      <c r="AH150" s="101"/>
      <c r="AI150" s="101"/>
      <c r="AJ150" s="101"/>
      <c r="AK150" s="101"/>
      <c r="AL150" s="101"/>
      <c r="AM150" s="101"/>
      <c r="AN150" s="101"/>
      <c r="AP150" s="103" t="s">
        <v>73</v>
      </c>
      <c r="AQ150" s="103" t="s">
        <v>74</v>
      </c>
      <c r="AR150" s="103" t="s">
        <v>75</v>
      </c>
      <c r="AS150" s="103" t="s">
        <v>76</v>
      </c>
      <c r="AT150" s="103" t="s">
        <v>77</v>
      </c>
      <c r="AU150" s="103" t="s">
        <v>78</v>
      </c>
      <c r="AV150" s="103" t="s">
        <v>79</v>
      </c>
      <c r="AW150" s="103" t="s">
        <v>80</v>
      </c>
      <c r="AX150" s="103" t="s">
        <v>81</v>
      </c>
      <c r="AZ150" s="103" t="s">
        <v>105</v>
      </c>
      <c r="BA150" s="103" t="s">
        <v>91</v>
      </c>
      <c r="BB150" s="103" t="s">
        <v>93</v>
      </c>
      <c r="BC150" s="103" t="s">
        <v>94</v>
      </c>
      <c r="BD150" s="103" t="s">
        <v>95</v>
      </c>
      <c r="BE150" s="103" t="s">
        <v>96</v>
      </c>
      <c r="BF150" s="103" t="s">
        <v>97</v>
      </c>
    </row>
    <row r="151" spans="1:58" ht="45" hidden="1" outlineLevel="1" x14ac:dyDescent="0.25">
      <c r="A151" s="70" t="s">
        <v>40</v>
      </c>
      <c r="B151" s="70" t="s">
        <v>41</v>
      </c>
      <c r="C151" s="70" t="s">
        <v>53</v>
      </c>
      <c r="D151" s="70" t="s">
        <v>48</v>
      </c>
      <c r="E151" s="70" t="s">
        <v>42</v>
      </c>
      <c r="F151" s="76" t="s">
        <v>49</v>
      </c>
      <c r="G151" s="71" t="s">
        <v>51</v>
      </c>
      <c r="H151" s="71" t="s">
        <v>52</v>
      </c>
      <c r="I151" s="72" t="s">
        <v>51</v>
      </c>
      <c r="J151" s="72" t="s">
        <v>52</v>
      </c>
      <c r="K151" s="77" t="s">
        <v>51</v>
      </c>
      <c r="L151" s="77" t="s">
        <v>52</v>
      </c>
      <c r="M151" s="72" t="s">
        <v>51</v>
      </c>
      <c r="N151" s="72" t="s">
        <v>52</v>
      </c>
      <c r="Q151" s="102">
        <v>1</v>
      </c>
      <c r="R151" s="102">
        <v>2</v>
      </c>
      <c r="S151" s="102">
        <v>3</v>
      </c>
      <c r="T151" s="102">
        <v>4</v>
      </c>
      <c r="U151" s="102">
        <v>5</v>
      </c>
      <c r="V151" s="102">
        <v>6</v>
      </c>
      <c r="W151" s="102">
        <v>7</v>
      </c>
      <c r="X151" s="102">
        <v>8</v>
      </c>
      <c r="Y151" s="102">
        <v>9</v>
      </c>
      <c r="Z151" s="102">
        <v>10</v>
      </c>
      <c r="AA151" s="102">
        <v>11</v>
      </c>
      <c r="AB151" s="102">
        <v>12</v>
      </c>
      <c r="AC151" s="101">
        <v>1</v>
      </c>
      <c r="AD151" s="101">
        <v>2</v>
      </c>
      <c r="AE151" s="101">
        <v>3</v>
      </c>
      <c r="AF151" s="101">
        <v>4</v>
      </c>
      <c r="AG151" s="101">
        <v>5</v>
      </c>
      <c r="AH151" s="101">
        <v>6</v>
      </c>
      <c r="AI151" s="101">
        <v>7</v>
      </c>
      <c r="AJ151" s="101">
        <v>8</v>
      </c>
      <c r="AK151" s="101">
        <v>9</v>
      </c>
      <c r="AL151" s="101">
        <v>10</v>
      </c>
      <c r="AM151" s="101">
        <v>11</v>
      </c>
      <c r="AN151" s="101">
        <v>12</v>
      </c>
      <c r="AP151" s="103" t="e">
        <f>((TP-H_1-((TP-H_1-(H_1*hnh)-(TP*TCv_2*tCo2_1*VE))*H_2/(TP-H_1-(H_1*hnh)))-(H_1*hnh)-((TP-H_1-(H_1*hnh)-(TP*TCv_2*tCo2_1*VE))*H_2*hnh/(TP-H_1-(H_1*hnh)))-(TP*TCv_2*tCo2_1*VE)-(TP*TCv_2*tCo2_2*VE))*(H_3/(TP-H_1-H_2-(hnh*(H_1+H_2)))))</f>
        <v>#DIV/0!</v>
      </c>
      <c r="AQ151" s="103" t="e">
        <f>(TP-H_1-((TP-H_1-(H_1*hnh)-(TP*TCv_2*tCo2_1*VE))*H_2/(TP-H_1-(H_1*hnh)))-AP151-(H_1*hnh)-((TP-H_1-(H_1*hnh)-(TP*TCv_2*tCo2_1*VE))*H_2*hnh/(TP-H_1-(H_1*hnh)))-AP153-(TP*TCv_2*tCo2_1*VE)-(TP*TCv_2*tCo2_2*VE)-(TP*TCv_2*tCo2_3*VE))*(H_4/(TP-H_1-H_2-H_3-(hnh*(H_1+H_2+H_3))))</f>
        <v>#DIV/0!</v>
      </c>
      <c r="AR151" s="103" t="e">
        <f>(TP-H_1-((TP-H_1-(H_1*hnh)-(TP*TCv_2*tCo2_1*VE))*H_2/(TP-H_1-(H_1*hnh)))-AP151-AQ151-(H_1*hnh)-((TP-H_1-(H_1*hnh)-(TP*TCv_2*tCo2_1*VE))*H_2*hnh/(TP-H_1-(H_1*hnh)))-AP153-AQ153-(TP*TCv_2*tCo2_1*VE)-(TP*TCv_2*tCo2_2*VE)-(TP*TCv_2*tCo2_3*VE)-(TP*TCv_2*tCo2_4*VE))*(H_5/(TP-H_1-H_2-H_3-H_4-(hnh*(H_1+H_2+H_3+H_4))))</f>
        <v>#DIV/0!</v>
      </c>
      <c r="AS151" s="103" t="e">
        <f>(TP-H_1-((TP-H_1-(H_1*hnh)-(TP*TCv_2*tCo2_1*VE))*H_2/(TP-H_1-(H_1*hnh)))-AP151-AQ151-AR151-(H_1*hnh)-((TP-H_1-(H_1*hnh)-(TP*TCv_2*tCo2_1*VE))*H_2*hnh/(TP-H_1-(H_1*hnh)))-AP153-AQ153-AR153-(TP*TCv_2*tCo2_1*VE)-(TP*TCv_2*tCo2_2*VE)-(TP*TCv_2*tCo2_3*VE)-(TP*TCv_2*tCo2_4*VE)-(TP*TCv_2*tCo2_5*VE))*(H_6/(TP-H_1-H_2-H_3-H_4-H_5-(hnh*(H_1+H_2+H_3+H_4+H_5))))</f>
        <v>#DIV/0!</v>
      </c>
      <c r="AT151" s="103" t="e">
        <f>(TP-H_1-((TP-H_1-(H_1*hnh)-(TP*TCv_2*tCo2_1*VE))*H_2/(TP-H_1-(H_1*hnh)))-AP151-AQ151-AR151-AS151-(H_1*hnh)-((TP-H_1-(H_1*hnh)-(TP*TCv_2*tCo2_1*VE))*H_2*hnh/(TP-H_1-(H_1*hnh)))-AP153-AQ153-AR153-AS153-(TP*TCv_2*tCo2_1*VE)-(TP*TCv_2*tCo2_2*VE)-(TP*TCv_2*tCo2_3*VE)-(TP*TCv_2*tCo2_4*VE)-(TP*TCv_2*tCo2_5*VE)-(TP*TCv_2*tCo2_6*VE))*(H_7/(TP-H_1-H_2-H_3-H_4-H_5-H_6-(hnh*(H_1+H_2+H_3+H_4+H_5+H_6))))</f>
        <v>#DIV/0!</v>
      </c>
      <c r="AU151" s="103" t="e">
        <f>(TP-H_1-((TP-H_1-(H_1*hnh)-(TP*TCv_2*tCo2_1*VE))*H_2/(TP-H_1-(H_1*hnh)))-AP151-AQ151-AR151-AS151-AT151-(H_1*hnh)-((TP-H_1-(H_1*hnh)-(TP*TCv_2*tCo2_1*VE))*H_2*hnh/(TP-H_1-(H_1*hnh)))-AP153-AQ153-AR153-AS153-AT153-(TP*TCv_2*tCo2_1*VE)-(TP*TCv_2*tCo2_2*VE)-(TP*TCv_2*tCo2_3*VE)-(TP*TCv_2*tCo2_4*VE)-(TP*TCv_2*tCo2_5*VE)-(TP*TCv_2*tCo2_6*VE)-(TP*TCv_2*tCo2_7*VE))*(H_8/(TP-H_1-H_2-H_3-H_4-H_5-H_6-H_7-(hnh*(H_1+H_2+H_3+H_4+H_5+H_6+H_7))))</f>
        <v>#DIV/0!</v>
      </c>
      <c r="AV151" s="103" t="e">
        <f>(TP-H_1-((TP-H_1-(H_1*hnh)-(TP*TCv_2*tCo2_1*VE))*H_2/(TP-H_1-(H_1*hnh)))-AP151-AQ151-AR151-AS151-AT151-AU151-(H_1*hnh)-((TP-H_1-(H_1*hnh)-(TP*TCv_2*tCo2_1*VE))*H_2*hnh/(TP-H_1-(H_1*hnh)))-AP153-AQ153-AR153-AS153-AT153-AU153-(TP*TCv_2*tCo2_1*VE)-(TP*TCv_2*tCo2_2*VE)-(TP*TCv_2*tCo2_3*VE)-(TP*TCv_2*tCo2_4*VE)-(TP*TCv_2*tCo2_5*VE)-(TP*TCv_2*tCo2_6*VE)-(TP*TCv_2*tCo2_7*VE)-(TP*TCv_2*tCo2_8*VE))*(H_9/(TP-H_1-H_2-H_3-H_4-H_5-H_6-H_7-H_8-(hnh*(H_1+H_2+H_3+H_4+H_5+H_6+H_7+H_8))))</f>
        <v>#DIV/0!</v>
      </c>
      <c r="AW151" s="103" t="e">
        <f>(TP-H_1-((TP-H_1-(H_1*hnh)-(TP*TCv_2*tCo2_1*VE))*H_2/(TP-H_1-(H_1*hnh)))-AP151-AQ151-AR151-AS151-AT151-AU151-AV151-(H_1*hnh)-((TP-H_1-(H_1*hnh)-(TP*TCv_2*tCo2_1*VE))*H_2*hnh/(TP-H_1-(H_1*hnh)))-AP153-AQ153-AR153-AS153-AT153-AU153-AV153-(TP*TCv_2*tCo2_1*VE)-(TP*TCv_2*tCo2_2*VE)-(TP*TCv_2*tCo2_3*VE)-(TP*TCv_2*tCo2_4*VE)-(TP*TCv_2*tCo2_5*VE)-(TP*TCv_2*tCo2_6*VE)-(TP*TCv_2*tCo2_7*VE)-(TP*TCv_2*tCo2_8*VE)-(TP*TCv_2*tCo2_9*VE))*(H_10/(TP-H_1-H_2-H_3-H_4-H_5-H_6-H_7-H_8-H_9-(hnh*(H_1+H_2+H_3+H_4+H_5+H_6+H_7+H_8+H_9))))</f>
        <v>#DIV/0!</v>
      </c>
      <c r="AX151" s="103" t="e">
        <f>(TP-H_1-((TP-H_1-(H_1*hnh)-(TP*TCv_2*tCo2_1*VE))*H_2/(TP-H_1-(H_1*hnh)))-AP151-AQ151-AR151-AS151-AT151-AU151-AV151-AW151-(H_1*hnh)-((TP-H_1-(H_1*hnh)-(TP*TCv_2*tCo2_1*VE))*H_2*hnh/(TP-H_1-(H_1*hnh)))-AP153-AQ153-AR153-AS153-AT153-AU153-AV153-AW153-(TP*TCv_2*tCo2_1*VE)-(TP*TCv_2*tCo2_2*VE)-(TP*TCv_2*tCo2_3*VE)-(TP*TCv_2*tCo2_4*VE)-(TP*TCv_2*tCo2_5*VE)-(TP*TCv_2*tCo2_6*VE)-(TP*TCv_2*tCo2_7*VE)-(TP*TCv_2*tCo2_8*VE)-(TP*TCv_2*tCo2_9*VE)-(TP*TCv_2*tCo2_10*VE))*(H_11/(TP-H_1-H_2-H_3-H_4-H_5-H_6-H_7-H_8-H_9-H_10-(hnh*(H_1+H_2+H_3+H_4+H_5+H_6+H_7+H_8+H_9+H_10))))</f>
        <v>#DIV/0!</v>
      </c>
      <c r="AZ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H_5/(TP-H_1-H_2-H_3-H_4-(hnh*(H_1+H_2+H_3+H_4))-(TP*VE*(TCv_2*tCo2_1+TCv_2*tCo2_2+TCv_2*tCo2_3+TCv_2*tCo2_4)))</f>
        <v>#DIV/0!</v>
      </c>
      <c r="BA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H_6/(TP-H_1-H_2-H_3-H_4-H_5-(hnh*(H_1+H_2+H_3+H_4+H_5))-(TP*VE*(TCv_2*tCo2_1+TCv_2*tCo2_2+TCv_2*tCo2_3+TCv_2*tCo2_4+TCv_2*tCo2_5)))</f>
        <v>#DIV/0!</v>
      </c>
      <c r="BB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H_7/(TP-H_1-H_2-H_3-H_4-H_5-H_6-(hnh*(H_1+H_2+H_3+H_4+H_5+H_6))-(TP*VE*(TCv_2*tCo2_1+TCv_2*tCo2_2+TCv_2*tCo2_3+TCv_2*tCo2_4+TCv_2*tCo2_5+TCv_2*tCo2_6)))</f>
        <v>#DIV/0!</v>
      </c>
      <c r="BC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H_8/(TP-H_1-H_2-H_3-H_4-H_5-H_6-H_7-(hnh*(H_1+H_2+H_3+H_4+H_5+H_6+H_7))-(TP*VE*(TCv_2*tCo2_1+TCv_2*tCo2_2+TCv_2*tCo2_3+TCv_2*tCo2_4+TCv_2*tCo2_5+TCv_2*tCo2_6+TCv_2*tCo2_7)))</f>
        <v>#DIV/0!</v>
      </c>
      <c r="BD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H_9/(TP-H_1-H_2-H_3-H_4-H_5-H_6-H_7-H_8-(hnh*(H_1+H_2+H_3+H_4+H_5+H_6+H_7+H_8))-(TP*VE*(TCv_2*tCo2_1+TCv_2*tCo2_2+TCv_2*tCo2_3+TCv_2*tCo2_4+TCv_2*tCo2_5+TCv_2*tCo2_6+TCv_2*tCo2_7+TCv_2*tCo2_8)))</f>
        <v>#DIV/0!</v>
      </c>
      <c r="BE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H_10/(TP-H_1-H_2-H_3-H_4-H_5-H_6-H_7-H_8-H_9-(hnh*(H_1+H_2+H_3+H_4+H_5+H_6+H_7+H_8+H_9))-(TP*VE*(TCv_2*tCo2_1+TCv_2*tCo2_2+TCv_2*tCo2_3+TCv_2*tCo2_4+TCv_2*tCo2_5+TCv_2*tCo2_6+TCv_2*tCo2_7+TCv_2*tCo2_8+TCv_2*tCo2_9)))</f>
        <v>#DIV/0!</v>
      </c>
      <c r="BF151"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H_11/(TP-H_1-H_2-H_3-H_4-H_5-H_6-H_7-H_8-H_9-H_10-(hnh*(H_1+H_2+H_3+H_4+H_5+H_6+H_7+H_8+H_9+H_10))-(TP*VE*(TCv_2*tCo2_1+TCv_2*tCo2_2+TCv_2*tCo2_3+TCv_2*tCo2_4+TCv_2*tCo2_5+TCv_2*tCo2_6+TCv_2*tCo2_7+TCv_2*tCo2_8+TCv_2*tCo2_9+TCv_2*tCo2_10)))</f>
        <v>#DIV/0!</v>
      </c>
    </row>
    <row r="152" spans="1:58" hidden="1" outlineLevel="1" x14ac:dyDescent="0.25">
      <c r="A152" s="73">
        <f>season</f>
        <v>0</v>
      </c>
      <c r="B152" s="73">
        <f>TG</f>
        <v>0</v>
      </c>
      <c r="C152" s="73">
        <f>TP</f>
        <v>0</v>
      </c>
      <c r="D152" s="74">
        <f>TCv</f>
        <v>0</v>
      </c>
      <c r="E152" s="75">
        <f>VE</f>
        <v>0</v>
      </c>
      <c r="F152" s="78" t="e">
        <f>G152/IF(mb=1,SUM(AC152:AN152),IF(mb=2,SUM(AD152:AN152),IF(mb=3,SUM(AE152:AN152),IF(mb=4,SUM(AF152:AN152),IF(mb=5,SUM(AG152:AN152),IF(mb=6,SUM(AH152:AN152),IF(mb=7,SUM(AI152:AN152),IF(mb=8,SUM(AJ152:AN152),0))))))))</f>
        <v>#DIV/0!</v>
      </c>
      <c r="G152" s="42">
        <f>IF(mb=1,SUM(AC152:AN152)-SUM(Q152:AB152),IF(mb=2,SUM(AD152:AN152)-SUM(R152:AB152),IF(mb=3,SUM(AE152:AN152)-SUM(S152:AB152),IF(mb=4,SUM(AF152:AN152)-SUM(T152:AB152),IF(mb=5,SUM(AG152:AN152)-SUM(U152:AB152),IF(mb=6,SUM(AH152:AN152)-SUM(V152:AB152),IF(mb=7,SUM(AI152:AN152)-SUM(W152:AB152),IF(mb=8,SUM(AJ152:AN152)-SUM(X152:AB152),0))))))))</f>
        <v>0</v>
      </c>
      <c r="H152" s="96" t="e">
        <f>1/(VE*IF(mb=1,SUM(AC152:AN152),IF(mb=2,SUM(AD152:AN152),IF(mb=3,SUM(AE152:AN152),IF(mb=4,SUM(AF152:AN152),IF(mb=5,SUM(AG152:AN152),IF(mb=6,SUM(AH152:AN152),IF(mb=7,SUM(AI152:AN152),IF(mb=8,SUM(AJ152:AN152),0))))))))/TP)</f>
        <v>#DIV/0!</v>
      </c>
      <c r="I152" s="93" t="e">
        <f>G152/hnh</f>
        <v>#DIV/0!</v>
      </c>
      <c r="J152" s="42" t="e">
        <f>1/(VE*IF(mb=1,SUM(AC152:AN152),IF(mb=2,SUM(AD152:AN152),IF(mb=3,SUM(AE152:AN152),IF(mb=4,SUM(AF152:AN152),IF(mb=5,SUM(AG152:AN152),IF(mb=6,SUM(AH152:AN152),IF(mb=7,SUM(AI152:AN152),IF(mb=8,SUM(AJ152:AN152),0))))))))/(TP*hnh))</f>
        <v>#DIV/0!</v>
      </c>
      <c r="K152" s="42" t="e">
        <f>M152*mai</f>
        <v>#DIV/0!</v>
      </c>
      <c r="L152" s="42" t="e">
        <f>1/(VE*((IF(mb=1,SUM(AC152:AN152),IF(mb=2,SUM(AD152:AN152),IF(mb=3,SUM(AE152:AN152),IF(mb=4,SUM(AF152:AN152),IF(mb=5,SUM(AG152:AN152),IF(mb=6,SUM(AH152:AN152),IF(mb=7,SUM(AI152:AN152),IF(mb=8,SUM(AJ152:AN152),0))))))))+(IF(mb=1,SUM(AC152:AN152),IF(mb=2,SUM(AD152:AN152),IF(mb=3,SUM(AE152:AN152),IF(mb=4,SUM(AF152:AN152),IF(mb=5,SUM(AG152:AN152),IF(mb=6,SUM(AH152:AN152),IF(mb=7,SUM(AI152:AN152),IF(mb=8,SUM(AJ152:AN152),0)))))))))/hnh)*mai)/TP)</f>
        <v>#DIV/0!</v>
      </c>
      <c r="M152" s="42" t="e">
        <f>G152+I152</f>
        <v>#DIV/0!</v>
      </c>
      <c r="N152" s="42" t="e">
        <f>1/(VE*(IF(mb=1,SUM(AC152:AN152),IF(mb=2,SUM(AD152:AN152),IF(mb=3,SUM(AE152:AN152),IF(mb=4,SUM(AF152:AN152),IF(mb=5,SUM(AG152:AN152),IF(mb=6,SUM(AH152:AN152),IF(mb=7,SUM(AI152:AN152),IF(mb=8,SUM(AJ152:AN152),0))))))))+(IF(mb=1,SUM(AC152:AN152),IF(mb=2,SUM(AD152:AN152),IF(mb=3,SUM(AE152:AN152),IF(mb=4,SUM(AF152:AN152),IF(mb=5,SUM(AG152:AN152),IF(mb=6,SUM(AH152:AN152),IF(mb=7,SUM(AI152:AN152),IF(mb=8,SUM(AJ152:AN152),0)))))))))/hnh)/TP)</f>
        <v>#DIV/0!</v>
      </c>
      <c r="Q152" s="86" t="e">
        <f>IF(ISc=1,nh1_1,IF(ISc=2,H_1*hnh,0))</f>
        <v>#DIV/0!</v>
      </c>
      <c r="R152" s="111" t="e">
        <f>IF(ScI=1,((nh1_2/(TP-(nh1_1/hnh)-nh1_1))*(TP-(nh1_1/hnh)-nh1_1-(TP*TCv_2*tCo2_1*VE))),IF(ScI=2,(TP-H_1-(H_1*hnh)-(TP*TCv_2*tCo2_1*VE))*(H_2*hnh/(TP-H_1-(H_1*hnh))),"fal"))</f>
        <v>#DIV/0!</v>
      </c>
      <c r="S152" s="137" t="e">
        <f>IF(ScI=1,(nh1_3/(TP-((nh1_1+nh1_2)/hnh)-nh1_1-nh1_2))*(TP-(nh1_1/hnh)-(R152/hnh)-nh1_1-R152-(TP*VE*(TCv_2*tCo2_1+TCv_2*tCo2_2))),IF(ScI=2,(TP-H_1-((TP-H_1-(H_1*hnh)-(TP*TCv_2*tCo2_1*VE))*H_2/(TP-H_1-(H_1*hnh)))-(H_1*hnh)-((TP-H_1-(H_1*hnh)-(TP*TCv_2*tCo2_1*VE))*H_2*hnh/(TP-H_1-(H_1*hnh)))-(TP*TCv_2*tCo2_1*VE)-(TP*TCv_2*tCo2_2*VE))*(H_3*hnh/(TP-H_1-H_2-(hnh*(H_1+H_2)))),0))</f>
        <v>#DIV/0!</v>
      </c>
      <c r="T152" s="86" t="e">
        <f>IF(ScI=1,(nh1_4/(TP-(nh1_1/hnh)-(nh1_2/hnh)-(nh1_3/hnh)-nh1_1-nh1_2-nh1_3))*(TP-(nh1_1/hnh)-(R152/hnh)-(S152/hnh)-nh1_1-R152-S152-(TP*VE*(TCv_2*tCo2_1+TCv_2*tCo2_2+TCv_2*tCo2_3))),IF(ScI=2,(TP-H_1-((TP-H_1-(H_1*hnh)-(TP*TCv_2*tCo2_1*VE))*H_2/(TP-H_1-(H_1*hnh)))-((TP-H_1-(((TP-H_1-(H_1*hnh)-(TP*TCv_2*tCo2_1*VE))*H_2/(TP-H_1-(H_1*hnh))))-(H_1*hnh)-((TP-H_1-(H_1*hnh)-(TP*TCv_2*tCo2_1*VE))*H_2*hnh/(TP-H_1-(H_1*hnh)))-(TP*TCv_2*tCo2_1*VE)-(TP*TCv_2*tCo2_2*VE))*(H_3/(TP-H_1-H_2-(hnh*(H_1+H_2)))))-(H_1*hnh)-((TP-H_1-(H_1*hnh)-(TP*TCv_2*tCo2_1*VE))*H_2*hnh/(TP-H_1-(H_1*hnh)))-((TP-H_1-(((TP-H_1-(H_1*hnh)-(TP*TCv_2*tCo2_1*VE))*H_2/(TP-H_1-(H_1*hnh))))-(H_1*hnh)-(((TP-H_1-(H_1*hnh)-(TP*TCv_2*tCo2_1*VE))*H_2*hnh/(TP-H_1-(H_1*hnh))))-(TP*TCv_2*tCo2_1*VE)-(TP*TCv_2*tCo2_2*VE))*(H_3*hnh/(TP-H_1-H_2-(hnh*(H_1+H_2)))))-(TP*TCv_2*tCo2_1*VE)-(TP*TCv_2*tCo2_2*VE)-(TP*TCv_2*tCo2_3*VE))*(H_4*hnh/(TP-H_1-H_2-H_3-(hnh*(H_1+H_2+H_3)))),0))</f>
        <v>#DIV/0!</v>
      </c>
      <c r="U152" s="86" t="e">
        <f>IF(ScI=1,(nh1_5/(TP-(nh1_1/hnh)-(nh1_2/hnh)-(nh1_3/hnh)-(nh1_4/hnh)-nh1_1-nh1_2-nh1_3-nh1_4))*(TP-(nh1_1/hnh)-(R152/hnh)-(S152/hnh)-(T152/hnh)-nh1_1-R152-S152-T152-(TP*VE*(TCv_2*tCo2_1+TCv_2*tCo2_2+TCv_2*tCo2_3+TCv_2*tCo2_4))),IF(ScI=2,(TP-H_1-(((TP-H_1-(H_1*hnh)-(TP*TCv_2*tCo2_1*VE))*H_2/(TP-H_1-(H_1*hnh))))-AP151-AQ151-(H_1*hnh)-((TP-H_1-(H_1*hnh)-(TP*TCv_2*tCo2_1*VE))*H_2*hnh/(TP-H_1-(H_1*hnh)))-AP153-AQ153-(TP*TCv_2*tCo2_1*VE)-(TP*TCv_2*tCo2_2*VE)-(TP*TCv_2*tCo2_3*VE)-(TP*TCv_2*tCo2_4*VE))*(H_5*hnh/(TP-H_1-H_2-H_3-H_4-(hnh*(H_1+H_2+H_3+H_4)))),0))</f>
        <v>#DIV/0!</v>
      </c>
      <c r="V152" s="86" t="e">
        <f>IF(ScI=1,(nh1_6/(TP-(nh1_1/hnh)-(nh1_2/hnh)-(nh1_3/hnh)-(nh1_4/hnh)-(nh1_5/hnh)-nh1_1-nh1_2-nh1_3-nh1_4-nh1_5))*(TP-(nh1_1/hnh)-(R152/hnh)-(S152/hnh)-(T152/hnh)-(U152/hnh)-nh1_1-R152-S152-T152-U152-(TP*VE*(TCv_2*tCo2_1+TCv_2*tCo2_2+TCv_2*tCo2_3+TCv_2*tCo2_4+TCv_2*tCo2_5))),IF(ScI=2,(TP-H_1-((TP-H_1-(H_1*hnh)-(TP*TCv_2*tCo2_1*VE))*H_2/(TP-H_1-(H_1*hnh)))-AP151-AQ151-AR151-(H_1*hnh)-((TP-H_1-(H_1*hnh)-(TP*TCv_2*tCo2_1*VE))*H_2*hnh/(TP-H_1-(H_1*hnh)))-AP153-AQ153-AR153-(TP*TCv_2*tCo2_1*VE)-(TP*TCv_2*tCo2_2*VE)-(TP*TCv_2*tCo2_3*VE)-(TP*TCv_2*tCo2_4*VE)-(TP*TCv_2*tCo2_5*VE))*(H_6*hnh/(TP-H_1-H_2-H_3-H_4-H_5-(hnh*(H_1+H_2+H_3+H_4+H_5)))),0))</f>
        <v>#DIV/0!</v>
      </c>
      <c r="W152" s="86" t="e">
        <f>IF(ScI=1,(nh1_7/(TP-(nh1_1/hnh)-(nh1_2/hnh)-(nh1_3/hnh)-(nh1_4/hnh)-(nh1_5/hnh)-(nh1_6/hnh)-nh1_1-nh1_2-nh1_3-nh1_4-nh1_5-nh1_6))*(TP-(nh1_1/hnh)-(R152/hnh)-(S152/hnh)-(T152/hnh)-(U152/hnh)-(V152/hnh)-nh1_1-R152-S152-T152-U152-V152-(TP*VE*(TCv_2*tCo2_1+TCv_2*tCo2_2+TCv_2*tCo2_3+TCv_2*tCo2_4+TCv_2*tCo2_5+TCv_2*tCo2_6))),IF(ScI=2,(TP-H_1-((TP-H_1-(H_1*hnh)-(TP*TCv_2*tCo2_1*VE))*H_2/(TP-H_1-(H_1*hnh)))-AP151-AQ151-AR151-AS151-(H_1*hnh)-((TP-H_1-(H_1*hnh)-(TP*TCv_2*tCo2_1*VE))*H_2*hnh/(TP-H_1-(H_1*hnh)))-AP153-AQ153-AR153-AS153-(TP*TCv_2*tCo2_1*VE)-(TP*TCv_2*tCo2_2*VE)-(TP*TCv_2*tCo2_3*VE)-(TP*TCv_2*tCo2_4*VE)-(TP*TCv_2*tCo2_5*VE)-(TP*TCv_2*tCo2_6*VE))*(H_7*hnh/(TP-H_1-H_2-H_3-H_4-H_5-H_6-(hnh*(H_1+H_2+H_3+H_4+H_5+H_6)))),0))</f>
        <v>#DIV/0!</v>
      </c>
      <c r="X152" s="86" t="e">
        <f>IF(ScI=1,(nh1_8/(TP-(nh1_1/hnh)-(nh1_2/hnh)-(nh1_3/hnh)-(nh1_4/hnh)-(nh1_5/hnh)-(nh1_6/hnh)-(nh1_7/hnh)-nh1_1-nh1_2-nh1_3-nh1_4-nh1_5-nh1_6-nh1_7))*(TP-(nh1_1/hnh)-(R152/hnh)-(S152/hnh)-(T152/hnh)-(U152/hnh)-(V152/hnh)-(W152/hnh)-nh1_1-R152-S152-T152-U152-V152-W152-(TP*VE*(TCv_2*tCo2_1+TCv_2*tCo2_2+TCv_2*tCo2_3+TCv_2*tCo2_4+TCv_2*tCo2_5+TCv_2*tCo2_6+TCv_2*tCo2_7))),IF(ScI=2,(TP-H_1-((TP-H_1-(H_1*hnh)-(TP*TCv_2*tCo2_1*VE))*H_2/(TP-H_1-(H_1*hnh)))-AP151-AQ151-AR151-AS151-AT151-(H_1*hnh)-((TP-H_1-(H_1*hnh)-(TP*TCv_2*tCo2_1*VE))*H_2*hnh/(TP-H_1-(H_1*hnh)))-AP153-AQ153-AR153-AS153-AT153-(TP*TCv_2*tCo2_1*VE)-(TP*TCv_2*tCo2_2*VE)-(TP*TCv_2*tCo2_3*VE)-(TP*TCv_2*tCo2_4*VE)-(TP*TCv_2*tCo2_5*VE)-(TP*TCv_2*tCo2_6*VE)-(TP*TCv_2*tCo2_7*VE))*(H_8*hnh/(TP-H_1-H_2-H_3-H_4-H_5-H_6-H_7-(hnh*(H_1+H_2+H_3+H_4+H_5+H_6+H_7)))),0))</f>
        <v>#DIV/0!</v>
      </c>
      <c r="Y152" s="86" t="e">
        <f>IF(ScI=1,(nh1_9/(TP-(nh1_1/hnh)-(nh1_2/hnh)-(nh1_3/hnh)-(nh1_4/hnh)-(nh1_5/hnh)-(nh1_6/hnh)-(nh1_7/hnh)-(nh1_8/hnh)-nh1_1-nh1_2-nh1_3-nh1_4-nh1_5-nh1_6-nh1_7-nh1_8))*(TP-(nh1_1/hnh)-(R152/hnh)-(S152/hnh)-(T152/hnh)-(U152/hnh)-(V152/hnh)-(W152/hnh)-(X152/hnh)-nh1_1-R152-S152-T152-U152-V152-W152-X152-(TP*VE*(TCv_2*tCo2_1+TCv_2*tCo2_2+TCv_2*tCo2_3+TCv_2*tCo2_4+TCv_2*tCo2_5+TCv_2*tCo2_6+TCv_2*tCo2_7+TCv_2*tCo2_8))),IF(ScI=2,(TP-H_1-((TP-H_1-(H_1*hnh)-(TP*TCv_2*tCo2_1*VE))*H_2/(TP-H_1-(H_1*hnh)))-AP151-AQ151-AR151-AS151-AT151-AU151-(H_1*hnh)-((TP-H_1-(H_1*hnh)-(TP*TCv_2*tCo2_1*VE))*H_2*hnh/(TP-H_1-(H_1*hnh)))-AP153-AQ153-AR153-AS153-AT153-AU153-(TP*TCv_2*tCo2_1*VE)-(TP*TCv_2*tCo2_2*VE)-(TP*TCv_2*tCo2_3*VE)-(TP*TCv_2*tCo2_4*VE)-(TP*TCv_2*tCo2_5*VE)-(TP*TCv_2*tCo2_6*VE)-(TP*TCv_2*tCo2_7*VE)-(TP*TCv_2*tCo2_8*VE))*(H_9*hnh/(TP-H_1-H_2-H_3-H_4-H_5-H_6-H_7-H_8-(hnh*(H_1+H_2+H_3+H_4+H_5+H_6+H_7+H_8)))),0))</f>
        <v>#DIV/0!</v>
      </c>
      <c r="Z152" s="86" t="e">
        <f>IF(ScI=1,(nh1_10/(TP-(nh1_1/hnh)-(nh1_2/hnh)-(nh1_3/hnh)-(nh1_4/hnh)-(nh1_5/hnh)-(nh1_6/hnh)-(nh1_7/hnh)-(nh1_8/hnh)-(nh1_9/hnh)-nh1_1-nh1_2-nh1_3-nh1_4-nh1_5-nh1_6-nh1_7-nh1_8-nh1_9))*(TP-(nh1_1/hnh)-(R152/hnh)-(S152/hnh)-(T152/hnh)-(U152/hnh)-(V152/hnh)-(W152/hnh)-(X152/hnh)-(Y152/hnh)-nh1_1-R152-S152-T152-U152-V152-W152-X152-Y152-(TP*VE*(TCv_2*tCo2_1+TCv_2*tCo2_2+TCv_2*tCo2_3+TCv_2*tCo2_4+TCv_2*tCo2_5+TCv_2*tCo2_6+TCv_2*tCo2_7+TCv_2*tCo2_8+TCv_2*tCo2_9))),IF(ScI=2,(TP-H_1-((TP-H_1-(H_1*hnh)-(TP*TCv_2*tCo2_1*VE))*H_2/(TP-H_1-(H_1*hnh)))-AP151-AQ151-AR151-AS151-AT151-AU151-AV151-(H_1*hnh)-((TP-H_1-(H_1*hnh)-(TP*TCv_2*tCo2_1*VE))*H_2*hnh/(TP-H_1-(H_1*hnh)))-AP153-AQ153-AR153-AS153-AT153-AU153-AV153-(TP*TCv_2*tCo2_1*VE)-(TP*TCv_2*tCo2_2*VE)-(TP*TCv_2*tCo2_3*VE)-(TP*TCv_2*tCo2_4*VE)-(TP*TCv_2*tCo2_5*VE)-(TP*TCv_2*tCo2_6*VE)-(TP*TCv_2*tCo2_7*VE)-(TP*TCv_2*tCo2_8*VE)-(TP*TCv_2*tCo2_9*VE))*(H_10*hnh/(TP-H_1-H_2-H_3-H_4-H_5-H_6-H_7-H_8-H_9-(hnh*(H_1+H_2+H_3+H_4+H_5+H_6+H_7+H_8+H_9)))),0))</f>
        <v>#DIV/0!</v>
      </c>
      <c r="AA152" s="86" t="e">
        <f>IF(ScI=1,(nh1_11/(TP-(nh1_1/hnh)-(nh1_2/hnh)-(nh1_3/hnh)-(nh1_4/hnh)-(nh1_5/hnh)-(nh1_6/hnh)-(nh1_7/hnh)-(nh1_8/hnh)-(nh1_9/hnh)-(nh1_10/hnh)-nh1_1-nh1_2-nh1_3-nh1_4-nh1_5-nh1_6-nh1_7-nh1_8-nh1_9-nh1_10))*(TP-(nh1_1/hnh)-(R152/hnh)-(S152/hnh)-(T152/hnh)-(U152/hnh)-(V152/hnh)-(W152/hnh)-(X152/hnh)-(Y152/hnh)-(Z152/hnh)-nh1_1-R152-S152-T152-U152-V152-W152-X152-Y152-Z152-(TP*VE*(TCv_2*tCo2_1+TCv_2*tCo2_2+TCv_2*tCo2_3+TCv_2*tCo2_4+TCv_2*tCo2_5+TCv_2*tCo2_6+TCv_2*tCo2_7+TCv_2*tCo2_8+TCv_2*tCo2_9+TCv_2*tCo2_10))),IF(ScI=2,(TP-H_1-((TP-H_1-(H_1*hnh)-(TP*TCv_2*tCo2_1*VE))*H_2/(TP-H_1-(H_1*hnh)))-AP151-AQ151-AR151-AS151-AT151-AU151-AV151-AW151-(H_1*hnh)-((TP-H_1-(H_1*hnh)-(TP*TCv_2*tCo2_1*VE))*H_2*hnh/(TP-H_1-(H_1*hnh)))-AP153-AQ153-AR153-AS153-AT153-AU153-AV153-AW153-(TP*TCv_2*tCo2_1*VE)-(TP*TCv_2*tCo2_2*VE)-(TP*TCv_2*tCo2_3*VE)-(TP*TCv_2*tCo2_4*VE)-(TP*TCv_2*tCo2_5*VE)-(TP*TCv_2*tCo2_6*VE)-(TP*TCv_2*tCo2_7*VE)-(TP*TCv_2*tCo2_8*VE)-(TP*TCv_2*tCo2_9*VE)-(TP*TCv_2*tCo2_10*VE))*(H_11*hnh/(TP-H_1-H_2-H_3-H_4-H_5-H_6-H_7-H_8-H_9-H_10-(hnh*(H_1+H_2+H_3+H_4+H_5+H_6+H_7+H_8+H_9+H_10)))),0))</f>
        <v>#DIV/0!</v>
      </c>
      <c r="AB152" s="86" t="e">
        <f>IF(ScI=1,(nh1_12/(TP-(nh1_1/hnh)-(nh1_2/hnh)-(nh1_3/hnh)-(nh1_4/hnh)-(nh1_5/hnh)-(nh1_6/hnh)-(nh1_7/hnh)-(nh1_8/hnh)-(nh1_9/hnh)-(nh1_10/hnh)-(nh1_11/hnh)-nh1_1-nh1_2-nh1_3-nh1_4-nh1_5-nh1_6-nh1_7-nh1_8-nh1_9-nh1_10-nh1_11))*(TP-(nh1_1/hnh)-(R152/hnh)-(S152/hnh)-(T152/hnh)-(U152/hnh)-(V152/hnh)-(W152/hnh)-(X152/hnh)-(Y152/hnh)-(Z152/hnh)-(AA152/hnh)-nh1_1-R152-S152-T152-U152-V152-W152-X152-Y152-Z152-AA152-(TP*VE*(TCv_2*tCo2_1+TCv_2*tCo2_2+TCv_2*tCo2_3+TCv_2*tCo2_4+TCv_2*tCo2_5+TCv_2*tCo2_6+TCv_2*tCo2_7+TCv_2*tCo2_8+TCv_2*tCo2_9+TCv_2*tCo2_10+TCv_2*tCo2_11))),IF(ScI=2,(TP-H_1-((TP-H_1-(H_1*hnh)-(TP*TCv_2*tCo2_1*VE))*H_2/(TP-H_1-(H_1*hnh)))-AP151-AQ151-AR151-AS151-AT151-AU151-AV151-AW151-AX151-(H_1*hnh)-((TP-H_1-(H_1*hnh)-(TP*TCv_2*tCo2_1*VE))*H_2*hnh/(TP-H_1-(H_1*hnh)))-AP153-AQ153-AR153-AS153-AT153-AU153-AV153-AW153-AX153-(TP*TCv_2*tCo2_1*VE)-(TP*TCv_2*tCo2_2*VE)-(TP*TCv_2*tCo2_3*VE)-(TP*TCv_2*tCo2_4*VE)-(TP*TCv_2*tCo2_5*VE)-(TP*TCv_2*tCo2_6*VE)-(TP*TCv_2*tCo2_7*VE)-(TP*TCv_2*tCo2_8*VE)-(TP*TCv_2*tCo2_9*VE)-(TP*TCv_2*tCo2_10*VE)-(TP*TCv_2*tCo2_11*VE))*(H_12*hnh/(TP-H_1-H_2-H_3-H_4-H_5-H_6-H_7-H_8-H_9-H_10-H_11-(hnh*(H_1+H_2+H_3+H_4+H_5+H_6+H_7+H_8+H_9+H_10+H_11)))),0))</f>
        <v>#DIV/0!</v>
      </c>
      <c r="AC152" s="88">
        <f>IF(ScI=1,H_1*hnh,IF(ScI=2,H_1*hnh,0))</f>
        <v>0</v>
      </c>
      <c r="AD152" s="88" t="e">
        <f>IF(ScI=1,(TP-H_1-(H_1*hnh))*H_2*hnh/(TP-H_1-(H_1*hnh)-(TP*TCv_2*tCo2_1*VE)),IF(ScI=2,H_2*hnh,0))</f>
        <v>#DIV/0!</v>
      </c>
      <c r="AE152" s="88" t="e">
        <f>IF(ScI=1,(TP-H_1-((TP-H_1-(H_1*hnh))*H_2/(TP-H_1-(H_1*hnh)-(TP*TCv_2*tCo2_1*VE)))-(H_1*hnh)-((TP-H_1-(H_1*hnh))*H_2*hnh/(TP-H_1-(H_1*hnh)-(TP*TCv_2*tCo2_1*VE))))*H_3*hnh/(TP-H_1-H_2-(hnh*(H_1+H_2))-(TP*VE*(TCv_2*tCo2_1+TCv_2*tCo2_2))),IF(ScI=2,H_3*hnh,0))</f>
        <v>#DIV/0!</v>
      </c>
      <c r="AF152" s="88" t="e">
        <f>IF(ScI=1,(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IF(ScI=2,H_4*hnh,0))</f>
        <v>#DIV/0!</v>
      </c>
      <c r="AG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H_5*hnh/(TP-H_1-H_2-H_3-H_4-(hnh*(H_1+H_2+H_3+H_4))-(TP*VE*(TCv_2*tCo2_1+TCv_2*tCo2_2+TCv_2*tCo2_3+TCv_2*tCo2_4))),IF(ScI=2,H_5*hnh,0))</f>
        <v>#DIV/0!</v>
      </c>
      <c r="AH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H_6*hnh/(TP-H_1-H_2-H_3-H_4-H_5-(hnh*(H_1+H_2+H_3+H_4+H_5))-(TP*VE*(TCv_2*tCo2_1+TCv_2*tCo2_2+TCv_2*tCo2_3+TCv_2*tCo2_4+TCv_2*tCo2_5))),IF(ScI=2,H_6*hnh,0))</f>
        <v>#DIV/0!</v>
      </c>
      <c r="AI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H_7*hnh/(TP-H_1-H_2-H_3-H_4-H_5-H_6-(hnh*(H_1+H_2+H_3+H_4+H_5+H_6))-(TP*VE*(TCv_2*tCo2_1+TCv_2*tCo2_2+TCv_2*tCo2_3+TCv_2*tCo2_4+TCv_2*tCo2_5+TCv_2*tCo2_6))),IF(ScI=2,H_7*hnh,0))</f>
        <v>#DIV/0!</v>
      </c>
      <c r="AJ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H_8*hnh/(TP-H_1-H_2-H_3-H_4-H_5-H_6-H_7-(hnh*(H_1+H_2+H_3+H_4+H_5+H_6+H_7))-(TP*VE*(TCv_2*tCo2_1+TCv_2*tCo2_2+TCv_2*tCo2_3+TCv_2*tCo2_4+TCv_2*tCo2_5+TCv_2*tCo2_6+TCv_2*tCo2_7))),IF(ScI=2,H_8*hnh,0))</f>
        <v>#DIV/0!</v>
      </c>
      <c r="AK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H_9*hnh/(TP-H_1-H_2-H_3-H_4-H_5-H_6-H_7-H_8-(hnh*(H_1+H_2+H_3+H_4+H_5+H_6+H_7+H_8))-(TP*VE*(TCv_2*tCo2_1+TCv_2*tCo2_2+TCv_2*tCo2_3+TCv_2*tCo2_4+TCv_2*tCo2_5+TCv_2*tCo2_6+TCv_2*tCo2_7+TCv_2*tCo2_8))),IF(ScI=2,H_9*hnh,0))</f>
        <v>#DIV/0!</v>
      </c>
      <c r="AL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H_10*hnh/(TP-H_1-H_2-H_3-H_4-H_5-H_6-H_7-H_8-H_9-(hnh*(H_1+H_2+H_3+H_4+H_5+H_6+H_7+H_8+H_9))-(TP*VE*(TCv_2*tCo2_1+TCv_2*tCo2_2+TCv_2*tCo2_3+TCv_2*tCo2_4+TCv_2*tCo2_5+TCv_2*tCo2_6+TCv_2*tCo2_7+TCv_2*tCo2_8+TCv_2*tCo2_9))),IF(ScI=2,H_10*hnh,0))</f>
        <v>#DIV/0!</v>
      </c>
      <c r="AM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H_11*hnh/(TP-H_1-H_2-H_3-H_4-H_5-H_6-H_7-H_8-H_9-H_10-(hnh*(H_1+H_2+H_3+H_4+H_5+H_6+H_7+H_8+H_9+H_10))-(TP*VE*(TCv_2*tCo2_1+TCv_2*tCo2_2+TCv_2*tCo2_3+TCv_2*tCo2_4+TCv_2*tCo2_5+TCv_2*tCo2_6+TCv_2*tCo2_7+TCv_2*tCo2_8+TCv_2*tCo2_9+TCv_2*tCo2_10))),IF(ScI=2,H_11*hnh,0))</f>
        <v>#DIV/0!</v>
      </c>
      <c r="AN152" s="88" t="e">
        <f>IF(ScI=1,(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BF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BF153)*H_12*hnh/(TP-H_1-H_2-H_3-H_4-H_5-H_6-H_7-H_8-H_9-H_10-H_11-(hnh*(H_1+H_2+H_3+H_4+H_5+H_6+H_7+H_8+H_9+H_10+H_11))-(TP*VE*(TCv_2*tCo2_1+TCv_2*tCo2_2+TCv_2*tCo2_3+TCv_2*tCo2_4+TCv_2*tCo2_5+TCv_2*tCo2_6+TCv_2*tCo2_7+TCv_2*tCo2_8+TCv_2*tCo2_9+TCv_2*tCo2_10+TCv_2*tCo2_11))),IF(ScI=2,H_12*hnh,0))</f>
        <v>#DIV/0!</v>
      </c>
      <c r="AP152" s="103" t="s">
        <v>82</v>
      </c>
      <c r="AQ152" s="103" t="s">
        <v>83</v>
      </c>
      <c r="AR152" s="103" t="s">
        <v>84</v>
      </c>
      <c r="AS152" s="103" t="s">
        <v>85</v>
      </c>
      <c r="AT152" s="103" t="s">
        <v>86</v>
      </c>
      <c r="AU152" s="103" t="s">
        <v>87</v>
      </c>
      <c r="AV152" s="103" t="s">
        <v>88</v>
      </c>
      <c r="AW152" s="103" t="s">
        <v>89</v>
      </c>
      <c r="AX152" s="103" t="s">
        <v>90</v>
      </c>
      <c r="AZ152" s="103" t="s">
        <v>106</v>
      </c>
      <c r="BA152" s="103" t="s">
        <v>92</v>
      </c>
      <c r="BB152" s="103" t="s">
        <v>98</v>
      </c>
      <c r="BC152" s="103" t="s">
        <v>99</v>
      </c>
      <c r="BD152" s="103" t="s">
        <v>100</v>
      </c>
      <c r="BE152" s="103" t="s">
        <v>101</v>
      </c>
      <c r="BF152" s="103" t="s">
        <v>102</v>
      </c>
    </row>
    <row r="153" spans="1:58" hidden="1" outlineLevel="1" x14ac:dyDescent="0.25">
      <c r="F153" s="113"/>
      <c r="G153" s="31"/>
      <c r="H153" s="31"/>
      <c r="I153" s="31"/>
      <c r="J153" s="31"/>
      <c r="K153" s="31"/>
      <c r="L153" s="31"/>
      <c r="M153" s="31"/>
      <c r="N153" s="31"/>
      <c r="Q153" s="31"/>
      <c r="R153" s="97"/>
      <c r="S153" s="97"/>
      <c r="T153" s="97"/>
      <c r="U153" s="97"/>
      <c r="V153" s="97"/>
      <c r="W153" s="97"/>
      <c r="X153" s="97"/>
      <c r="Y153" s="97"/>
      <c r="Z153" s="97"/>
      <c r="AA153" s="97"/>
      <c r="AB153" s="97"/>
      <c r="AC153" s="98"/>
      <c r="AD153" s="98"/>
      <c r="AE153" s="98"/>
      <c r="AF153" s="98"/>
      <c r="AG153" s="98"/>
      <c r="AH153" s="98"/>
      <c r="AI153" s="98"/>
      <c r="AJ153" s="98"/>
      <c r="AK153" s="98"/>
      <c r="AL153" s="98"/>
      <c r="AM153" s="98"/>
      <c r="AN153" s="98"/>
      <c r="AP153" s="103" t="e">
        <f>((TP-H_1-((TP-H_1-(H_1*hnh)-(TP*TCv_2*tCo2_1*VE))*H_2/(TP-H_1-(H_1*hnh)))-(H_1*hnh)-((TP-H_1-(H_1*hnh)-(TP*TCv_2*tCo2_1*VE))*H_2*hnh/(TP-H_1-(H_1*hnh)))-(TP*TCv_2*tCo2_1*VE)-(TP*TCv_2*tCo2_2*VE))*(H_3*hnh/(TP-H_1-H_2-(hnh*(H_1+H_2)))))</f>
        <v>#DIV/0!</v>
      </c>
      <c r="AQ153" s="103" t="e">
        <f>(TP-H_1-((TP-H_1-(H_1*hnh)-(TP*TCv_2*tCo2_1*VE))*H_2/(TP-H_1-(H_1*hnh)))-AP151-(H_1*hnh)-((TP-H_1-(H_1*hnh)-(TP*TCv_2*tCo2_1*VE))*H_2*hnh/(TP-H_1-(H_1*hnh)))-AP153-(TP*TCv_2*tCo2_1*VE)-(TP*TCv_2*tCo2_2*VE)-(TP*TCv_2*tCo2_3*VE))*(H_4*hnh/(TP-H_1-H_2-H_3-(hnh*(H_1+H_2+H_3))))</f>
        <v>#DIV/0!</v>
      </c>
      <c r="AR153" s="103" t="e">
        <f>(TP-H_1-((TP-H_1-(H_1*hnh)-(TP*TCv_2*tCo2_1*VE))*H_2/(TP-H_1-(H_1*hnh)))-AP151-AQ151-(H_1*hnh)-((TP-H_1-(H_1*hnh)-(TP*TCv_2*tCo2_1*VE))*H_2*hnh/(TP-H_1-(H_1*hnh)))-AP153-AQ153-(TP*TCv_2*tCo2_1*VE)-(TP*TCv_2*tCo2_2*VE)-(TP*TCv_2*tCo2_3*VE)-(TP*TCv_2*tCo2_4*VE))*(H_5*hnh/(TP-H_1-H_2-H_3-H_4-(hnh*(H_1+H_2+H_3+H_4))))</f>
        <v>#DIV/0!</v>
      </c>
      <c r="AS153" s="103" t="e">
        <f>(TP-H_1-((TP-H_1-(H_1*hnh)-(TP*TCv_2*tCo2_1*VE))*H_2/(TP-H_1-(H_1*hnh)))-AP151-AQ151-AR151-(H_1*hnh)-((TP-H_1-(H_1*hnh)-(TP*TCv_2*tCo2_1*VE))*H_2*hnh/(TP-H_1-(H_1*hnh)))-AP153-AQ153-AR153-(TP*TCv_2*tCo2_1*VE)-(TP*TCv_2*tCo2_2*VE)-(TP*TCv_2*tCo2_3*VE)-(TP*TCv_2*tCo2_4*VE)-(TP*TCv_2*tCo2_5*VE))*(H_6*hnh/(TP-H_1-H_2-H_3-H_4-H_5-(hnh*(H_1+H_2+H_3+H_4+H_5))))</f>
        <v>#DIV/0!</v>
      </c>
      <c r="AT153" s="103" t="e">
        <f>(TP-H_1-((TP-H_1-(H_1*hnh)-(TP*TCv_2*tCo2_1*VE))*H_2/(TP-H_1-(H_1*hnh)))-AP151-AQ151-AR151-AS151-(H_1*hnh)-((TP-H_1-(H_1*hnh)-(TP*TCv_2*tCo2_1*VE))*H_2*hnh/(TP-H_1-(H_1*hnh)))-AP153-AQ153-AR153-AS153-(TP*TCv_2*tCo2_1*VE)-(TP*TCv_2*tCo2_2*VE)-(TP*TCv_2*tCo2_3*VE)-(TP*TCv_2*tCo2_4*VE)-(TP*TCv_2*tCo2_5*VE)-(TP*TCv_2*tCo2_6*VE))*(H_7*hnh/(TP-H_1-H_2-H_3-H_4-H_5-H_6-(hnh*(H_1+H_2+H_3+H_4+H_5+H_6))))</f>
        <v>#DIV/0!</v>
      </c>
      <c r="AU153" s="103" t="e">
        <f>(TP-H_1-((TP-H_1-(H_1*hnh)-(TP*TCv_2*tCo2_1*VE))*H_2/(TP-H_1-(H_1*hnh)))-AP151-AQ151-AR151-AS151-AT151-(H_1*hnh)-((TP-H_1-(H_1*hnh)-(TP*TCv_2*tCo2_1*VE))*H_2*hnh/(TP-H_1-(H_1*hnh)))-AP153-AQ153-AR153-AS153-AT153-(TP*TCv_2*tCo2_1*VE)-(TP*TCv_2*tCo2_2*VE)-(TP*TCv_2*tCo2_3*VE)-(TP*TCv_2*tCo2_4*VE)-(TP*TCv_2*tCo2_5*VE)-(TP*TCv_2*tCo2_6*VE)-(TP*TCv_2*tCo2_7*VE))*(H_8*hnh/(TP-H_1-H_2-H_3-H_4-H_5-H_6-H_7-(hnh*(H_1+H_2+H_3+H_4+H_5+H_6+H_7))))</f>
        <v>#DIV/0!</v>
      </c>
      <c r="AV153" s="103" t="e">
        <f>(TP-H_1-((TP-H_1-(H_1*hnh)-(TP*TCv_2*tCo2_1*VE))*H_2/(TP-H_1-(H_1*hnh)))-AP151-AQ151-AR151-AS151-AT151-AU151-(H_1*hnh)-((TP-H_1-(H_1*hnh)-(TP*TCv_2*tCo2_1*VE))*H_2*hnh/(TP-H_1-(H_1*hnh)))-AP153-AQ153-AR153-AS153-AT153-AU153-(TP*TCv_2*tCo2_1*VE)-(TP*TCv_2*tCo2_2*VE)-(TP*TCv_2*tCo2_3*VE)-(TP*TCv_2*tCo2_4*VE)-(TP*TCv_2*tCo2_5*VE)-(TP*TCv_2*tCo2_6*VE)-(TP*TCv_2*tCo2_7*VE)-(TP*TCv_2*tCo2_8*VE))*(H_9*hnh/(TP-H_1-H_2-H_3-H_4-H_5-H_6-H_7-H_8-(hnh*(H_1+H_2+H_3+H_4+H_5+H_6+H_7+H_8))))</f>
        <v>#DIV/0!</v>
      </c>
      <c r="AW153" s="103" t="e">
        <f>(TP-H_1-((TP-H_1-(H_1*hnh)-(TP*TCv_2*tCo2_1*VE))*H_2/(TP-H_1-(H_1*hnh)))-AP151-AQ151-AR151-AS151-AT151-AU151-AV151-(H_1*hnh)-((TP-H_1-(H_1*hnh)-(TP*TCv_2*tCo2_1*VE))*H_2*hnh/(TP-H_1-(H_1*hnh)))-AP153-AQ153-AR153-AS153-AT153-AU153-AV153-(TP*TCv_2*tCo2_1*VE)-(TP*TCv_2*tCo2_2*VE)-(TP*TCv_2*tCo2_3*VE)-(TP*TCv_2*tCo2_4*VE)-(TP*TCv_2*tCo2_5*VE)-(TP*TCv_2*tCo2_6*VE)-(TP*TCv_2*tCo2_7*VE)-(TP*TCv_2*tCo2_8*VE)-(TP*TCv_2*tCo2_9*VE))*(H_10*hnh/(TP-H_1-H_2-H_3-H_4-H_5-H_6-H_7-H_8-H_9-(hnh*(H_1+H_2+H_3+H_4+H_5+H_6+H_7+H_8+H_9))))</f>
        <v>#DIV/0!</v>
      </c>
      <c r="AX153" s="103" t="e">
        <f>(TP-H_1-((TP-H_1-(H_1*hnh)-(TP*TCv_2*tCo2_1*VE))*H_2/(TP-H_1-(H_1*hnh)))-AP151-AQ151-AR151-AS151-AT151-AU151-AV151-AW151-(H_1*hnh)-((TP-H_1-(H_1*hnh)-(TP*TCv_2*tCo2_1*VE))*H_2*hnh/(TP-H_1-(H_1*hnh)))-AP153-AQ153-AR153-AS153-AT153-AU153-AV153-AW153-(TP*TCv_2*tCo2_1*VE)-(TP*TCv_2*tCo2_2*VE)-(TP*TCv_2*tCo2_3*VE)-(TP*TCv_2*tCo2_4*VE)-(TP*TCv_2*tCo2_5*VE)-(TP*TCv_2*tCo2_6*VE)-(TP*TCv_2*tCo2_7*VE)-(TP*TCv_2*tCo2_8*VE)-(TP*TCv_2*tCo2_9*VE)-(TP*TCv_2*tCo2_10*VE))*(H_11*hnh/(TP-H_1-H_2-H_3-H_4-H_5-H_6-H_7-H_8-H_9-H_10-(hnh*(H_1+H_2+H_3+H_4+H_5+H_6+H_7+H_8+H_9+H_10))))</f>
        <v>#DIV/0!</v>
      </c>
      <c r="AZ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H_5*hnh/(TP-H_1-H_2-H_3-H_4-(hnh*(H_1+H_2+H_3+H_4))-(TP*VE*(TCv_2*tCo2_1+TCv_2*tCo2_2+TCv_2*tCo2_3+TCv_2*tCo2_4)))</f>
        <v>#DIV/0!</v>
      </c>
      <c r="BA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H_6*hnh/(TP-H_1-H_2-H_3-H_4-H_5-(hnh*(H_1+H_2+H_3+H_4+H_5))-(TP*VE*(TCv_2*tCo2_1+TCv_2*tCo2_2+TCv_2*tCo2_3+TCv_2*tCo2_4+TCv_2*tCo2_5)))</f>
        <v>#DIV/0!</v>
      </c>
      <c r="BB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H_7*hnh/(TP-H_1-H_2-H_3-H_4-H_5-H_6-(hnh*(H_1+H_2+H_3+H_4+H_5+H_6))-(TP*VE*(TCv_2*tCo2_1+TCv_2*tCo2_2+TCv_2*tCo2_3+TCv_2*tCo2_4+TCv_2*tCo2_5+TCv_2*tCo2_6)))</f>
        <v>#DIV/0!</v>
      </c>
      <c r="BC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H_8*hnh/(TP-H_1-H_2-H_3-H_4-H_5-H_6-H_7-(hnh*(H_1+H_2+H_3+H_4+H_5+H_6+H_7))-(TP*VE*(TCv_2*tCo2_1+TCv_2*tCo2_2+TCv_2*tCo2_3+TCv_2*tCo2_4+TCv_2*tCo2_5+TCv_2*tCo2_6+TCv_2*tCo2_7)))</f>
        <v>#DIV/0!</v>
      </c>
      <c r="BD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H_9*hnh/(TP-H_1-H_2-H_3-H_4-H_5-H_6-H_7-H_8-(hnh*(H_1+H_2+H_3+H_4+H_5+H_6+H_7+H_8))-(TP*VE*(TCv_2*tCo2_1+TCv_2*tCo2_2+TCv_2*tCo2_3+TCv_2*tCo2_4+TCv_2*tCo2_5+TCv_2*tCo2_6+TCv_2*tCo2_7+TCv_2*tCo2_8)))</f>
        <v>#DIV/0!</v>
      </c>
      <c r="BE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H_10*hnh/(TP-H_1-H_2-H_3-H_4-H_5-H_6-H_7-H_8-H_9-(hnh*(H_1+H_2+H_3+H_4+H_5+H_6+H_7+H_8+H_9))-(TP*VE*(TCv_2*tCo2_1+TCv_2*tCo2_2+TCv_2*tCo2_3+TCv_2*tCo2_4+TCv_2*tCo2_5+TCv_2*tCo2_6+TCv_2*tCo2_7+TCv_2*tCo2_8+TCv_2*tCo2_9)))</f>
        <v>#DIV/0!</v>
      </c>
      <c r="BF153" s="103" t="e">
        <f>(TP-H_1-((TP-H_1-(H_1*hnh))*H_2/(TP-H_1-(H_1*hnh)-(TP*TCv_2*tCo2_1*VE)))-((TP-H_1-((TP-H_1-(H_1*hnh))*H_2/(TP-H_1-(H_1*hnh)-(TP*TCv_2*tCo2_1*VE)))-(H_1*hnh)-((TP-H_1-(H_1*hnh))*H_2*hnh/(TP-H_1-(H_1*hnh)-(TP*TCv_2*tCo2_1*VE))))*H_3/(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TP-H_1-H_2-H_3-(hnh*(H_1+H_2+H_3))-(TP*VE*(TCv_2*tCo2_1+TCv_2*tCo2_2+TCv_2*tCo2_3))))-AZ151-BA151-BB151-BC151-BD151-BE151-(H_1*hnh)-((TP-H_1-(H_1*hnh))*H_2*hnh/(TP-H_1-(H_1*hnh)-(TP*TCv_2*tCo2_1*VE)))-((TP-H_1-((TP-H_1-(H_1*hnh))*H_2/(TP-H_1-(H_1*hnh)-(TP*TCv_2*tCo2_1*VE)))-(H_1*hnh)-((TP-H_1-(H_1*hnh))*H_2*hnh/(TP-H_1-(H_1*hnh)-(TP*TCv_2*tCo2_1*VE))))*H_3*hnh/(TP-H_1-H_2-(hnh*(H_1+H_2))-(TP*VE*(TCv_2*tCo2_1+TCv_2*tCo2_2))))-((TP-H_1-((TP-H_1-(H_1*hnh))*H_2/(TP-H_1-(H_1*hnh)-(TP*TCv_2*tCo2_1*VE)))-((TP-H_1-((TP-H_1-(H_1*hnh))*H_2/(TP-H_1-(H_1*hnh)-(TP*TCv_2*tCo2_1*VE)))-(H_1*hnh)-((TP-H_1-(H_1*hnh))*H_2*hnh/(TP-H_1-(H_1*hnh)-(TP*TCv_2*tCo2_1*VE))))*H_3/(TP-H_1-H_2-(hnh*(H_1+H_2))-(TP*VE*(TCv_2*tCo2_1+TCv_2*tCo2_2))))-(H_1*hnh)-((TP-H_1-(H_1*hnh))*H_2*hnh/(TP-H_1-(H_1*hnh)-(TP*TCv_2*tCo2_1*VE)))-((TP-H_1-((TP-H_1-(H_1*hnh))*H_2/(TP-H_1-(H_1*hnh)-(TP*TCv_2*tCo2_1*VE)))-(H_1*hnh)-((TP-H_1-(H_1*hnh))*H_2*hnh/(TP-H_1-(H_1*hnh)-(TP*TCv_2*tCo2_1*VE))))*H_3*hnh/(TP-H_1-H_2-(hnh*(H_1+H_2))-(TP*VE*(TCv_2*tCo2_1+TCv_2*tCo2_2)))))*H_4*hnh/(TP-H_1-H_2-H_3-(hnh*(H_1+H_2+H_3))-(TP*VE*(TCv_2*tCo2_1+TCv_2*tCo2_2+TCv_2*tCo2_3))))-AZ153-BA153-BB153-BC153-BD153-BE153)*H_11*hnh/(TP-H_1-H_2-H_3-H_4-H_5-H_6-H_7-H_8-H_9-H_10-(hnh*(H_1+H_2+H_3+H_4+H_5+H_6+H_7+H_8+H_9+H_10))-(TP*VE*(TCv_2*tCo2_1+TCv_2*tCo2_2+TCv_2*tCo2_3+TCv_2*tCo2_4+TCv_2*tCo2_5+TCv_2*tCo2_6+TCv_2*tCo2_7+TCv_2*tCo2_8+TCv_2*tCo2_9+TCv_2*tCo2_10)))</f>
        <v>#DIV/0!</v>
      </c>
    </row>
    <row r="154" spans="1:58" hidden="1" outlineLevel="1" x14ac:dyDescent="0.25">
      <c r="F154" s="112"/>
    </row>
    <row r="155" spans="1:58" hidden="1" outlineLevel="1" x14ac:dyDescent="0.25"/>
    <row r="156" spans="1:58" collapsed="1" x14ac:dyDescent="0.25"/>
    <row r="157" spans="1:58" s="105" customFormat="1" x14ac:dyDescent="0.25">
      <c r="A157" s="104" t="s">
        <v>302</v>
      </c>
      <c r="B157" s="104"/>
    </row>
    <row r="158" spans="1:58" hidden="1" outlineLevel="1" x14ac:dyDescent="0.25">
      <c r="Q158" s="102" t="s">
        <v>72</v>
      </c>
      <c r="R158" s="102"/>
      <c r="S158" s="102"/>
      <c r="T158" s="102"/>
      <c r="U158" s="102"/>
      <c r="V158" s="102"/>
      <c r="W158" s="102"/>
      <c r="X158" s="102"/>
      <c r="Y158" s="102"/>
      <c r="Z158" s="102"/>
      <c r="AA158" s="102"/>
      <c r="AB158" s="102"/>
      <c r="AC158" s="101" t="s">
        <v>104</v>
      </c>
      <c r="AD158" s="101"/>
      <c r="AE158" s="101"/>
      <c r="AF158" s="101"/>
      <c r="AG158" s="101"/>
      <c r="AH158" s="101"/>
      <c r="AI158" s="101"/>
      <c r="AJ158" s="101"/>
      <c r="AK158" s="101"/>
      <c r="AL158" s="101"/>
      <c r="AM158" s="101"/>
      <c r="AN158" s="101"/>
      <c r="AP158" s="103">
        <v>3</v>
      </c>
      <c r="AQ158" s="103">
        <v>4</v>
      </c>
      <c r="AR158" s="103">
        <v>5</v>
      </c>
      <c r="AS158" s="103">
        <v>6</v>
      </c>
      <c r="AT158" s="103">
        <v>7</v>
      </c>
      <c r="AU158" s="103">
        <v>8</v>
      </c>
      <c r="AV158" s="103">
        <v>9</v>
      </c>
      <c r="AW158" s="103">
        <v>10</v>
      </c>
      <c r="AX158" s="103">
        <v>11</v>
      </c>
      <c r="AZ158" s="103">
        <v>5</v>
      </c>
      <c r="BA158" s="103">
        <v>6</v>
      </c>
      <c r="BB158" s="103">
        <v>7</v>
      </c>
      <c r="BC158" s="103">
        <v>8</v>
      </c>
      <c r="BD158" s="103">
        <v>9</v>
      </c>
      <c r="BE158" s="103">
        <v>10</v>
      </c>
      <c r="BF158" s="103">
        <v>11</v>
      </c>
    </row>
    <row r="159" spans="1:58" ht="28.7" hidden="1" customHeight="1" outlineLevel="1" x14ac:dyDescent="0.25">
      <c r="A159" s="11" t="s">
        <v>47</v>
      </c>
      <c r="B159" s="11"/>
      <c r="C159" s="11"/>
      <c r="D159" s="11"/>
      <c r="E159" s="11"/>
      <c r="F159" s="11"/>
      <c r="G159" s="109" t="s">
        <v>50</v>
      </c>
      <c r="H159" s="109"/>
      <c r="I159" s="110" t="s">
        <v>44</v>
      </c>
      <c r="J159" s="110"/>
      <c r="K159" s="101" t="s">
        <v>58</v>
      </c>
      <c r="L159" s="101"/>
      <c r="M159" s="110" t="s">
        <v>45</v>
      </c>
      <c r="N159" s="110"/>
      <c r="Q159" s="102" t="s">
        <v>1</v>
      </c>
      <c r="R159" s="102"/>
      <c r="S159" s="102"/>
      <c r="T159" s="102"/>
      <c r="U159" s="102"/>
      <c r="V159" s="102"/>
      <c r="W159" s="102"/>
      <c r="X159" s="102"/>
      <c r="Y159" s="102"/>
      <c r="Z159" s="102"/>
      <c r="AA159" s="102"/>
      <c r="AB159" s="102"/>
      <c r="AC159" s="101" t="s">
        <v>71</v>
      </c>
      <c r="AD159" s="101"/>
      <c r="AE159" s="101"/>
      <c r="AF159" s="101"/>
      <c r="AG159" s="101"/>
      <c r="AH159" s="101"/>
      <c r="AI159" s="101"/>
      <c r="AJ159" s="101"/>
      <c r="AK159" s="101"/>
      <c r="AL159" s="101"/>
      <c r="AM159" s="101"/>
      <c r="AN159" s="101"/>
      <c r="AP159" s="103" t="s">
        <v>73</v>
      </c>
      <c r="AQ159" s="103" t="s">
        <v>74</v>
      </c>
      <c r="AR159" s="103" t="s">
        <v>75</v>
      </c>
      <c r="AS159" s="103" t="s">
        <v>76</v>
      </c>
      <c r="AT159" s="103" t="s">
        <v>77</v>
      </c>
      <c r="AU159" s="103" t="s">
        <v>78</v>
      </c>
      <c r="AV159" s="103" t="s">
        <v>79</v>
      </c>
      <c r="AW159" s="103" t="s">
        <v>80</v>
      </c>
      <c r="AX159" s="103" t="s">
        <v>81</v>
      </c>
      <c r="AZ159" s="103" t="s">
        <v>105</v>
      </c>
      <c r="BA159" s="103" t="s">
        <v>91</v>
      </c>
      <c r="BB159" s="103" t="s">
        <v>93</v>
      </c>
      <c r="BC159" s="103" t="s">
        <v>94</v>
      </c>
      <c r="BD159" s="103" t="s">
        <v>95</v>
      </c>
      <c r="BE159" s="103" t="s">
        <v>96</v>
      </c>
      <c r="BF159" s="103" t="s">
        <v>97</v>
      </c>
    </row>
    <row r="160" spans="1:58" ht="45" hidden="1" outlineLevel="1" x14ac:dyDescent="0.25">
      <c r="A160" s="70" t="s">
        <v>40</v>
      </c>
      <c r="B160" s="70" t="s">
        <v>41</v>
      </c>
      <c r="C160" s="70" t="s">
        <v>53</v>
      </c>
      <c r="D160" s="70" t="s">
        <v>48</v>
      </c>
      <c r="E160" s="70" t="s">
        <v>42</v>
      </c>
      <c r="F160" s="76" t="s">
        <v>49</v>
      </c>
      <c r="G160" s="71" t="s">
        <v>51</v>
      </c>
      <c r="H160" s="71" t="s">
        <v>52</v>
      </c>
      <c r="I160" s="72" t="s">
        <v>51</v>
      </c>
      <c r="J160" s="72" t="s">
        <v>52</v>
      </c>
      <c r="K160" s="77" t="s">
        <v>51</v>
      </c>
      <c r="L160" s="77" t="s">
        <v>52</v>
      </c>
      <c r="M160" s="72" t="s">
        <v>51</v>
      </c>
      <c r="N160" s="72" t="s">
        <v>52</v>
      </c>
      <c r="Q160" s="102">
        <v>1</v>
      </c>
      <c r="R160" s="102">
        <v>2</v>
      </c>
      <c r="S160" s="102">
        <v>3</v>
      </c>
      <c r="T160" s="102">
        <v>4</v>
      </c>
      <c r="U160" s="102">
        <v>5</v>
      </c>
      <c r="V160" s="102">
        <v>6</v>
      </c>
      <c r="W160" s="102">
        <v>7</v>
      </c>
      <c r="X160" s="102">
        <v>8</v>
      </c>
      <c r="Y160" s="102">
        <v>9</v>
      </c>
      <c r="Z160" s="102">
        <v>10</v>
      </c>
      <c r="AA160" s="102">
        <v>11</v>
      </c>
      <c r="AB160" s="102">
        <v>12</v>
      </c>
      <c r="AC160" s="101">
        <v>1</v>
      </c>
      <c r="AD160" s="101">
        <v>2</v>
      </c>
      <c r="AE160" s="101">
        <v>3</v>
      </c>
      <c r="AF160" s="101">
        <v>4</v>
      </c>
      <c r="AG160" s="101">
        <v>5</v>
      </c>
      <c r="AH160" s="101">
        <v>6</v>
      </c>
      <c r="AI160" s="101">
        <v>7</v>
      </c>
      <c r="AJ160" s="101">
        <v>8</v>
      </c>
      <c r="AK160" s="101">
        <v>9</v>
      </c>
      <c r="AL160" s="101">
        <v>10</v>
      </c>
      <c r="AM160" s="101">
        <v>11</v>
      </c>
      <c r="AN160" s="101">
        <v>12</v>
      </c>
      <c r="AP160" s="103" t="e">
        <f>((TP-H_1-((TP-H_1-(H_1*hnh)-(TP*TCv_3*tCo2_1*VE))*H_2/(TP-H_1-(H_1*hnh)))-(H_1*hnh)-((TP-H_1-(H_1*hnh)-(TP*TCv_3*tCo2_1*VE))*H_2*hnh/(TP-H_1-(H_1*hnh)))-(TP*TCv_3*tCo2_1*VE)-(TP*TCv_3*tCo2_2*VE))*(H_3/(TP-H_1-H_2-(hnh*(H_1+H_2)))))</f>
        <v>#DIV/0!</v>
      </c>
      <c r="AQ160" s="103" t="e">
        <f>(TP-H_1-((TP-H_1-(H_1*hnh)-(TP*TCv_3*tCo2_1*VE))*H_2/(TP-H_1-(H_1*hnh)))-AP160-(H_1*hnh)-((TP-H_1-(H_1*hnh)-(TP*TCv_3*tCo2_1*VE))*H_2*hnh/(TP-H_1-(H_1*hnh)))-AP162-(TP*TCv_3*tCo2_1*VE)-(TP*TCv_3*tCo2_2*VE)-(TP*TCv_3*tCo2_3*VE))*(H_4/(TP-H_1-H_2-H_3-(hnh*(H_1+H_2+H_3))))</f>
        <v>#DIV/0!</v>
      </c>
      <c r="AR160" s="103" t="e">
        <f>(TP-H_1-((TP-H_1-(H_1*hnh)-(TP*TCv_3*tCo2_1*VE))*H_2/(TP-H_1-(H_1*hnh)))-AP160-AQ160-(H_1*hnh)-((TP-H_1-(H_1*hnh)-(TP*TCv_3*tCo2_1*VE))*H_2*hnh/(TP-H_1-(H_1*hnh)))-AP162-AQ162-(TP*TCv_3*tCo2_1*VE)-(TP*TCv_3*tCo2_2*VE)-(TP*TCv_3*tCo2_3*VE)-(TP*TCv_3*tCo2_4*VE))*(H_5/(TP-H_1-H_2-H_3-H_4-(hnh*(H_1+H_2+H_3+H_4))))</f>
        <v>#DIV/0!</v>
      </c>
      <c r="AS160" s="103" t="e">
        <f>(TP-H_1-((TP-H_1-(H_1*hnh)-(TP*TCv_3*tCo2_1*VE))*H_2/(TP-H_1-(H_1*hnh)))-AP160-AQ160-AR160-(H_1*hnh)-((TP-H_1-(H_1*hnh)-(TP*TCv_3*tCo2_1*VE))*H_2*hnh/(TP-H_1-(H_1*hnh)))-AP162-AQ162-AR162-(TP*TCv_3*tCo2_1*VE)-(TP*TCv_3*tCo2_2*VE)-(TP*TCv_3*tCo2_3*VE)-(TP*TCv_3*tCo2_4*VE)-(TP*TCv_3*tCo2_5*VE))*(H_6/(TP-H_1-H_2-H_3-H_4-H_5-(hnh*(H_1+H_2+H_3+H_4+H_5))))</f>
        <v>#DIV/0!</v>
      </c>
      <c r="AT160" s="103" t="e">
        <f>(TP-H_1-((TP-H_1-(H_1*hnh)-(TP*TCv_3*tCo2_1*VE))*H_2/(TP-H_1-(H_1*hnh)))-AP160-AQ160-AR160-AS160-(H_1*hnh)-((TP-H_1-(H_1*hnh)-(TP*TCv_3*tCo2_1*VE))*H_2*hnh/(TP-H_1-(H_1*hnh)))-AP162-AQ162-AR162-AS162-(TP*TCv_3*tCo2_1*VE)-(TP*TCv_3*tCo2_2*VE)-(TP*TCv_3*tCo2_3*VE)-(TP*TCv_3*tCo2_4*VE)-(TP*TCv_3*tCo2_5*VE)-(TP*TCv_3*tCo2_6*VE))*(H_7/(TP-H_1-H_2-H_3-H_4-H_5-H_6-(hnh*(H_1+H_2+H_3+H_4+H_5+H_6))))</f>
        <v>#DIV/0!</v>
      </c>
      <c r="AU160" s="103" t="e">
        <f>(TP-H_1-((TP-H_1-(H_1*hnh)-(TP*TCv_3*tCo2_1*VE))*H_2/(TP-H_1-(H_1*hnh)))-AP160-AQ160-AR160-AS160-AT160-(H_1*hnh)-((TP-H_1-(H_1*hnh)-(TP*TCv_3*tCo2_1*VE))*H_2*hnh/(TP-H_1-(H_1*hnh)))-AP162-AQ162-AR162-AS162-AT162-(TP*TCv_3*tCo2_1*VE)-(TP*TCv_3*tCo2_2*VE)-(TP*TCv_3*tCo2_3*VE)-(TP*TCv_3*tCo2_4*VE)-(TP*TCv_3*tCo2_5*VE)-(TP*TCv_3*tCo2_6*VE)-(TP*TCv_3*tCo2_7*VE))*(H_8/(TP-H_1-H_2-H_3-H_4-H_5-H_6-H_7-(hnh*(H_1+H_2+H_3+H_4+H_5+H_6+H_7))))</f>
        <v>#DIV/0!</v>
      </c>
      <c r="AV160" s="103" t="e">
        <f>(TP-H_1-((TP-H_1-(H_1*hnh)-(TP*TCv_3*tCo2_1*VE))*H_2/(TP-H_1-(H_1*hnh)))-AP160-AQ160-AR160-AS160-AT160-AU160-(H_1*hnh)-((TP-H_1-(H_1*hnh)-(TP*TCv_3*tCo2_1*VE))*H_2*hnh/(TP-H_1-(H_1*hnh)))-AP162-AQ162-AR162-AS162-AT162-AU162-(TP*TCv_3*tCo2_1*VE)-(TP*TCv_3*tCo2_2*VE)-(TP*TCv_3*tCo2_3*VE)-(TP*TCv_3*tCo2_4*VE)-(TP*TCv_3*tCo2_5*VE)-(TP*TCv_3*tCo2_6*VE)-(TP*TCv_3*tCo2_7*VE)-(TP*TCv_3*tCo2_8*VE))*(H_9/(TP-H_1-H_2-H_3-H_4-H_5-H_6-H_7-H_8-(hnh*(H_1+H_2+H_3+H_4+H_5+H_6+H_7+H_8))))</f>
        <v>#DIV/0!</v>
      </c>
      <c r="AW160" s="103" t="e">
        <f>(TP-H_1-((TP-H_1-(H_1*hnh)-(TP*TCv_3*tCo2_1*VE))*H_2/(TP-H_1-(H_1*hnh)))-AP160-AQ160-AR160-AS160-AT160-AU160-AV160-(H_1*hnh)-((TP-H_1-(H_1*hnh)-(TP*TCv_3*tCo2_1*VE))*H_2*hnh/(TP-H_1-(H_1*hnh)))-AP162-AQ162-AR162-AS162-AT162-AU162-AV162-(TP*TCv_3*tCo2_1*VE)-(TP*TCv_3*tCo2_2*VE)-(TP*TCv_3*tCo2_3*VE)-(TP*TCv_3*tCo2_4*VE)-(TP*TCv_3*tCo2_5*VE)-(TP*TCv_3*tCo2_6*VE)-(TP*TCv_3*tCo2_7*VE)-(TP*TCv_3*tCo2_8*VE)-(TP*TCv_3*tCo2_9*VE))*(H_10/(TP-H_1-H_2-H_3-H_4-H_5-H_6-H_7-H_8-H_9-(hnh*(H_1+H_2+H_3+H_4+H_5+H_6+H_7+H_8+H_9))))</f>
        <v>#DIV/0!</v>
      </c>
      <c r="AX160" s="103" t="e">
        <f>(TP-H_1-((TP-H_1-(H_1*hnh)-(TP*TCv_3*tCo2_1*VE))*H_2/(TP-H_1-(H_1*hnh)))-AP160-AQ160-AR160-AS160-AT160-AU160-AV160-AW160-(H_1*hnh)-((TP-H_1-(H_1*hnh)-(TP*TCv_3*tCo2_1*VE))*H_2*hnh/(TP-H_1-(H_1*hnh)))-AP162-AQ162-AR162-AS162-AT162-AU162-AV162-AW162-(TP*TCv_3*tCo2_1*VE)-(TP*TCv_3*tCo2_2*VE)-(TP*TCv_3*tCo2_3*VE)-(TP*TCv_3*tCo2_4*VE)-(TP*TCv_3*tCo2_5*VE)-(TP*TCv_3*tCo2_6*VE)-(TP*TCv_3*tCo2_7*VE)-(TP*TCv_3*tCo2_8*VE)-(TP*TCv_3*tCo2_9*VE)-(TP*TCv_3*tCo2_10*VE))*(H_11/(TP-H_1-H_2-H_3-H_4-H_5-H_6-H_7-H_8-H_9-H_10-(hnh*(H_1+H_2+H_3+H_4+H_5+H_6+H_7+H_8+H_9+H_10))))</f>
        <v>#DIV/0!</v>
      </c>
      <c r="AZ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H_5/(TP-H_1-H_2-H_3-H_4-(hnh*(H_1+H_2+H_3+H_4))-(TP*VE*(TCv_3*tCo2_1+TCv_3*tCo2_2+TCv_3*tCo2_3+TCv_3*tCo2_4)))</f>
        <v>#DIV/0!</v>
      </c>
      <c r="BA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H_6/(TP-H_1-H_2-H_3-H_4-H_5-(hnh*(H_1+H_2+H_3+H_4+H_5))-(TP*VE*(TCv_3*tCo2_1+TCv_3*tCo2_2+TCv_3*tCo2_3+TCv_3*tCo2_4+TCv_3*tCo2_5)))</f>
        <v>#DIV/0!</v>
      </c>
      <c r="BB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H_7/(TP-H_1-H_2-H_3-H_4-H_5-H_6-(hnh*(H_1+H_2+H_3+H_4+H_5+H_6))-(TP*VE*(TCv_3*tCo2_1+TCv_3*tCo2_2+TCv_3*tCo2_3+TCv_3*tCo2_4+TCv_3*tCo2_5+TCv_3*tCo2_6)))</f>
        <v>#DIV/0!</v>
      </c>
      <c r="BC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H_8/(TP-H_1-H_2-H_3-H_4-H_5-H_6-H_7-(hnh*(H_1+H_2+H_3+H_4+H_5+H_6+H_7))-(TP*VE*(TCv_3*tCo2_1+TCv_3*tCo2_2+TCv_3*tCo2_3+TCv_3*tCo2_4+TCv_3*tCo2_5+TCv_3*tCo2_6+TCv_3*tCo2_7)))</f>
        <v>#DIV/0!</v>
      </c>
      <c r="BD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H_9/(TP-H_1-H_2-H_3-H_4-H_5-H_6-H_7-H_8-(hnh*(H_1+H_2+H_3+H_4+H_5+H_6+H_7+H_8))-(TP*VE*(TCv_3*tCo2_1+TCv_3*tCo2_2+TCv_3*tCo2_3+TCv_3*tCo2_4+TCv_3*tCo2_5+TCv_3*tCo2_6+TCv_3*tCo2_7+TCv_3*tCo2_8)))</f>
        <v>#DIV/0!</v>
      </c>
      <c r="BE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H_10/(TP-H_1-H_2-H_3-H_4-H_5-H_6-H_7-H_8-H_9-(hnh*(H_1+H_2+H_3+H_4+H_5+H_6+H_7+H_8+H_9))-(TP*VE*(TCv_3*tCo2_1+TCv_3*tCo2_2+TCv_3*tCo2_3+TCv_3*tCo2_4+TCv_3*tCo2_5+TCv_3*tCo2_6+TCv_3*tCo2_7+TCv_3*tCo2_8+TCv_3*tCo2_9)))</f>
        <v>#DIV/0!</v>
      </c>
      <c r="BF160"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H_11/(TP-H_1-H_2-H_3-H_4-H_5-H_6-H_7-H_8-H_9-H_10-(hnh*(H_1+H_2+H_3+H_4+H_5+H_6+H_7+H_8+H_9+H_10))-(TP*VE*(TCv_3*tCo2_1+TCv_3*tCo2_2+TCv_3*tCo2_3+TCv_3*tCo2_4+TCv_3*tCo2_5+TCv_3*tCo2_6+TCv_3*tCo2_7+TCv_3*tCo2_8+TCv_3*tCo2_9+TCv_3*tCo2_10)))</f>
        <v>#DIV/0!</v>
      </c>
    </row>
    <row r="161" spans="1:58" hidden="1" outlineLevel="1" x14ac:dyDescent="0.25">
      <c r="A161" s="73">
        <f>season</f>
        <v>0</v>
      </c>
      <c r="B161" s="73">
        <f>TG</f>
        <v>0</v>
      </c>
      <c r="C161" s="73">
        <f>TP</f>
        <v>0</v>
      </c>
      <c r="D161" s="74">
        <f>TCv</f>
        <v>0</v>
      </c>
      <c r="E161" s="75">
        <f>VE</f>
        <v>0</v>
      </c>
      <c r="F161" s="78" t="e">
        <f>G161/IF(mb=1,SUM(AC161:AN161),IF(mb=2,SUM(AD161:AN161),IF(mb=3,SUM(AE161:AN161),IF(mb=4,SUM(AF161:AN161),IF(mb=5,SUM(AG161:AN161),IF(mb=6,SUM(AH161:AN161),IF(mb=7,SUM(AI161:AN161),IF(mb=8,SUM(AJ161:AN161),0))))))))</f>
        <v>#DIV/0!</v>
      </c>
      <c r="G161" s="42">
        <f>IF(mb=1,SUM(AC161:AN161)-SUM(Q161:AB161),IF(mb=2,SUM(AD161:AN161)-SUM(R161:AB161),IF(mb=3,SUM(AE161:AN161)-SUM(S161:AB161),IF(mb=4,SUM(AF161:AN161)-SUM(T161:AB161),IF(mb=5,SUM(AG161:AN161)-SUM(U161:AB161),IF(mb=6,SUM(AH161:AN161)-SUM(V161:AB161),IF(mb=7,SUM(AI161:AN161)-SUM(W161:AB161),IF(mb=8,SUM(AJ161:AN161)-SUM(X161:AB161),0))))))))</f>
        <v>0</v>
      </c>
      <c r="H161" s="96" t="e">
        <f>1/(VE*IF(mb=1,SUM(AC161:AN161),IF(mb=2,SUM(AD161:AN161),IF(mb=3,SUM(AE161:AN161),IF(mb=4,SUM(AF161:AN161),IF(mb=5,SUM(AG161:AN161),IF(mb=6,SUM(AH161:AN161),IF(mb=7,SUM(AI161:AN161),IF(mb=8,SUM(AJ161:AN161),0))))))))/TP)</f>
        <v>#DIV/0!</v>
      </c>
      <c r="I161" s="93" t="e">
        <f>G161/hnh</f>
        <v>#DIV/0!</v>
      </c>
      <c r="J161" s="42" t="e">
        <f>1/(VE*IF(mb=1,SUM(AC161:AN161),IF(mb=2,SUM(AD161:AN161),IF(mb=3,SUM(AE161:AN161),IF(mb=4,SUM(AF161:AN161),IF(mb=5,SUM(AG161:AN161),IF(mb=6,SUM(AH161:AN161),IF(mb=7,SUM(AI161:AN161),IF(mb=8,SUM(AJ161:AN161),0))))))))/(TP*hnh))</f>
        <v>#DIV/0!</v>
      </c>
      <c r="K161" s="42" t="e">
        <f>M161*mai</f>
        <v>#DIV/0!</v>
      </c>
      <c r="L161" s="42" t="e">
        <f>1/(VE*((IF(mb=1,SUM(AC161:AN161),IF(mb=2,SUM(AD161:AN161),IF(mb=3,SUM(AE161:AN161),IF(mb=4,SUM(AF161:AN161),IF(mb=5,SUM(AG161:AN161),IF(mb=6,SUM(AH161:AN161),IF(mb=7,SUM(AI161:AN161),IF(mb=8,SUM(AJ161:AN161),0))))))))+(IF(mb=1,SUM(AC161:AN161),IF(mb=2,SUM(AD161:AN161),IF(mb=3,SUM(AE161:AN161),IF(mb=4,SUM(AF161:AN161),IF(mb=5,SUM(AG161:AN161),IF(mb=6,SUM(AH161:AN161),IF(mb=7,SUM(AI161:AN161),IF(mb=8,SUM(AJ161:AN161),0)))))))))/hnh)*mai)/TP)</f>
        <v>#DIV/0!</v>
      </c>
      <c r="M161" s="42" t="e">
        <f>G161+I161</f>
        <v>#DIV/0!</v>
      </c>
      <c r="N161" s="42" t="e">
        <f>1/(VE*(IF(mb=1,SUM(AC161:AN161),IF(mb=2,SUM(AD161:AN161),IF(mb=3,SUM(AE161:AN161),IF(mb=4,SUM(AF161:AN161),IF(mb=5,SUM(AG161:AN161),IF(mb=6,SUM(AH161:AN161),IF(mb=7,SUM(AI161:AN161),IF(mb=8,SUM(AJ161:AN161),0))))))))+(IF(mb=1,SUM(AC161:AN161),IF(mb=2,SUM(AD161:AN161),IF(mb=3,SUM(AE161:AN161),IF(mb=4,SUM(AF161:AN161),IF(mb=5,SUM(AG161:AN161),IF(mb=6,SUM(AH161:AN161),IF(mb=7,SUM(AI161:AN161),IF(mb=8,SUM(AJ161:AN161),0)))))))))/hnh)/TP)</f>
        <v>#DIV/0!</v>
      </c>
      <c r="Q161" s="86" t="e">
        <f>IF(ISc=1,nh1_1,IF(ISc=2,H_1*hnh,0))</f>
        <v>#DIV/0!</v>
      </c>
      <c r="R161" s="111" t="e">
        <f>IF(ScI=1,((nh1_2/(TP-(nh1_1/hnh)-nh1_1))*(TP-(nh1_1/hnh)-nh1_1-(TP*TCv_3*tCo2_1*VE))),IF(ScI=2,(TP-H_1-(H_1*hnh)-(TP*TCv_3*tCo2_1*VE))*(H_2*hnh/(TP-H_1-(H_1*hnh))),"fal"))</f>
        <v>#DIV/0!</v>
      </c>
      <c r="S161" s="137" t="e">
        <f>IF(ScI=1,(nh1_3/(TP-((nh1_1+nh1_2)/hnh)-nh1_1-nh1_2))*(TP-(nh1_1/hnh)-(R161/hnh)-nh1_1-R161-(TP*VE*(TCv_3*tCo2_1+TCv_3*tCo2_2))),IF(ScI=2,(TP-H_1-((TP-H_1-(H_1*hnh)-(TP*TCv_3*tCo2_1*VE))*H_2/(TP-H_1-(H_1*hnh)))-(H_1*hnh)-((TP-H_1-(H_1*hnh)-(TP*TCv_3*tCo2_1*VE))*H_2*hnh/(TP-H_1-(H_1*hnh)))-(TP*TCv_3*tCo2_1*VE)-(TP*TCv_3*tCo2_2*VE))*(H_3*hnh/(TP-H_1-H_2-(hnh*(H_1+H_2)))),0))</f>
        <v>#DIV/0!</v>
      </c>
      <c r="T161" s="86" t="e">
        <f>IF(ScI=1,(nh1_4/(TP-(nh1_1/hnh)-(nh1_2/hnh)-(nh1_3/hnh)-nh1_1-nh1_2-nh1_3))*(TP-(nh1_1/hnh)-(R161/hnh)-(S161/hnh)-nh1_1-R161-S161-(TP*VE*(TCv_3*tCo2_1+TCv_3*tCo2_2+TCv_3*tCo2_3))),IF(ScI=2,(TP-H_1-((TP-H_1-(H_1*hnh)-(TP*TCv_3*tCo2_1*VE))*H_2/(TP-H_1-(H_1*hnh)))-((TP-H_1-(((TP-H_1-(H_1*hnh)-(TP*TCv_3*tCo2_1*VE))*H_2/(TP-H_1-(H_1*hnh))))-(H_1*hnh)-((TP-H_1-(H_1*hnh)-(TP*TCv_3*tCo2_1*VE))*H_2*hnh/(TP-H_1-(H_1*hnh)))-(TP*TCv_3*tCo2_1*VE)-(TP*TCv_3*tCo2_2*VE))*(H_3/(TP-H_1-H_2-(hnh*(H_1+H_2)))))-(H_1*hnh)-((TP-H_1-(H_1*hnh)-(TP*TCv_3*tCo2_1*VE))*H_2*hnh/(TP-H_1-(H_1*hnh)))-((TP-H_1-(((TP-H_1-(H_1*hnh)-(TP*TCv_3*tCo2_1*VE))*H_2/(TP-H_1-(H_1*hnh))))-(H_1*hnh)-(((TP-H_1-(H_1*hnh)-(TP*TCv_3*tCo2_1*VE))*H_2*hnh/(TP-H_1-(H_1*hnh))))-(TP*TCv_3*tCo2_1*VE)-(TP*TCv_3*tCo2_2*VE))*(H_3*hnh/(TP-H_1-H_2-(hnh*(H_1+H_2)))))-(TP*TCv_3*tCo2_1*VE)-(TP*TCv_3*tCo2_2*VE)-(TP*TCv_3*tCo2_3*VE))*(H_4*hnh/(TP-H_1-H_2-H_3-(hnh*(H_1+H_2+H_3)))),0))</f>
        <v>#DIV/0!</v>
      </c>
      <c r="U161" s="86" t="e">
        <f>IF(ScI=1,(nh1_5/(TP-(nh1_1/hnh)-(nh1_2/hnh)-(nh1_3/hnh)-(nh1_4/hnh)-nh1_1-nh1_2-nh1_3-nh1_4))*(TP-(nh1_1/hnh)-(R161/hnh)-(S161/hnh)-(T161/hnh)-nh1_1-R161-S161-T161-(TP*VE*(TCv_3*tCo2_1+TCv_3*tCo2_2+TCv_3*tCo2_3+TCv_3*tCo2_4))),IF(ScI=2,(TP-H_1-(((TP-H_1-(H_1*hnh)-(TP*TCv_3*tCo2_1*VE))*H_2/(TP-H_1-(H_1*hnh))))-AP160-AQ160-(H_1*hnh)-((TP-H_1-(H_1*hnh)-(TP*TCv_3*tCo2_1*VE))*H_2*hnh/(TP-H_1-(H_1*hnh)))-AP162-AQ162-(TP*TCv_3*tCo2_1*VE)-(TP*TCv_3*tCo2_2*VE)-(TP*TCv_3*tCo2_3*VE)-(TP*TCv_3*tCo2_4*VE))*(H_5*hnh/(TP-H_1-H_2-H_3-H_4-(hnh*(H_1+H_2+H_3+H_4)))),0))</f>
        <v>#DIV/0!</v>
      </c>
      <c r="V161" s="86" t="e">
        <f>IF(ScI=1,(nh1_6/(TP-(nh1_1/hnh)-(nh1_2/hnh)-(nh1_3/hnh)-(nh1_4/hnh)-(nh1_5/hnh)-nh1_1-nh1_2-nh1_3-nh1_4-nh1_5))*(TP-(nh1_1/hnh)-(R161/hnh)-(S161/hnh)-(T161/hnh)-(U161/hnh)-nh1_1-R161-S161-T161-U161-(TP*VE*(TCv_3*tCo2_1+TCv_3*tCo2_2+TCv_3*tCo2_3+TCv_3*tCo2_4+TCv_3*tCo2_5))),IF(ScI=2,(TP-H_1-((TP-H_1-(H_1*hnh)-(TP*TCv_3*tCo2_1*VE))*H_2/(TP-H_1-(H_1*hnh)))-AP160-AQ160-AR160-(H_1*hnh)-((TP-H_1-(H_1*hnh)-(TP*TCv_3*tCo2_1*VE))*H_2*hnh/(TP-H_1-(H_1*hnh)))-AP162-AQ162-AR162-(TP*TCv_3*tCo2_1*VE)-(TP*TCv_3*tCo2_2*VE)-(TP*TCv_3*tCo2_3*VE)-(TP*TCv_3*tCo2_4*VE)-(TP*TCv_3*tCo2_5*VE))*(H_6*hnh/(TP-H_1-H_2-H_3-H_4-H_5-(hnh*(H_1+H_2+H_3+H_4+H_5)))),0))</f>
        <v>#DIV/0!</v>
      </c>
      <c r="W161" s="86" t="e">
        <f>IF(ScI=1,(nh1_7/(TP-(nh1_1/hnh)-(nh1_2/hnh)-(nh1_3/hnh)-(nh1_4/hnh)-(nh1_5/hnh)-(nh1_6/hnh)-nh1_1-nh1_2-nh1_3-nh1_4-nh1_5-nh1_6))*(TP-(nh1_1/hnh)-(R161/hnh)-(S161/hnh)-(T161/hnh)-(U161/hnh)-(V161/hnh)-nh1_1-R161-S161-T161-U161-V161-(TP*VE*(TCv_3*tCo2_1+TCv_3*tCo2_2+TCv_3*tCo2_3+TCv_3*tCo2_4+TCv_3*tCo2_5+TCv_3*tCo2_6))),IF(ScI=2,(TP-H_1-((TP-H_1-(H_1*hnh)-(TP*TCv_3*tCo2_1*VE))*H_2/(TP-H_1-(H_1*hnh)))-AP160-AQ160-AR160-AS160-(H_1*hnh)-((TP-H_1-(H_1*hnh)-(TP*TCv_3*tCo2_1*VE))*H_2*hnh/(TP-H_1-(H_1*hnh)))-AP162-AQ162-AR162-AS162-(TP*TCv_3*tCo2_1*VE)-(TP*TCv_3*tCo2_2*VE)-(TP*TCv_3*tCo2_3*VE)-(TP*TCv_3*tCo2_4*VE)-(TP*TCv_3*tCo2_5*VE)-(TP*TCv_3*tCo2_6*VE))*(H_7*hnh/(TP-H_1-H_2-H_3-H_4-H_5-H_6-(hnh*(H_1+H_2+H_3+H_4+H_5+H_6)))),0))</f>
        <v>#DIV/0!</v>
      </c>
      <c r="X161" s="86" t="e">
        <f>IF(ScI=1,(nh1_8/(TP-(nh1_1/hnh)-(nh1_2/hnh)-(nh1_3/hnh)-(nh1_4/hnh)-(nh1_5/hnh)-(nh1_6/hnh)-(nh1_7/hnh)-nh1_1-nh1_2-nh1_3-nh1_4-nh1_5-nh1_6-nh1_7))*(TP-(nh1_1/hnh)-(R161/hnh)-(S161/hnh)-(T161/hnh)-(U161/hnh)-(V161/hnh)-(W161/hnh)-nh1_1-R161-S161-T161-U161-V161-W161-(TP*VE*(TCv_3*tCo2_1+TCv_3*tCo2_2+TCv_3*tCo2_3+TCv_3*tCo2_4+TCv_3*tCo2_5+TCv_3*tCo2_6+TCv_3*tCo2_7))),IF(ScI=2,(TP-H_1-((TP-H_1-(H_1*hnh)-(TP*TCv_3*tCo2_1*VE))*H_2/(TP-H_1-(H_1*hnh)))-AP160-AQ160-AR160-AS160-AT160-(H_1*hnh)-((TP-H_1-(H_1*hnh)-(TP*TCv_3*tCo2_1*VE))*H_2*hnh/(TP-H_1-(H_1*hnh)))-AP162-AQ162-AR162-AS162-AT162-(TP*TCv_3*tCo2_1*VE)-(TP*TCv_3*tCo2_2*VE)-(TP*TCv_3*tCo2_3*VE)-(TP*TCv_3*tCo2_4*VE)-(TP*TCv_3*tCo2_5*VE)-(TP*TCv_3*tCo2_6*VE)-(TP*TCv_3*tCo2_7*VE))*(H_8*hnh/(TP-H_1-H_2-H_3-H_4-H_5-H_6-H_7-(hnh*(H_1+H_2+H_3+H_4+H_5+H_6+H_7)))),0))</f>
        <v>#DIV/0!</v>
      </c>
      <c r="Y161" s="86" t="e">
        <f>IF(ScI=1,(nh1_9/(TP-(nh1_1/hnh)-(nh1_2/hnh)-(nh1_3/hnh)-(nh1_4/hnh)-(nh1_5/hnh)-(nh1_6/hnh)-(nh1_7/hnh)-(nh1_8/hnh)-nh1_1-nh1_2-nh1_3-nh1_4-nh1_5-nh1_6-nh1_7-nh1_8))*(TP-(nh1_1/hnh)-(R161/hnh)-(S161/hnh)-(T161/hnh)-(U161/hnh)-(V161/hnh)-(W161/hnh)-(X161/hnh)-nh1_1-R161-S161-T161-U161-V161-W161-X161-(TP*VE*(TCv_3*tCo2_1+TCv_3*tCo2_2+TCv_3*tCo2_3+TCv_3*tCo2_4+TCv_3*tCo2_5+TCv_3*tCo2_6+TCv_3*tCo2_7+TCv_3*tCo2_8))),IF(ScI=2,(TP-H_1-((TP-H_1-(H_1*hnh)-(TP*TCv_3*tCo2_1*VE))*H_2/(TP-H_1-(H_1*hnh)))-AP160-AQ160-AR160-AS160-AT160-AU160-(H_1*hnh)-((TP-H_1-(H_1*hnh)-(TP*TCv_3*tCo2_1*VE))*H_2*hnh/(TP-H_1-(H_1*hnh)))-AP162-AQ162-AR162-AS162-AT162-AU162-(TP*TCv_3*tCo2_1*VE)-(TP*TCv_3*tCo2_2*VE)-(TP*TCv_3*tCo2_3*VE)-(TP*TCv_3*tCo2_4*VE)-(TP*TCv_3*tCo2_5*VE)-(TP*TCv_3*tCo2_6*VE)-(TP*TCv_3*tCo2_7*VE)-(TP*TCv_3*tCo2_8*VE))*(H_9*hnh/(TP-H_1-H_2-H_3-H_4-H_5-H_6-H_7-H_8-(hnh*(H_1+H_2+H_3+H_4+H_5+H_6+H_7+H_8)))),0))</f>
        <v>#DIV/0!</v>
      </c>
      <c r="Z161" s="86" t="e">
        <f>IF(ScI=1,(nh1_10/(TP-(nh1_1/hnh)-(nh1_2/hnh)-(nh1_3/hnh)-(nh1_4/hnh)-(nh1_5/hnh)-(nh1_6/hnh)-(nh1_7/hnh)-(nh1_8/hnh)-(nh1_9/hnh)-nh1_1-nh1_2-nh1_3-nh1_4-nh1_5-nh1_6-nh1_7-nh1_8-nh1_9))*(TP-(nh1_1/hnh)-(R161/hnh)-(S161/hnh)-(T161/hnh)-(U161/hnh)-(V161/hnh)-(W161/hnh)-(X161/hnh)-(Y161/hnh)-nh1_1-R161-S161-T161-U161-V161-W161-X161-Y161-(TP*VE*(TCv_3*tCo2_1+TCv_3*tCo2_2+TCv_3*tCo2_3+TCv_3*tCo2_4+TCv_3*tCo2_5+TCv_3*tCo2_6+TCv_3*tCo2_7+TCv_3*tCo2_8+TCv_3*tCo2_9))),IF(ScI=2,(TP-H_1-((TP-H_1-(H_1*hnh)-(TP*TCv_3*tCo2_1*VE))*H_2/(TP-H_1-(H_1*hnh)))-AP160-AQ160-AR160-AS160-AT160-AU160-AV160-(H_1*hnh)-((TP-H_1-(H_1*hnh)-(TP*TCv_3*tCo2_1*VE))*H_2*hnh/(TP-H_1-(H_1*hnh)))-AP162-AQ162-AR162-AS162-AT162-AU162-AV162-(TP*TCv_3*tCo2_1*VE)-(TP*TCv_3*tCo2_2*VE)-(TP*TCv_3*tCo2_3*VE)-(TP*TCv_3*tCo2_4*VE)-(TP*TCv_3*tCo2_5*VE)-(TP*TCv_3*tCo2_6*VE)-(TP*TCv_3*tCo2_7*VE)-(TP*TCv_3*tCo2_8*VE)-(TP*TCv_3*tCo2_9*VE))*(H_10*hnh/(TP-H_1-H_2-H_3-H_4-H_5-H_6-H_7-H_8-H_9-(hnh*(H_1+H_2+H_3+H_4+H_5+H_6+H_7+H_8+H_9)))),0))</f>
        <v>#DIV/0!</v>
      </c>
      <c r="AA161" s="86" t="e">
        <f>IF(ScI=1,(nh1_11/(TP-(nh1_1/hnh)-(nh1_2/hnh)-(nh1_3/hnh)-(nh1_4/hnh)-(nh1_5/hnh)-(nh1_6/hnh)-(nh1_7/hnh)-(nh1_8/hnh)-(nh1_9/hnh)-(nh1_10/hnh)-nh1_1-nh1_2-nh1_3-nh1_4-nh1_5-nh1_6-nh1_7-nh1_8-nh1_9-nh1_10))*(TP-(nh1_1/hnh)-(R161/hnh)-(S161/hnh)-(T161/hnh)-(U161/hnh)-(V161/hnh)-(W161/hnh)-(X161/hnh)-(Y161/hnh)-(Z161/hnh)-nh1_1-R161-S161-T161-U161-V161-W161-X161-Y161-Z161-(TP*VE*(TCv_3*tCo2_1+TCv_3*tCo2_2+TCv_3*tCo2_3+TCv_3*tCo2_4+TCv_3*tCo2_5+TCv_3*tCo2_6+TCv_3*tCo2_7+TCv_3*tCo2_8+TCv_3*tCo2_9+TCv_3*tCo2_10))),IF(ScI=2,(TP-H_1-((TP-H_1-(H_1*hnh)-(TP*TCv_3*tCo2_1*VE))*H_2/(TP-H_1-(H_1*hnh)))-AP160-AQ160-AR160-AS160-AT160-AU160-AV160-AW160-(H_1*hnh)-((TP-H_1-(H_1*hnh)-(TP*TCv_3*tCo2_1*VE))*H_2*hnh/(TP-H_1-(H_1*hnh)))-AP162-AQ162-AR162-AS162-AT162-AU162-AV162-AW162-(TP*TCv_3*tCo2_1*VE)-(TP*TCv_3*tCo2_2*VE)-(TP*TCv_3*tCo2_3*VE)-(TP*TCv_3*tCo2_4*VE)-(TP*TCv_3*tCo2_5*VE)-(TP*TCv_3*tCo2_6*VE)-(TP*TCv_3*tCo2_7*VE)-(TP*TCv_3*tCo2_8*VE)-(TP*TCv_3*tCo2_9*VE)-(TP*TCv_3*tCo2_10*VE))*(H_11*hnh/(TP-H_1-H_2-H_3-H_4-H_5-H_6-H_7-H_8-H_9-H_10-(hnh*(H_1+H_2+H_3+H_4+H_5+H_6+H_7+H_8+H_9+H_10)))),0))</f>
        <v>#DIV/0!</v>
      </c>
      <c r="AB161" s="86" t="e">
        <f>IF(ScI=1,(nh1_12/(TP-(nh1_1/hnh)-(nh1_2/hnh)-(nh1_3/hnh)-(nh1_4/hnh)-(nh1_5/hnh)-(nh1_6/hnh)-(nh1_7/hnh)-(nh1_8/hnh)-(nh1_9/hnh)-(nh1_10/hnh)-(nh1_11/hnh)-nh1_1-nh1_2-nh1_3-nh1_4-nh1_5-nh1_6-nh1_7-nh1_8-nh1_9-nh1_10-nh1_11))*(TP-(nh1_1/hnh)-(R161/hnh)-(S161/hnh)-(T161/hnh)-(U161/hnh)-(V161/hnh)-(W161/hnh)-(X161/hnh)-(Y161/hnh)-(Z161/hnh)-(AA161/hnh)-nh1_1-R161-S161-T161-U161-V161-W161-X161-Y161-Z161-AA161-(TP*VE*(TCv_3*tCo2_1+TCv_3*tCo2_2+TCv_3*tCo2_3+TCv_3*tCo2_4+TCv_3*tCo2_5+TCv_3*tCo2_6+TCv_3*tCo2_7+TCv_3*tCo2_8+TCv_3*tCo2_9+TCv_3*tCo2_10+TCv_3*tCo2_11))),IF(ScI=2,(TP-H_1-((TP-H_1-(H_1*hnh)-(TP*TCv_3*tCo2_1*VE))*H_2/(TP-H_1-(H_1*hnh)))-AP160-AQ160-AR160-AS160-AT160-AU160-AV160-AW160-AX160-(H_1*hnh)-((TP-H_1-(H_1*hnh)-(TP*TCv_3*tCo2_1*VE))*H_2*hnh/(TP-H_1-(H_1*hnh)))-AP162-AQ162-AR162-AS162-AT162-AU162-AV162-AW162-AX162-(TP*TCv_3*tCo2_1*VE)-(TP*TCv_3*tCo2_2*VE)-(TP*TCv_3*tCo2_3*VE)-(TP*TCv_3*tCo2_4*VE)-(TP*TCv_3*tCo2_5*VE)-(TP*TCv_3*tCo2_6*VE)-(TP*TCv_3*tCo2_7*VE)-(TP*TCv_3*tCo2_8*VE)-(TP*TCv_3*tCo2_9*VE)-(TP*TCv_3*tCo2_10*VE)-(TP*TCv_3*tCo2_11*VE))*(H_12*hnh/(TP-H_1-H_2-H_3-H_4-H_5-H_6-H_7-H_8-H_9-H_10-H_11-(hnh*(H_1+H_2+H_3+H_4+H_5+H_6+H_7+H_8+H_9+H_10+H_11)))),0))</f>
        <v>#DIV/0!</v>
      </c>
      <c r="AC161" s="88">
        <f>IF(ScI=1,H_1*hnh,IF(ScI=2,H_1*hnh,0))</f>
        <v>0</v>
      </c>
      <c r="AD161" s="88" t="e">
        <f>IF(ScI=1,(TP-H_1-(H_1*hnh))*H_2*hnh/(TP-H_1-(H_1*hnh)-(TP*TCv_3*tCo2_1*VE)),IF(ScI=2,H_2*hnh,0))</f>
        <v>#DIV/0!</v>
      </c>
      <c r="AE161" s="88" t="e">
        <f>IF(ScI=1,(TP-H_1-((TP-H_1-(H_1*hnh))*H_2/(TP-H_1-(H_1*hnh)-(TP*TCv_3*tCo2_1*VE)))-(H_1*hnh)-((TP-H_1-(H_1*hnh))*H_2*hnh/(TP-H_1-(H_1*hnh)-(TP*TCv_3*tCo2_1*VE))))*H_3*hnh/(TP-H_1-H_2-(hnh*(H_1+H_2))-(TP*VE*(TCv_3*tCo2_1+TCv_3*tCo2_2))),IF(ScI=2,H_3*hnh,0))</f>
        <v>#DIV/0!</v>
      </c>
      <c r="AF161" s="88" t="e">
        <f>IF(ScI=1,(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IF(ScI=2,H_4*hnh,0))</f>
        <v>#DIV/0!</v>
      </c>
      <c r="AG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H_5*hnh/(TP-H_1-H_2-H_3-H_4-(hnh*(H_1+H_2+H_3+H_4))-(TP*VE*(TCv_3*tCo2_1+TCv_3*tCo2_2+TCv_3*tCo2_3+TCv_3*tCo2_4))),IF(ScI=2,H_5*hnh,0))</f>
        <v>#DIV/0!</v>
      </c>
      <c r="AH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H_6*hnh/(TP-H_1-H_2-H_3-H_4-H_5-(hnh*(H_1+H_2+H_3+H_4+H_5))-(TP*VE*(TCv_3*tCo2_1+TCv_3*tCo2_2+TCv_3*tCo2_3+TCv_3*tCo2_4+TCv_3*tCo2_5))),IF(ScI=2,H_6*hnh,0))</f>
        <v>#DIV/0!</v>
      </c>
      <c r="AI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H_7*hnh/(TP-H_1-H_2-H_3-H_4-H_5-H_6-(hnh*(H_1+H_2+H_3+H_4+H_5+H_6))-(TP*VE*(TCv_3*tCo2_1+TCv_3*tCo2_2+TCv_3*tCo2_3+TCv_3*tCo2_4+TCv_3*tCo2_5+TCv_3*tCo2_6))),IF(ScI=2,H_7*hnh,0))</f>
        <v>#DIV/0!</v>
      </c>
      <c r="AJ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H_8*hnh/(TP-H_1-H_2-H_3-H_4-H_5-H_6-H_7-(hnh*(H_1+H_2+H_3+H_4+H_5+H_6+H_7))-(TP*VE*(TCv_3*tCo2_1+TCv_3*tCo2_2+TCv_3*tCo2_3+TCv_3*tCo2_4+TCv_3*tCo2_5+TCv_3*tCo2_6+TCv_3*tCo2_7))),IF(ScI=2,H_8*hnh,0))</f>
        <v>#DIV/0!</v>
      </c>
      <c r="AK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H_9*hnh/(TP-H_1-H_2-H_3-H_4-H_5-H_6-H_7-H_8-(hnh*(H_1+H_2+H_3+H_4+H_5+H_6+H_7+H_8))-(TP*VE*(TCv_3*tCo2_1+TCv_3*tCo2_2+TCv_3*tCo2_3+TCv_3*tCo2_4+TCv_3*tCo2_5+TCv_3*tCo2_6+TCv_3*tCo2_7+TCv_3*tCo2_8))),IF(ScI=2,H_9*hnh,0))</f>
        <v>#DIV/0!</v>
      </c>
      <c r="AL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H_10*hnh/(TP-H_1-H_2-H_3-H_4-H_5-H_6-H_7-H_8-H_9-(hnh*(H_1+H_2+H_3+H_4+H_5+H_6+H_7+H_8+H_9))-(TP*VE*(TCv_3*tCo2_1+TCv_3*tCo2_2+TCv_3*tCo2_3+TCv_3*tCo2_4+TCv_3*tCo2_5+TCv_3*tCo2_6+TCv_3*tCo2_7+TCv_3*tCo2_8+TCv_3*tCo2_9))),IF(ScI=2,H_10*hnh,0))</f>
        <v>#DIV/0!</v>
      </c>
      <c r="AM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H_11*hnh/(TP-H_1-H_2-H_3-H_4-H_5-H_6-H_7-H_8-H_9-H_10-(hnh*(H_1+H_2+H_3+H_4+H_5+H_6+H_7+H_8+H_9+H_10))-(TP*VE*(TCv_3*tCo2_1+TCv_3*tCo2_2+TCv_3*tCo2_3+TCv_3*tCo2_4+TCv_3*tCo2_5+TCv_3*tCo2_6+TCv_3*tCo2_7+TCv_3*tCo2_8+TCv_3*tCo2_9+TCv_3*tCo2_10))),IF(ScI=2,H_11*hnh,0))</f>
        <v>#DIV/0!</v>
      </c>
      <c r="AN161" s="88" t="e">
        <f>IF(ScI=1,(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BF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BF162)*H_12*hnh/(TP-H_1-H_2-H_3-H_4-H_5-H_6-H_7-H_8-H_9-H_10-H_11-(hnh*(H_1+H_2+H_3+H_4+H_5+H_6+H_7+H_8+H_9+H_10+H_11))-(TP*VE*(TCv_3*tCo2_1+TCv_3*tCo2_2+TCv_3*tCo2_3+TCv_3*tCo2_4+TCv_3*tCo2_5+TCv_3*tCo2_6+TCv_3*tCo2_7+TCv_3*tCo2_8+TCv_3*tCo2_9+TCv_3*tCo2_10+TCv_3*tCo2_11))),IF(ScI=2,H_12*hnh,0))</f>
        <v>#DIV/0!</v>
      </c>
      <c r="AP161" s="103" t="s">
        <v>82</v>
      </c>
      <c r="AQ161" s="103" t="s">
        <v>83</v>
      </c>
      <c r="AR161" s="103" t="s">
        <v>84</v>
      </c>
      <c r="AS161" s="103" t="s">
        <v>85</v>
      </c>
      <c r="AT161" s="103" t="s">
        <v>86</v>
      </c>
      <c r="AU161" s="103" t="s">
        <v>87</v>
      </c>
      <c r="AV161" s="103" t="s">
        <v>88</v>
      </c>
      <c r="AW161" s="103" t="s">
        <v>89</v>
      </c>
      <c r="AX161" s="103" t="s">
        <v>90</v>
      </c>
      <c r="AZ161" s="103" t="s">
        <v>106</v>
      </c>
      <c r="BA161" s="103" t="s">
        <v>92</v>
      </c>
      <c r="BB161" s="103" t="s">
        <v>98</v>
      </c>
      <c r="BC161" s="103" t="s">
        <v>99</v>
      </c>
      <c r="BD161" s="103" t="s">
        <v>100</v>
      </c>
      <c r="BE161" s="103" t="s">
        <v>101</v>
      </c>
      <c r="BF161" s="103" t="s">
        <v>102</v>
      </c>
    </row>
    <row r="162" spans="1:58" hidden="1" outlineLevel="1" x14ac:dyDescent="0.25">
      <c r="F162" s="113"/>
      <c r="G162" s="31"/>
      <c r="H162" s="31"/>
      <c r="I162" s="31"/>
      <c r="J162" s="31"/>
      <c r="K162" s="31"/>
      <c r="L162" s="31"/>
      <c r="M162" s="31"/>
      <c r="N162" s="31"/>
      <c r="Q162" s="31"/>
      <c r="R162" s="97"/>
      <c r="S162" s="97"/>
      <c r="T162" s="97"/>
      <c r="U162" s="97"/>
      <c r="V162" s="97"/>
      <c r="W162" s="97"/>
      <c r="X162" s="97"/>
      <c r="Y162" s="97"/>
      <c r="Z162" s="97"/>
      <c r="AA162" s="97"/>
      <c r="AB162" s="97"/>
      <c r="AC162" s="98"/>
      <c r="AD162" s="98"/>
      <c r="AE162" s="98"/>
      <c r="AF162" s="98"/>
      <c r="AG162" s="98"/>
      <c r="AH162" s="98"/>
      <c r="AI162" s="98"/>
      <c r="AJ162" s="98"/>
      <c r="AK162" s="98"/>
      <c r="AL162" s="98"/>
      <c r="AM162" s="98"/>
      <c r="AN162" s="98"/>
      <c r="AP162" s="103" t="e">
        <f>((TP-H_1-((TP-H_1-(H_1*hnh)-(TP*TCv_3*tCo2_1*VE))*H_2/(TP-H_1-(H_1*hnh)))-(H_1*hnh)-((TP-H_1-(H_1*hnh)-(TP*TCv_3*tCo2_1*VE))*H_2*hnh/(TP-H_1-(H_1*hnh)))-(TP*TCv_3*tCo2_1*VE)-(TP*TCv_3*tCo2_2*VE))*(H_3*hnh/(TP-H_1-H_2-(hnh*(H_1+H_2)))))</f>
        <v>#DIV/0!</v>
      </c>
      <c r="AQ162" s="103" t="e">
        <f>(TP-H_1-((TP-H_1-(H_1*hnh)-(TP*TCv_3*tCo2_1*VE))*H_2/(TP-H_1-(H_1*hnh)))-AP160-(H_1*hnh)-((TP-H_1-(H_1*hnh)-(TP*TCv_3*tCo2_1*VE))*H_2*hnh/(TP-H_1-(H_1*hnh)))-AP162-(TP*TCv_3*tCo2_1*VE)-(TP*TCv_3*tCo2_2*VE)-(TP*TCv_3*tCo2_3*VE))*(H_4*hnh/(TP-H_1-H_2-H_3-(hnh*(H_1+H_2+H_3))))</f>
        <v>#DIV/0!</v>
      </c>
      <c r="AR162" s="103" t="e">
        <f>(TP-H_1-((TP-H_1-(H_1*hnh)-(TP*TCv_3*tCo2_1*VE))*H_2/(TP-H_1-(H_1*hnh)))-AP160-AQ160-(H_1*hnh)-((TP-H_1-(H_1*hnh)-(TP*TCv_3*tCo2_1*VE))*H_2*hnh/(TP-H_1-(H_1*hnh)))-AP162-AQ162-(TP*TCv_3*tCo2_1*VE)-(TP*TCv_3*tCo2_2*VE)-(TP*TCv_3*tCo2_3*VE)-(TP*TCv_3*tCo2_4*VE))*(H_5*hnh/(TP-H_1-H_2-H_3-H_4-(hnh*(H_1+H_2+H_3+H_4))))</f>
        <v>#DIV/0!</v>
      </c>
      <c r="AS162" s="103" t="e">
        <f>(TP-H_1-((TP-H_1-(H_1*hnh)-(TP*TCv_3*tCo2_1*VE))*H_2/(TP-H_1-(H_1*hnh)))-AP160-AQ160-AR160-(H_1*hnh)-((TP-H_1-(H_1*hnh)-(TP*TCv_3*tCo2_1*VE))*H_2*hnh/(TP-H_1-(H_1*hnh)))-AP162-AQ162-AR162-(TP*TCv_3*tCo2_1*VE)-(TP*TCv_3*tCo2_2*VE)-(TP*TCv_3*tCo2_3*VE)-(TP*TCv_3*tCo2_4*VE)-(TP*TCv_3*tCo2_5*VE))*(H_6*hnh/(TP-H_1-H_2-H_3-H_4-H_5-(hnh*(H_1+H_2+H_3+H_4+H_5))))</f>
        <v>#DIV/0!</v>
      </c>
      <c r="AT162" s="103" t="e">
        <f>(TP-H_1-((TP-H_1-(H_1*hnh)-(TP*TCv_3*tCo2_1*VE))*H_2/(TP-H_1-(H_1*hnh)))-AP160-AQ160-AR160-AS160-(H_1*hnh)-((TP-H_1-(H_1*hnh)-(TP*TCv_3*tCo2_1*VE))*H_2*hnh/(TP-H_1-(H_1*hnh)))-AP162-AQ162-AR162-AS162-(TP*TCv_3*tCo2_1*VE)-(TP*TCv_3*tCo2_2*VE)-(TP*TCv_3*tCo2_3*VE)-(TP*TCv_3*tCo2_4*VE)-(TP*TCv_3*tCo2_5*VE)-(TP*TCv_3*tCo2_6*VE))*(H_7*hnh/(TP-H_1-H_2-H_3-H_4-H_5-H_6-(hnh*(H_1+H_2+H_3+H_4+H_5+H_6))))</f>
        <v>#DIV/0!</v>
      </c>
      <c r="AU162" s="103" t="e">
        <f>(TP-H_1-((TP-H_1-(H_1*hnh)-(TP*TCv_3*tCo2_1*VE))*H_2/(TP-H_1-(H_1*hnh)))-AP160-AQ160-AR160-AS160-AT160-(H_1*hnh)-((TP-H_1-(H_1*hnh)-(TP*TCv_3*tCo2_1*VE))*H_2*hnh/(TP-H_1-(H_1*hnh)))-AP162-AQ162-AR162-AS162-AT162-(TP*TCv_3*tCo2_1*VE)-(TP*TCv_3*tCo2_2*VE)-(TP*TCv_3*tCo2_3*VE)-(TP*TCv_3*tCo2_4*VE)-(TP*TCv_3*tCo2_5*VE)-(TP*TCv_3*tCo2_6*VE)-(TP*TCv_3*tCo2_7*VE))*(H_8*hnh/(TP-H_1-H_2-H_3-H_4-H_5-H_6-H_7-(hnh*(H_1+H_2+H_3+H_4+H_5+H_6+H_7))))</f>
        <v>#DIV/0!</v>
      </c>
      <c r="AV162" s="103" t="e">
        <f>(TP-H_1-((TP-H_1-(H_1*hnh)-(TP*TCv_3*tCo2_1*VE))*H_2/(TP-H_1-(H_1*hnh)))-AP160-AQ160-AR160-AS160-AT160-AU160-(H_1*hnh)-((TP-H_1-(H_1*hnh)-(TP*TCv_3*tCo2_1*VE))*H_2*hnh/(TP-H_1-(H_1*hnh)))-AP162-AQ162-AR162-AS162-AT162-AU162-(TP*TCv_3*tCo2_1*VE)-(TP*TCv_3*tCo2_2*VE)-(TP*TCv_3*tCo2_3*VE)-(TP*TCv_3*tCo2_4*VE)-(TP*TCv_3*tCo2_5*VE)-(TP*TCv_3*tCo2_6*VE)-(TP*TCv_3*tCo2_7*VE)-(TP*TCv_3*tCo2_8*VE))*(H_9*hnh/(TP-H_1-H_2-H_3-H_4-H_5-H_6-H_7-H_8-(hnh*(H_1+H_2+H_3+H_4+H_5+H_6+H_7+H_8))))</f>
        <v>#DIV/0!</v>
      </c>
      <c r="AW162" s="103" t="e">
        <f>(TP-H_1-((TP-H_1-(H_1*hnh)-(TP*TCv_3*tCo2_1*VE))*H_2/(TP-H_1-(H_1*hnh)))-AP160-AQ160-AR160-AS160-AT160-AU160-AV160-(H_1*hnh)-((TP-H_1-(H_1*hnh)-(TP*TCv_3*tCo2_1*VE))*H_2*hnh/(TP-H_1-(H_1*hnh)))-AP162-AQ162-AR162-AS162-AT162-AU162-AV162-(TP*TCv_3*tCo2_1*VE)-(TP*TCv_3*tCo2_2*VE)-(TP*TCv_3*tCo2_3*VE)-(TP*TCv_3*tCo2_4*VE)-(TP*TCv_3*tCo2_5*VE)-(TP*TCv_3*tCo2_6*VE)-(TP*TCv_3*tCo2_7*VE)-(TP*TCv_3*tCo2_8*VE)-(TP*TCv_3*tCo2_9*VE))*(H_10*hnh/(TP-H_1-H_2-H_3-H_4-H_5-H_6-H_7-H_8-H_9-(hnh*(H_1+H_2+H_3+H_4+H_5+H_6+H_7+H_8+H_9))))</f>
        <v>#DIV/0!</v>
      </c>
      <c r="AX162" s="103" t="e">
        <f>(TP-H_1-((TP-H_1-(H_1*hnh)-(TP*TCv_3*tCo2_1*VE))*H_2/(TP-H_1-(H_1*hnh)))-AP160-AQ160-AR160-AS160-AT160-AU160-AV160-AW160-(H_1*hnh)-((TP-H_1-(H_1*hnh)-(TP*TCv_3*tCo2_1*VE))*H_2*hnh/(TP-H_1-(H_1*hnh)))-AP162-AQ162-AR162-AS162-AT162-AU162-AV162-AW162-(TP*TCv_3*tCo2_1*VE)-(TP*TCv_3*tCo2_2*VE)-(TP*TCv_3*tCo2_3*VE)-(TP*TCv_3*tCo2_4*VE)-(TP*TCv_3*tCo2_5*VE)-(TP*TCv_3*tCo2_6*VE)-(TP*TCv_3*tCo2_7*VE)-(TP*TCv_3*tCo2_8*VE)-(TP*TCv_3*tCo2_9*VE)-(TP*TCv_3*tCo2_10*VE))*(H_11*hnh/(TP-H_1-H_2-H_3-H_4-H_5-H_6-H_7-H_8-H_9-H_10-(hnh*(H_1+H_2+H_3+H_4+H_5+H_6+H_7+H_8+H_9+H_10))))</f>
        <v>#DIV/0!</v>
      </c>
      <c r="AZ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H_5*hnh/(TP-H_1-H_2-H_3-H_4-(hnh*(H_1+H_2+H_3+H_4))-(TP*VE*(TCv_3*tCo2_1+TCv_3*tCo2_2+TCv_3*tCo2_3+TCv_3*tCo2_4)))</f>
        <v>#DIV/0!</v>
      </c>
      <c r="BA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H_6*hnh/(TP-H_1-H_2-H_3-H_4-H_5-(hnh*(H_1+H_2+H_3+H_4+H_5))-(TP*VE*(TCv_3*tCo2_1+TCv_3*tCo2_2+TCv_3*tCo2_3+TCv_3*tCo2_4+TCv_3*tCo2_5)))</f>
        <v>#DIV/0!</v>
      </c>
      <c r="BB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H_7*hnh/(TP-H_1-H_2-H_3-H_4-H_5-H_6-(hnh*(H_1+H_2+H_3+H_4+H_5+H_6))-(TP*VE*(TCv_3*tCo2_1+TCv_3*tCo2_2+TCv_3*tCo2_3+TCv_3*tCo2_4+TCv_3*tCo2_5+TCv_3*tCo2_6)))</f>
        <v>#DIV/0!</v>
      </c>
      <c r="BC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H_8*hnh/(TP-H_1-H_2-H_3-H_4-H_5-H_6-H_7-(hnh*(H_1+H_2+H_3+H_4+H_5+H_6+H_7))-(TP*VE*(TCv_3*tCo2_1+TCv_3*tCo2_2+TCv_3*tCo2_3+TCv_3*tCo2_4+TCv_3*tCo2_5+TCv_3*tCo2_6+TCv_3*tCo2_7)))</f>
        <v>#DIV/0!</v>
      </c>
      <c r="BD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H_9*hnh/(TP-H_1-H_2-H_3-H_4-H_5-H_6-H_7-H_8-(hnh*(H_1+H_2+H_3+H_4+H_5+H_6+H_7+H_8))-(TP*VE*(TCv_3*tCo2_1+TCv_3*tCo2_2+TCv_3*tCo2_3+TCv_3*tCo2_4+TCv_3*tCo2_5+TCv_3*tCo2_6+TCv_3*tCo2_7+TCv_3*tCo2_8)))</f>
        <v>#DIV/0!</v>
      </c>
      <c r="BE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H_10*hnh/(TP-H_1-H_2-H_3-H_4-H_5-H_6-H_7-H_8-H_9-(hnh*(H_1+H_2+H_3+H_4+H_5+H_6+H_7+H_8+H_9))-(TP*VE*(TCv_3*tCo2_1+TCv_3*tCo2_2+TCv_3*tCo2_3+TCv_3*tCo2_4+TCv_3*tCo2_5+TCv_3*tCo2_6+TCv_3*tCo2_7+TCv_3*tCo2_8+TCv_3*tCo2_9)))</f>
        <v>#DIV/0!</v>
      </c>
      <c r="BF162" s="103" t="e">
        <f>(TP-H_1-((TP-H_1-(H_1*hnh))*H_2/(TP-H_1-(H_1*hnh)-(TP*TCv_3*tCo2_1*VE)))-((TP-H_1-((TP-H_1-(H_1*hnh))*H_2/(TP-H_1-(H_1*hnh)-(TP*TCv_3*tCo2_1*VE)))-(H_1*hnh)-((TP-H_1-(H_1*hnh))*H_2*hnh/(TP-H_1-(H_1*hnh)-(TP*TCv_3*tCo2_1*VE))))*H_3/(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TP-H_1-H_2-H_3-(hnh*(H_1+H_2+H_3))-(TP*VE*(TCv_3*tCo2_1+TCv_3*tCo2_2+TCv_3*tCo2_3))))-AZ160-BA160-BB160-BC160-BD160-BE160-(H_1*hnh)-((TP-H_1-(H_1*hnh))*H_2*hnh/(TP-H_1-(H_1*hnh)-(TP*TCv_3*tCo2_1*VE)))-((TP-H_1-((TP-H_1-(H_1*hnh))*H_2/(TP-H_1-(H_1*hnh)-(TP*TCv_3*tCo2_1*VE)))-(H_1*hnh)-((TP-H_1-(H_1*hnh))*H_2*hnh/(TP-H_1-(H_1*hnh)-(TP*TCv_3*tCo2_1*VE))))*H_3*hnh/(TP-H_1-H_2-(hnh*(H_1+H_2))-(TP*VE*(TCv_3*tCo2_1+TCv_3*tCo2_2))))-((TP-H_1-((TP-H_1-(H_1*hnh))*H_2/(TP-H_1-(H_1*hnh)-(TP*TCv_3*tCo2_1*VE)))-((TP-H_1-((TP-H_1-(H_1*hnh))*H_2/(TP-H_1-(H_1*hnh)-(TP*TCv_3*tCo2_1*VE)))-(H_1*hnh)-((TP-H_1-(H_1*hnh))*H_2*hnh/(TP-H_1-(H_1*hnh)-(TP*TCv_3*tCo2_1*VE))))*H_3/(TP-H_1-H_2-(hnh*(H_1+H_2))-(TP*VE*(TCv_3*tCo2_1+TCv_3*tCo2_2))))-(H_1*hnh)-((TP-H_1-(H_1*hnh))*H_2*hnh/(TP-H_1-(H_1*hnh)-(TP*TCv_3*tCo2_1*VE)))-((TP-H_1-((TP-H_1-(H_1*hnh))*H_2/(TP-H_1-(H_1*hnh)-(TP*TCv_3*tCo2_1*VE)))-(H_1*hnh)-((TP-H_1-(H_1*hnh))*H_2*hnh/(TP-H_1-(H_1*hnh)-(TP*TCv_3*tCo2_1*VE))))*H_3*hnh/(TP-H_1-H_2-(hnh*(H_1+H_2))-(TP*VE*(TCv_3*tCo2_1+TCv_3*tCo2_2)))))*H_4*hnh/(TP-H_1-H_2-H_3-(hnh*(H_1+H_2+H_3))-(TP*VE*(TCv_3*tCo2_1+TCv_3*tCo2_2+TCv_3*tCo2_3))))-AZ162-BA162-BB162-BC162-BD162-BE162)*H_11*hnh/(TP-H_1-H_2-H_3-H_4-H_5-H_6-H_7-H_8-H_9-H_10-(hnh*(H_1+H_2+H_3+H_4+H_5+H_6+H_7+H_8+H_9+H_10))-(TP*VE*(TCv_3*tCo2_1+TCv_3*tCo2_2+TCv_3*tCo2_3+TCv_3*tCo2_4+TCv_3*tCo2_5+TCv_3*tCo2_6+TCv_3*tCo2_7+TCv_3*tCo2_8+TCv_3*tCo2_9+TCv_3*tCo2_10)))</f>
        <v>#DIV/0!</v>
      </c>
    </row>
    <row r="163" spans="1:58" hidden="1" outlineLevel="1" x14ac:dyDescent="0.25">
      <c r="F163" s="112"/>
    </row>
    <row r="164" spans="1:58" hidden="1" outlineLevel="1" x14ac:dyDescent="0.25"/>
    <row r="165" spans="1:58" collapsed="1" x14ac:dyDescent="0.25"/>
    <row r="166" spans="1:58" s="105" customFormat="1" x14ac:dyDescent="0.25">
      <c r="A166" s="104" t="s">
        <v>303</v>
      </c>
      <c r="B166" s="104"/>
    </row>
    <row r="167" spans="1:58" hidden="1" outlineLevel="1" x14ac:dyDescent="0.25">
      <c r="Q167" s="102" t="s">
        <v>72</v>
      </c>
      <c r="R167" s="102"/>
      <c r="S167" s="102"/>
      <c r="T167" s="102"/>
      <c r="U167" s="102"/>
      <c r="V167" s="102"/>
      <c r="W167" s="102"/>
      <c r="X167" s="102"/>
      <c r="Y167" s="102"/>
      <c r="Z167" s="102"/>
      <c r="AA167" s="102"/>
      <c r="AB167" s="102"/>
      <c r="AC167" s="101" t="s">
        <v>104</v>
      </c>
      <c r="AD167" s="101"/>
      <c r="AE167" s="101"/>
      <c r="AF167" s="101"/>
      <c r="AG167" s="101"/>
      <c r="AH167" s="101"/>
      <c r="AI167" s="101"/>
      <c r="AJ167" s="101"/>
      <c r="AK167" s="101"/>
      <c r="AL167" s="101"/>
      <c r="AM167" s="101"/>
      <c r="AN167" s="101"/>
      <c r="AP167" s="103">
        <v>3</v>
      </c>
      <c r="AQ167" s="103">
        <v>4</v>
      </c>
      <c r="AR167" s="103">
        <v>5</v>
      </c>
      <c r="AS167" s="103">
        <v>6</v>
      </c>
      <c r="AT167" s="103">
        <v>7</v>
      </c>
      <c r="AU167" s="103">
        <v>8</v>
      </c>
      <c r="AV167" s="103">
        <v>9</v>
      </c>
      <c r="AW167" s="103">
        <v>10</v>
      </c>
      <c r="AX167" s="103">
        <v>11</v>
      </c>
      <c r="AZ167" s="103">
        <v>5</v>
      </c>
      <c r="BA167" s="103">
        <v>6</v>
      </c>
      <c r="BB167" s="103">
        <v>7</v>
      </c>
      <c r="BC167" s="103">
        <v>8</v>
      </c>
      <c r="BD167" s="103">
        <v>9</v>
      </c>
      <c r="BE167" s="103">
        <v>10</v>
      </c>
      <c r="BF167" s="103">
        <v>11</v>
      </c>
    </row>
    <row r="168" spans="1:58" ht="28.7" hidden="1" customHeight="1" outlineLevel="1" x14ac:dyDescent="0.25">
      <c r="A168" s="11" t="s">
        <v>47</v>
      </c>
      <c r="B168" s="11"/>
      <c r="C168" s="11"/>
      <c r="D168" s="11"/>
      <c r="E168" s="11"/>
      <c r="F168" s="11"/>
      <c r="G168" s="109" t="s">
        <v>50</v>
      </c>
      <c r="H168" s="109"/>
      <c r="I168" s="110" t="s">
        <v>44</v>
      </c>
      <c r="J168" s="110"/>
      <c r="K168" s="101" t="s">
        <v>58</v>
      </c>
      <c r="L168" s="101"/>
      <c r="M168" s="110" t="s">
        <v>45</v>
      </c>
      <c r="N168" s="110"/>
      <c r="Q168" s="102" t="s">
        <v>1</v>
      </c>
      <c r="R168" s="102"/>
      <c r="S168" s="102"/>
      <c r="T168" s="102"/>
      <c r="U168" s="102"/>
      <c r="V168" s="102"/>
      <c r="W168" s="102"/>
      <c r="X168" s="102"/>
      <c r="Y168" s="102"/>
      <c r="Z168" s="102"/>
      <c r="AA168" s="102"/>
      <c r="AB168" s="102"/>
      <c r="AC168" s="101" t="s">
        <v>71</v>
      </c>
      <c r="AD168" s="101"/>
      <c r="AE168" s="101"/>
      <c r="AF168" s="101"/>
      <c r="AG168" s="101"/>
      <c r="AH168" s="101"/>
      <c r="AI168" s="101"/>
      <c r="AJ168" s="101"/>
      <c r="AK168" s="101"/>
      <c r="AL168" s="101"/>
      <c r="AM168" s="101"/>
      <c r="AN168" s="101"/>
      <c r="AP168" s="103" t="s">
        <v>73</v>
      </c>
      <c r="AQ168" s="103" t="s">
        <v>74</v>
      </c>
      <c r="AR168" s="103" t="s">
        <v>75</v>
      </c>
      <c r="AS168" s="103" t="s">
        <v>76</v>
      </c>
      <c r="AT168" s="103" t="s">
        <v>77</v>
      </c>
      <c r="AU168" s="103" t="s">
        <v>78</v>
      </c>
      <c r="AV168" s="103" t="s">
        <v>79</v>
      </c>
      <c r="AW168" s="103" t="s">
        <v>80</v>
      </c>
      <c r="AX168" s="103" t="s">
        <v>81</v>
      </c>
      <c r="AZ168" s="103" t="s">
        <v>105</v>
      </c>
      <c r="BA168" s="103" t="s">
        <v>91</v>
      </c>
      <c r="BB168" s="103" t="s">
        <v>93</v>
      </c>
      <c r="BC168" s="103" t="s">
        <v>94</v>
      </c>
      <c r="BD168" s="103" t="s">
        <v>95</v>
      </c>
      <c r="BE168" s="103" t="s">
        <v>96</v>
      </c>
      <c r="BF168" s="103" t="s">
        <v>97</v>
      </c>
    </row>
    <row r="169" spans="1:58" ht="45" hidden="1" outlineLevel="1" x14ac:dyDescent="0.25">
      <c r="A169" s="70" t="s">
        <v>40</v>
      </c>
      <c r="B169" s="70" t="s">
        <v>41</v>
      </c>
      <c r="C169" s="70" t="s">
        <v>53</v>
      </c>
      <c r="D169" s="70" t="s">
        <v>48</v>
      </c>
      <c r="E169" s="70" t="s">
        <v>42</v>
      </c>
      <c r="F169" s="76" t="s">
        <v>49</v>
      </c>
      <c r="G169" s="71" t="s">
        <v>51</v>
      </c>
      <c r="H169" s="71" t="s">
        <v>52</v>
      </c>
      <c r="I169" s="72" t="s">
        <v>51</v>
      </c>
      <c r="J169" s="72" t="s">
        <v>52</v>
      </c>
      <c r="K169" s="77" t="s">
        <v>51</v>
      </c>
      <c r="L169" s="77" t="s">
        <v>52</v>
      </c>
      <c r="M169" s="72" t="s">
        <v>51</v>
      </c>
      <c r="N169" s="72" t="s">
        <v>52</v>
      </c>
      <c r="Q169" s="102">
        <v>1</v>
      </c>
      <c r="R169" s="102">
        <v>2</v>
      </c>
      <c r="S169" s="102">
        <v>3</v>
      </c>
      <c r="T169" s="102">
        <v>4</v>
      </c>
      <c r="U169" s="102">
        <v>5</v>
      </c>
      <c r="V169" s="102">
        <v>6</v>
      </c>
      <c r="W169" s="102">
        <v>7</v>
      </c>
      <c r="X169" s="102">
        <v>8</v>
      </c>
      <c r="Y169" s="102">
        <v>9</v>
      </c>
      <c r="Z169" s="102">
        <v>10</v>
      </c>
      <c r="AA169" s="102">
        <v>11</v>
      </c>
      <c r="AB169" s="102">
        <v>12</v>
      </c>
      <c r="AC169" s="101">
        <v>1</v>
      </c>
      <c r="AD169" s="101">
        <v>2</v>
      </c>
      <c r="AE169" s="101">
        <v>3</v>
      </c>
      <c r="AF169" s="101">
        <v>4</v>
      </c>
      <c r="AG169" s="101">
        <v>5</v>
      </c>
      <c r="AH169" s="101">
        <v>6</v>
      </c>
      <c r="AI169" s="101">
        <v>7</v>
      </c>
      <c r="AJ169" s="101">
        <v>8</v>
      </c>
      <c r="AK169" s="101">
        <v>9</v>
      </c>
      <c r="AL169" s="101">
        <v>10</v>
      </c>
      <c r="AM169" s="101">
        <v>11</v>
      </c>
      <c r="AN169" s="101">
        <v>12</v>
      </c>
      <c r="AP169" s="103" t="e">
        <f>((TP-H_1-((TP-H_1-(H_1*hnh)-(TP*TCv_4*tCo2_1*VE))*H_2/(TP-H_1-(H_1*hnh)))-(H_1*hnh)-((TP-H_1-(H_1*hnh)-(TP*TCv_4*tCo2_1*VE))*H_2*hnh/(TP-H_1-(H_1*hnh)))-(TP*TCv_4*tCo2_1*VE)-(TP*TCv_4*tCo2_2*VE))*(H_3/(TP-H_1-H_2-(hnh*(H_1+H_2)))))</f>
        <v>#DIV/0!</v>
      </c>
      <c r="AQ169" s="103" t="e">
        <f>(TP-H_1-((TP-H_1-(H_1*hnh)-(TP*TCv_4*tCo2_1*VE))*H_2/(TP-H_1-(H_1*hnh)))-AP169-(H_1*hnh)-((TP-H_1-(H_1*hnh)-(TP*TCv_4*tCo2_1*VE))*H_2*hnh/(TP-H_1-(H_1*hnh)))-AP171-(TP*TCv_4*tCo2_1*VE)-(TP*TCv_4*tCo2_2*VE)-(TP*TCv_4*tCo2_3*VE))*(H_4/(TP-H_1-H_2-H_3-(hnh*(H_1+H_2+H_3))))</f>
        <v>#DIV/0!</v>
      </c>
      <c r="AR169" s="103" t="e">
        <f>(TP-H_1-((TP-H_1-(H_1*hnh)-(TP*TCv_4*tCo2_1*VE))*H_2/(TP-H_1-(H_1*hnh)))-AP169-AQ169-(H_1*hnh)-((TP-H_1-(H_1*hnh)-(TP*TCv_4*tCo2_1*VE))*H_2*hnh/(TP-H_1-(H_1*hnh)))-AP171-AQ171-(TP*TCv_4*tCo2_1*VE)-(TP*TCv_4*tCo2_2*VE)-(TP*TCv_4*tCo2_3*VE)-(TP*TCv_4*tCo2_4*VE))*(H_5/(TP-H_1-H_2-H_3-H_4-(hnh*(H_1+H_2+H_3+H_4))))</f>
        <v>#DIV/0!</v>
      </c>
      <c r="AS169" s="103" t="e">
        <f>(TP-H_1-((TP-H_1-(H_1*hnh)-(TP*TCv_4*tCo2_1*VE))*H_2/(TP-H_1-(H_1*hnh)))-AP169-AQ169-AR169-(H_1*hnh)-((TP-H_1-(H_1*hnh)-(TP*TCv_4*tCo2_1*VE))*H_2*hnh/(TP-H_1-(H_1*hnh)))-AP171-AQ171-AR171-(TP*TCv_4*tCo2_1*VE)-(TP*TCv_4*tCo2_2*VE)-(TP*TCv_4*tCo2_3*VE)-(TP*TCv_4*tCo2_4*VE)-(TP*TCv_4*tCo2_5*VE))*(H_6/(TP-H_1-H_2-H_3-H_4-H_5-(hnh*(H_1+H_2+H_3+H_4+H_5))))</f>
        <v>#DIV/0!</v>
      </c>
      <c r="AT169" s="103" t="e">
        <f>(TP-H_1-((TP-H_1-(H_1*hnh)-(TP*TCv_4*tCo2_1*VE))*H_2/(TP-H_1-(H_1*hnh)))-AP169-AQ169-AR169-AS169-(H_1*hnh)-((TP-H_1-(H_1*hnh)-(TP*TCv_4*tCo2_1*VE))*H_2*hnh/(TP-H_1-(H_1*hnh)))-AP171-AQ171-AR171-AS171-(TP*TCv_4*tCo2_1*VE)-(TP*TCv_4*tCo2_2*VE)-(TP*TCv_4*tCo2_3*VE)-(TP*TCv_4*tCo2_4*VE)-(TP*TCv_4*tCo2_5*VE)-(TP*TCv_4*tCo2_6*VE))*(H_7/(TP-H_1-H_2-H_3-H_4-H_5-H_6-(hnh*(H_1+H_2+H_3+H_4+H_5+H_6))))</f>
        <v>#DIV/0!</v>
      </c>
      <c r="AU169" s="103" t="e">
        <f>(TP-H_1-((TP-H_1-(H_1*hnh)-(TP*TCv_4*tCo2_1*VE))*H_2/(TP-H_1-(H_1*hnh)))-AP169-AQ169-AR169-AS169-AT169-(H_1*hnh)-((TP-H_1-(H_1*hnh)-(TP*TCv_4*tCo2_1*VE))*H_2*hnh/(TP-H_1-(H_1*hnh)))-AP171-AQ171-AR171-AS171-AT171-(TP*TCv_4*tCo2_1*VE)-(TP*TCv_4*tCo2_2*VE)-(TP*TCv_4*tCo2_3*VE)-(TP*TCv_4*tCo2_4*VE)-(TP*TCv_4*tCo2_5*VE)-(TP*TCv_4*tCo2_6*VE)-(TP*TCv_4*tCo2_7*VE))*(H_8/(TP-H_1-H_2-H_3-H_4-H_5-H_6-H_7-(hnh*(H_1+H_2+H_3+H_4+H_5+H_6+H_7))))</f>
        <v>#DIV/0!</v>
      </c>
      <c r="AV169" s="103" t="e">
        <f>(TP-H_1-((TP-H_1-(H_1*hnh)-(TP*TCv_4*tCo2_1*VE))*H_2/(TP-H_1-(H_1*hnh)))-AP169-AQ169-AR169-AS169-AT169-AU169-(H_1*hnh)-((TP-H_1-(H_1*hnh)-(TP*TCv_4*tCo2_1*VE))*H_2*hnh/(TP-H_1-(H_1*hnh)))-AP171-AQ171-AR171-AS171-AT171-AU171-(TP*TCv_4*tCo2_1*VE)-(TP*TCv_4*tCo2_2*VE)-(TP*TCv_4*tCo2_3*VE)-(TP*TCv_4*tCo2_4*VE)-(TP*TCv_4*tCo2_5*VE)-(TP*TCv_4*tCo2_6*VE)-(TP*TCv_4*tCo2_7*VE)-(TP*TCv_4*tCo2_8*VE))*(H_9/(TP-H_1-H_2-H_3-H_4-H_5-H_6-H_7-H_8-(hnh*(H_1+H_2+H_3+H_4+H_5+H_6+H_7+H_8))))</f>
        <v>#DIV/0!</v>
      </c>
      <c r="AW169" s="103" t="e">
        <f>(TP-H_1-((TP-H_1-(H_1*hnh)-(TP*TCv_4*tCo2_1*VE))*H_2/(TP-H_1-(H_1*hnh)))-AP169-AQ169-AR169-AS169-AT169-AU169-AV169-(H_1*hnh)-((TP-H_1-(H_1*hnh)-(TP*TCv_4*tCo2_1*VE))*H_2*hnh/(TP-H_1-(H_1*hnh)))-AP171-AQ171-AR171-AS171-AT171-AU171-AV171-(TP*TCv_4*tCo2_1*VE)-(TP*TCv_4*tCo2_2*VE)-(TP*TCv_4*tCo2_3*VE)-(TP*TCv_4*tCo2_4*VE)-(TP*TCv_4*tCo2_5*VE)-(TP*TCv_4*tCo2_6*VE)-(TP*TCv_4*tCo2_7*VE)-(TP*TCv_4*tCo2_8*VE)-(TP*TCv_4*tCo2_9*VE))*(H_10/(TP-H_1-H_2-H_3-H_4-H_5-H_6-H_7-H_8-H_9-(hnh*(H_1+H_2+H_3+H_4+H_5+H_6+H_7+H_8+H_9))))</f>
        <v>#DIV/0!</v>
      </c>
      <c r="AX169" s="103" t="e">
        <f>(TP-H_1-((TP-H_1-(H_1*hnh)-(TP*TCv_4*tCo2_1*VE))*H_2/(TP-H_1-(H_1*hnh)))-AP169-AQ169-AR169-AS169-AT169-AU169-AV169-AW169-(H_1*hnh)-((TP-H_1-(H_1*hnh)-(TP*TCv_4*tCo2_1*VE))*H_2*hnh/(TP-H_1-(H_1*hnh)))-AP171-AQ171-AR171-AS171-AT171-AU171-AV171-AW171-(TP*TCv_4*tCo2_1*VE)-(TP*TCv_4*tCo2_2*VE)-(TP*TCv_4*tCo2_3*VE)-(TP*TCv_4*tCo2_4*VE)-(TP*TCv_4*tCo2_5*VE)-(TP*TCv_4*tCo2_6*VE)-(TP*TCv_4*tCo2_7*VE)-(TP*TCv_4*tCo2_8*VE)-(TP*TCv_4*tCo2_9*VE)-(TP*TCv_4*tCo2_10*VE))*(H_11/(TP-H_1-H_2-H_3-H_4-H_5-H_6-H_7-H_8-H_9-H_10-(hnh*(H_1+H_2+H_3+H_4+H_5+H_6+H_7+H_8+H_9+H_10))))</f>
        <v>#DIV/0!</v>
      </c>
      <c r="AZ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H_5/(TP-H_1-H_2-H_3-H_4-(hnh*(H_1+H_2+H_3+H_4))-(TP*VE*(TCv_4*tCo2_1+TCv_4*tCo2_2+TCv_4*tCo2_3+TCv_4*tCo2_4)))</f>
        <v>#DIV/0!</v>
      </c>
      <c r="BA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H_6/(TP-H_1-H_2-H_3-H_4-H_5-(hnh*(H_1+H_2+H_3+H_4+H_5))-(TP*VE*(TCv_4*tCo2_1+TCv_4*tCo2_2+TCv_4*tCo2_3+TCv_4*tCo2_4+TCv_4*tCo2_5)))</f>
        <v>#DIV/0!</v>
      </c>
      <c r="BB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H_7/(TP-H_1-H_2-H_3-H_4-H_5-H_6-(hnh*(H_1+H_2+H_3+H_4+H_5+H_6))-(TP*VE*(TCv_4*tCo2_1+TCv_4*tCo2_2+TCv_4*tCo2_3+TCv_4*tCo2_4+TCv_4*tCo2_5+TCv_4*tCo2_6)))</f>
        <v>#DIV/0!</v>
      </c>
      <c r="BC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H_8/(TP-H_1-H_2-H_3-H_4-H_5-H_6-H_7-(hnh*(H_1+H_2+H_3+H_4+H_5+H_6+H_7))-(TP*VE*(TCv_4*tCo2_1+TCv_4*tCo2_2+TCv_4*tCo2_3+TCv_4*tCo2_4+TCv_4*tCo2_5+TCv_4*tCo2_6+TCv_4*tCo2_7)))</f>
        <v>#DIV/0!</v>
      </c>
      <c r="BD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H_9/(TP-H_1-H_2-H_3-H_4-H_5-H_6-H_7-H_8-(hnh*(H_1+H_2+H_3+H_4+H_5+H_6+H_7+H_8))-(TP*VE*(TCv_4*tCo2_1+TCv_4*tCo2_2+TCv_4*tCo2_3+TCv_4*tCo2_4+TCv_4*tCo2_5+TCv_4*tCo2_6+TCv_4*tCo2_7+TCv_4*tCo2_8)))</f>
        <v>#DIV/0!</v>
      </c>
      <c r="BE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H_10/(TP-H_1-H_2-H_3-H_4-H_5-H_6-H_7-H_8-H_9-(hnh*(H_1+H_2+H_3+H_4+H_5+H_6+H_7+H_8+H_9))-(TP*VE*(TCv_4*tCo2_1+TCv_4*tCo2_2+TCv_4*tCo2_3+TCv_4*tCo2_4+TCv_4*tCo2_5+TCv_4*tCo2_6+TCv_4*tCo2_7+TCv_4*tCo2_8+TCv_4*tCo2_9)))</f>
        <v>#DIV/0!</v>
      </c>
      <c r="BF169"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H_11/(TP-H_1-H_2-H_3-H_4-H_5-H_6-H_7-H_8-H_9-H_10-(hnh*(H_1+H_2+H_3+H_4+H_5+H_6+H_7+H_8+H_9+H_10))-(TP*VE*(TCv_4*tCo2_1+TCv_4*tCo2_2+TCv_4*tCo2_3+TCv_4*tCo2_4+TCv_4*tCo2_5+TCv_4*tCo2_6+TCv_4*tCo2_7+TCv_4*tCo2_8+TCv_4*tCo2_9+TCv_4*tCo2_10)))</f>
        <v>#DIV/0!</v>
      </c>
    </row>
    <row r="170" spans="1:58" hidden="1" outlineLevel="1" x14ac:dyDescent="0.25">
      <c r="A170" s="73">
        <f>season</f>
        <v>0</v>
      </c>
      <c r="B170" s="73">
        <f>TG</f>
        <v>0</v>
      </c>
      <c r="C170" s="73">
        <f>TP</f>
        <v>0</v>
      </c>
      <c r="D170" s="74">
        <f>TCv</f>
        <v>0</v>
      </c>
      <c r="E170" s="75">
        <f>VE</f>
        <v>0</v>
      </c>
      <c r="F170" s="78" t="e">
        <f>G170/IF(mb=1,SUM(AC170:AN170),IF(mb=2,SUM(AD170:AN170),IF(mb=3,SUM(AE170:AN170),IF(mb=4,SUM(AF170:AN170),IF(mb=5,SUM(AG170:AN170),IF(mb=6,SUM(AH170:AN170),IF(mb=7,SUM(AI170:AN170),IF(mb=8,SUM(AJ170:AN170),0))))))))</f>
        <v>#DIV/0!</v>
      </c>
      <c r="G170" s="42">
        <f>IF(mb=1,SUM(AC170:AN170)-SUM(Q170:AB170),IF(mb=2,SUM(AD170:AN170)-SUM(R170:AB170),IF(mb=3,SUM(AE170:AN170)-SUM(S170:AB170),IF(mb=4,SUM(AF170:AN170)-SUM(T170:AB170),IF(mb=5,SUM(AG170:AN170)-SUM(U170:AB170),IF(mb=6,SUM(AH170:AN170)-SUM(V170:AB170),IF(mb=7,SUM(AI170:AN170)-SUM(W170:AB170),IF(mb=8,SUM(AJ170:AN170)-SUM(X170:AB170),0))))))))</f>
        <v>0</v>
      </c>
      <c r="H170" s="96" t="e">
        <f>1/(VE*IF(mb=1,SUM(AC170:AN170),IF(mb=2,SUM(AD170:AN170),IF(mb=3,SUM(AE170:AN170),IF(mb=4,SUM(AF170:AN170),IF(mb=5,SUM(AG170:AN170),IF(mb=6,SUM(AH170:AN170),IF(mb=7,SUM(AI170:AN170),IF(mb=8,SUM(AJ170:AN170),0))))))))/TP)</f>
        <v>#DIV/0!</v>
      </c>
      <c r="I170" s="93" t="e">
        <f>G170/hnh</f>
        <v>#DIV/0!</v>
      </c>
      <c r="J170" s="42" t="e">
        <f>1/(VE*IF(mb=1,SUM(AC170:AN170),IF(mb=2,SUM(AD170:AN170),IF(mb=3,SUM(AE170:AN170),IF(mb=4,SUM(AF170:AN170),IF(mb=5,SUM(AG170:AN170),IF(mb=6,SUM(AH170:AN170),IF(mb=7,SUM(AI170:AN170),IF(mb=8,SUM(AJ170:AN170),0))))))))/(TP*hnh))</f>
        <v>#DIV/0!</v>
      </c>
      <c r="K170" s="42" t="e">
        <f>M170*mai</f>
        <v>#DIV/0!</v>
      </c>
      <c r="L170" s="42" t="e">
        <f>1/(VE*((IF(mb=1,SUM(AC170:AN170),IF(mb=2,SUM(AD170:AN170),IF(mb=3,SUM(AE170:AN170),IF(mb=4,SUM(AF170:AN170),IF(mb=5,SUM(AG170:AN170),IF(mb=6,SUM(AH170:AN170),IF(mb=7,SUM(AI170:AN170),IF(mb=8,SUM(AJ170:AN170),0))))))))+(IF(mb=1,SUM(AC170:AN170),IF(mb=2,SUM(AD170:AN170),IF(mb=3,SUM(AE170:AN170),IF(mb=4,SUM(AF170:AN170),IF(mb=5,SUM(AG170:AN170),IF(mb=6,SUM(AH170:AN170),IF(mb=7,SUM(AI170:AN170),IF(mb=8,SUM(AJ170:AN170),0)))))))))/hnh)*mai)/TP)</f>
        <v>#DIV/0!</v>
      </c>
      <c r="M170" s="42" t="e">
        <f>G170+I170</f>
        <v>#DIV/0!</v>
      </c>
      <c r="N170" s="42" t="e">
        <f>1/(VE*(IF(mb=1,SUM(AC170:AN170),IF(mb=2,SUM(AD170:AN170),IF(mb=3,SUM(AE170:AN170),IF(mb=4,SUM(AF170:AN170),IF(mb=5,SUM(AG170:AN170),IF(mb=6,SUM(AH170:AN170),IF(mb=7,SUM(AI170:AN170),IF(mb=8,SUM(AJ170:AN170),0))))))))+(IF(mb=1,SUM(AC170:AN170),IF(mb=2,SUM(AD170:AN170),IF(mb=3,SUM(AE170:AN170),IF(mb=4,SUM(AF170:AN170),IF(mb=5,SUM(AG170:AN170),IF(mb=6,SUM(AH170:AN170),IF(mb=7,SUM(AI170:AN170),IF(mb=8,SUM(AJ170:AN170),0)))))))))/hnh)/TP)</f>
        <v>#DIV/0!</v>
      </c>
      <c r="Q170" s="86" t="e">
        <f>IF(ISc=1,nh1_1,IF(ISc=2,H_1*hnh,0))</f>
        <v>#DIV/0!</v>
      </c>
      <c r="R170" s="111" t="e">
        <f>IF(ScI=1,((nh1_2/(TP-(nh1_1/hnh)-nh1_1))*(TP-(nh1_1/hnh)-nh1_1-(TP*TCv_4*tCo2_1*VE))),IF(ScI=2,(TP-H_1-(H_1*hnh)-(TP*TCv_4*tCo2_1*VE))*(H_2*hnh/(TP-H_1-(H_1*hnh))),"fal"))</f>
        <v>#DIV/0!</v>
      </c>
      <c r="S170" s="137" t="e">
        <f>IF(ScI=1,(nh1_3/(TP-((nh1_1+nh1_2)/hnh)-nh1_1-nh1_2))*(TP-(nh1_1/hnh)-(R170/hnh)-nh1_1-R170-(TP*VE*(TCv_4*tCo2_1+TCv_4*tCo2_2))),IF(ScI=2,(TP-H_1-((TP-H_1-(H_1*hnh)-(TP*TCv_4*tCo2_1*VE))*H_2/(TP-H_1-(H_1*hnh)))-(H_1*hnh)-((TP-H_1-(H_1*hnh)-(TP*TCv_4*tCo2_1*VE))*H_2*hnh/(TP-H_1-(H_1*hnh)))-(TP*TCv_4*tCo2_1*VE)-(TP*TCv_4*tCo2_2*VE))*(H_3*hnh/(TP-H_1-H_2-(hnh*(H_1+H_2)))),0))</f>
        <v>#DIV/0!</v>
      </c>
      <c r="T170" s="86" t="e">
        <f>IF(ScI=1,(nh1_4/(TP-(nh1_1/hnh)-(nh1_2/hnh)-(nh1_3/hnh)-nh1_1-nh1_2-nh1_3))*(TP-(nh1_1/hnh)-(R170/hnh)-(S170/hnh)-nh1_1-R170-S170-(TP*VE*(TCv_4*tCo2_1+TCv_4*tCo2_2+TCv_4*tCo2_3))),IF(ScI=2,(TP-H_1-((TP-H_1-(H_1*hnh)-(TP*TCv_4*tCo2_1*VE))*H_2/(TP-H_1-(H_1*hnh)))-((TP-H_1-(((TP-H_1-(H_1*hnh)-(TP*TCv_4*tCo2_1*VE))*H_2/(TP-H_1-(H_1*hnh))))-(H_1*hnh)-((TP-H_1-(H_1*hnh)-(TP*TCv_4*tCo2_1*VE))*H_2*hnh/(TP-H_1-(H_1*hnh)))-(TP*TCv_4*tCo2_1*VE)-(TP*TCv_4*tCo2_2*VE))*(H_3/(TP-H_1-H_2-(hnh*(H_1+H_2)))))-(H_1*hnh)-((TP-H_1-(H_1*hnh)-(TP*TCv_4*tCo2_1*VE))*H_2*hnh/(TP-H_1-(H_1*hnh)))-((TP-H_1-(((TP-H_1-(H_1*hnh)-(TP*TCv_4*tCo2_1*VE))*H_2/(TP-H_1-(H_1*hnh))))-(H_1*hnh)-(((TP-H_1-(H_1*hnh)-(TP*TCv_4*tCo2_1*VE))*H_2*hnh/(TP-H_1-(H_1*hnh))))-(TP*TCv_4*tCo2_1*VE)-(TP*TCv_4*tCo2_2*VE))*(H_3*hnh/(TP-H_1-H_2-(hnh*(H_1+H_2)))))-(TP*TCv_4*tCo2_1*VE)-(TP*TCv_4*tCo2_2*VE)-(TP*TCv_4*tCo2_3*VE))*(H_4*hnh/(TP-H_1-H_2-H_3-(hnh*(H_1+H_2+H_3)))),0))</f>
        <v>#DIV/0!</v>
      </c>
      <c r="U170" s="86" t="e">
        <f>IF(ScI=1,(nh1_5/(TP-(nh1_1/hnh)-(nh1_2/hnh)-(nh1_3/hnh)-(nh1_4/hnh)-nh1_1-nh1_2-nh1_3-nh1_4))*(TP-(nh1_1/hnh)-(R170/hnh)-(S170/hnh)-(T170/hnh)-nh1_1-R170-S170-T170-(TP*VE*(TCv_4*tCo2_1+TCv_4*tCo2_2+TCv_4*tCo2_3+TCv_4*tCo2_4))),IF(ScI=2,(TP-H_1-(((TP-H_1-(H_1*hnh)-(TP*TCv_4*tCo2_1*VE))*H_2/(TP-H_1-(H_1*hnh))))-AP169-AQ169-(H_1*hnh)-((TP-H_1-(H_1*hnh)-(TP*TCv_4*tCo2_1*VE))*H_2*hnh/(TP-H_1-(H_1*hnh)))-AP171-AQ171-(TP*TCv_4*tCo2_1*VE)-(TP*TCv_4*tCo2_2*VE)-(TP*TCv_4*tCo2_3*VE)-(TP*TCv_4*tCo2_4*VE))*(H_5*hnh/(TP-H_1-H_2-H_3-H_4-(hnh*(H_1+H_2+H_3+H_4)))),0))</f>
        <v>#DIV/0!</v>
      </c>
      <c r="V170" s="86" t="e">
        <f>IF(ScI=1,(nh1_6/(TP-(nh1_1/hnh)-(nh1_2/hnh)-(nh1_3/hnh)-(nh1_4/hnh)-(nh1_5/hnh)-nh1_1-nh1_2-nh1_3-nh1_4-nh1_5))*(TP-(nh1_1/hnh)-(R170/hnh)-(S170/hnh)-(T170/hnh)-(U170/hnh)-nh1_1-R170-S170-T170-U170-(TP*VE*(TCv_4*tCo2_1+TCv_4*tCo2_2+TCv_4*tCo2_3+TCv_4*tCo2_4+TCv_4*tCo2_5))),IF(ScI=2,(TP-H_1-((TP-H_1-(H_1*hnh)-(TP*TCv_4*tCo2_1*VE))*H_2/(TP-H_1-(H_1*hnh)))-AP169-AQ169-AR169-(H_1*hnh)-((TP-H_1-(H_1*hnh)-(TP*TCv_4*tCo2_1*VE))*H_2*hnh/(TP-H_1-(H_1*hnh)))-AP171-AQ171-AR171-(TP*TCv_4*tCo2_1*VE)-(TP*TCv_4*tCo2_2*VE)-(TP*TCv_4*tCo2_3*VE)-(TP*TCv_4*tCo2_4*VE)-(TP*TCv_4*tCo2_5*VE))*(H_6*hnh/(TP-H_1-H_2-H_3-H_4-H_5-(hnh*(H_1+H_2+H_3+H_4+H_5)))),0))</f>
        <v>#DIV/0!</v>
      </c>
      <c r="W170" s="86" t="e">
        <f>IF(ScI=1,(nh1_7/(TP-(nh1_1/hnh)-(nh1_2/hnh)-(nh1_3/hnh)-(nh1_4/hnh)-(nh1_5/hnh)-(nh1_6/hnh)-nh1_1-nh1_2-nh1_3-nh1_4-nh1_5-nh1_6))*(TP-(nh1_1/hnh)-(R170/hnh)-(S170/hnh)-(T170/hnh)-(U170/hnh)-(V170/hnh)-nh1_1-R170-S170-T170-U170-V170-(TP*VE*(TCv_4*tCo2_1+TCv_4*tCo2_2+TCv_4*tCo2_3+TCv_4*tCo2_4+TCv_4*tCo2_5+TCv_4*tCo2_6))),IF(ScI=2,(TP-H_1-((TP-H_1-(H_1*hnh)-(TP*TCv_4*tCo2_1*VE))*H_2/(TP-H_1-(H_1*hnh)))-AP169-AQ169-AR169-AS169-(H_1*hnh)-((TP-H_1-(H_1*hnh)-(TP*TCv_4*tCo2_1*VE))*H_2*hnh/(TP-H_1-(H_1*hnh)))-AP171-AQ171-AR171-AS171-(TP*TCv_4*tCo2_1*VE)-(TP*TCv_4*tCo2_2*VE)-(TP*TCv_4*tCo2_3*VE)-(TP*TCv_4*tCo2_4*VE)-(TP*TCv_4*tCo2_5*VE)-(TP*TCv_4*tCo2_6*VE))*(H_7*hnh/(TP-H_1-H_2-H_3-H_4-H_5-H_6-(hnh*(H_1+H_2+H_3+H_4+H_5+H_6)))),0))</f>
        <v>#DIV/0!</v>
      </c>
      <c r="X170" s="86" t="e">
        <f>IF(ScI=1,(nh1_8/(TP-(nh1_1/hnh)-(nh1_2/hnh)-(nh1_3/hnh)-(nh1_4/hnh)-(nh1_5/hnh)-(nh1_6/hnh)-(nh1_7/hnh)-nh1_1-nh1_2-nh1_3-nh1_4-nh1_5-nh1_6-nh1_7))*(TP-(nh1_1/hnh)-(R170/hnh)-(S170/hnh)-(T170/hnh)-(U170/hnh)-(V170/hnh)-(W170/hnh)-nh1_1-R170-S170-T170-U170-V170-W170-(TP*VE*(TCv_4*tCo2_1+TCv_4*tCo2_2+TCv_4*tCo2_3+TCv_4*tCo2_4+TCv_4*tCo2_5+TCv_4*tCo2_6+TCv_4*tCo2_7))),IF(ScI=2,(TP-H_1-((TP-H_1-(H_1*hnh)-(TP*TCv_4*tCo2_1*VE))*H_2/(TP-H_1-(H_1*hnh)))-AP169-AQ169-AR169-AS169-AT169-(H_1*hnh)-((TP-H_1-(H_1*hnh)-(TP*TCv_4*tCo2_1*VE))*H_2*hnh/(TP-H_1-(H_1*hnh)))-AP171-AQ171-AR171-AS171-AT171-(TP*TCv_4*tCo2_1*VE)-(TP*TCv_4*tCo2_2*VE)-(TP*TCv_4*tCo2_3*VE)-(TP*TCv_4*tCo2_4*VE)-(TP*TCv_4*tCo2_5*VE)-(TP*TCv_4*tCo2_6*VE)-(TP*TCv_4*tCo2_7*VE))*(H_8*hnh/(TP-H_1-H_2-H_3-H_4-H_5-H_6-H_7-(hnh*(H_1+H_2+H_3+H_4+H_5+H_6+H_7)))),0))</f>
        <v>#DIV/0!</v>
      </c>
      <c r="Y170" s="86" t="e">
        <f>IF(ScI=1,(nh1_9/(TP-(nh1_1/hnh)-(nh1_2/hnh)-(nh1_3/hnh)-(nh1_4/hnh)-(nh1_5/hnh)-(nh1_6/hnh)-(nh1_7/hnh)-(nh1_8/hnh)-nh1_1-nh1_2-nh1_3-nh1_4-nh1_5-nh1_6-nh1_7-nh1_8))*(TP-(nh1_1/hnh)-(R170/hnh)-(S170/hnh)-(T170/hnh)-(U170/hnh)-(V170/hnh)-(W170/hnh)-(X170/hnh)-nh1_1-R170-S170-T170-U170-V170-W170-X170-(TP*VE*(TCv_4*tCo2_1+TCv_4*tCo2_2+TCv_4*tCo2_3+TCv_4*tCo2_4+TCv_4*tCo2_5+TCv_4*tCo2_6+TCv_4*tCo2_7+TCv_4*tCo2_8))),IF(ScI=2,(TP-H_1-((TP-H_1-(H_1*hnh)-(TP*TCv_4*tCo2_1*VE))*H_2/(TP-H_1-(H_1*hnh)))-AP169-AQ169-AR169-AS169-AT169-AU169-(H_1*hnh)-((TP-H_1-(H_1*hnh)-(TP*TCv_4*tCo2_1*VE))*H_2*hnh/(TP-H_1-(H_1*hnh)))-AP171-AQ171-AR171-AS171-AT171-AU171-(TP*TCv_4*tCo2_1*VE)-(TP*TCv_4*tCo2_2*VE)-(TP*TCv_4*tCo2_3*VE)-(TP*TCv_4*tCo2_4*VE)-(TP*TCv_4*tCo2_5*VE)-(TP*TCv_4*tCo2_6*VE)-(TP*TCv_4*tCo2_7*VE)-(TP*TCv_4*tCo2_8*VE))*(H_9*hnh/(TP-H_1-H_2-H_3-H_4-H_5-H_6-H_7-H_8-(hnh*(H_1+H_2+H_3+H_4+H_5+H_6+H_7+H_8)))),0))</f>
        <v>#DIV/0!</v>
      </c>
      <c r="Z170" s="86" t="e">
        <f>IF(ScI=1,(nh1_10/(TP-(nh1_1/hnh)-(nh1_2/hnh)-(nh1_3/hnh)-(nh1_4/hnh)-(nh1_5/hnh)-(nh1_6/hnh)-(nh1_7/hnh)-(nh1_8/hnh)-(nh1_9/hnh)-nh1_1-nh1_2-nh1_3-nh1_4-nh1_5-nh1_6-nh1_7-nh1_8-nh1_9))*(TP-(nh1_1/hnh)-(R170/hnh)-(S170/hnh)-(T170/hnh)-(U170/hnh)-(V170/hnh)-(W170/hnh)-(X170/hnh)-(Y170/hnh)-nh1_1-R170-S170-T170-U170-V170-W170-X170-Y170-(TP*VE*(TCv_4*tCo2_1+TCv_4*tCo2_2+TCv_4*tCo2_3+TCv_4*tCo2_4+TCv_4*tCo2_5+TCv_4*tCo2_6+TCv_4*tCo2_7+TCv_4*tCo2_8+TCv_4*tCo2_9))),IF(ScI=2,(TP-H_1-((TP-H_1-(H_1*hnh)-(TP*TCv_4*tCo2_1*VE))*H_2/(TP-H_1-(H_1*hnh)))-AP169-AQ169-AR169-AS169-AT169-AU169-AV169-(H_1*hnh)-((TP-H_1-(H_1*hnh)-(TP*TCv_4*tCo2_1*VE))*H_2*hnh/(TP-H_1-(H_1*hnh)))-AP171-AQ171-AR171-AS171-AT171-AU171-AV171-(TP*TCv_4*tCo2_1*VE)-(TP*TCv_4*tCo2_2*VE)-(TP*TCv_4*tCo2_3*VE)-(TP*TCv_4*tCo2_4*VE)-(TP*TCv_4*tCo2_5*VE)-(TP*TCv_4*tCo2_6*VE)-(TP*TCv_4*tCo2_7*VE)-(TP*TCv_4*tCo2_8*VE)-(TP*TCv_4*tCo2_9*VE))*(H_10*hnh/(TP-H_1-H_2-H_3-H_4-H_5-H_6-H_7-H_8-H_9-(hnh*(H_1+H_2+H_3+H_4+H_5+H_6+H_7+H_8+H_9)))),0))</f>
        <v>#DIV/0!</v>
      </c>
      <c r="AA170" s="86" t="e">
        <f>IF(ScI=1,(nh1_11/(TP-(nh1_1/hnh)-(nh1_2/hnh)-(nh1_3/hnh)-(nh1_4/hnh)-(nh1_5/hnh)-(nh1_6/hnh)-(nh1_7/hnh)-(nh1_8/hnh)-(nh1_9/hnh)-(nh1_10/hnh)-nh1_1-nh1_2-nh1_3-nh1_4-nh1_5-nh1_6-nh1_7-nh1_8-nh1_9-nh1_10))*(TP-(nh1_1/hnh)-(R170/hnh)-(S170/hnh)-(T170/hnh)-(U170/hnh)-(V170/hnh)-(W170/hnh)-(X170/hnh)-(Y170/hnh)-(Z170/hnh)-nh1_1-R170-S170-T170-U170-V170-W170-X170-Y170-Z170-(TP*VE*(TCv_4*tCo2_1+TCv_4*tCo2_2+TCv_4*tCo2_3+TCv_4*tCo2_4+TCv_4*tCo2_5+TCv_4*tCo2_6+TCv_4*tCo2_7+TCv_4*tCo2_8+TCv_4*tCo2_9+TCv_4*tCo2_10))),IF(ScI=2,(TP-H_1-((TP-H_1-(H_1*hnh)-(TP*TCv_4*tCo2_1*VE))*H_2/(TP-H_1-(H_1*hnh)))-AP169-AQ169-AR169-AS169-AT169-AU169-AV169-AW169-(H_1*hnh)-((TP-H_1-(H_1*hnh)-(TP*TCv_4*tCo2_1*VE))*H_2*hnh/(TP-H_1-(H_1*hnh)))-AP171-AQ171-AR171-AS171-AT171-AU171-AV171-AW171-(TP*TCv_4*tCo2_1*VE)-(TP*TCv_4*tCo2_2*VE)-(TP*TCv_4*tCo2_3*VE)-(TP*TCv_4*tCo2_4*VE)-(TP*TCv_4*tCo2_5*VE)-(TP*TCv_4*tCo2_6*VE)-(TP*TCv_4*tCo2_7*VE)-(TP*TCv_4*tCo2_8*VE)-(TP*TCv_4*tCo2_9*VE)-(TP*TCv_4*tCo2_10*VE))*(H_11*hnh/(TP-H_1-H_2-H_3-H_4-H_5-H_6-H_7-H_8-H_9-H_10-(hnh*(H_1+H_2+H_3+H_4+H_5+H_6+H_7+H_8+H_9+H_10)))),0))</f>
        <v>#DIV/0!</v>
      </c>
      <c r="AB170" s="86" t="e">
        <f>IF(ScI=1,(nh1_12/(TP-(nh1_1/hnh)-(nh1_2/hnh)-(nh1_3/hnh)-(nh1_4/hnh)-(nh1_5/hnh)-(nh1_6/hnh)-(nh1_7/hnh)-(nh1_8/hnh)-(nh1_9/hnh)-(nh1_10/hnh)-(nh1_11/hnh)-nh1_1-nh1_2-nh1_3-nh1_4-nh1_5-nh1_6-nh1_7-nh1_8-nh1_9-nh1_10-nh1_11))*(TP-(nh1_1/hnh)-(R170/hnh)-(S170/hnh)-(T170/hnh)-(U170/hnh)-(V170/hnh)-(W170/hnh)-(X170/hnh)-(Y170/hnh)-(Z170/hnh)-(AA170/hnh)-nh1_1-R170-S170-T170-U170-V170-W170-X170-Y170-Z170-AA170-(TP*VE*(TCv_4*tCo2_1+TCv_4*tCo2_2+TCv_4*tCo2_3+TCv_4*tCo2_4+TCv_4*tCo2_5+TCv_4*tCo2_6+TCv_4*tCo2_7+TCv_4*tCo2_8+TCv_4*tCo2_9+TCv_4*tCo2_10+TCv_4*tCo2_11))),IF(ScI=2,(TP-H_1-((TP-H_1-(H_1*hnh)-(TP*TCv_4*tCo2_1*VE))*H_2/(TP-H_1-(H_1*hnh)))-AP169-AQ169-AR169-AS169-AT169-AU169-AV169-AW169-AX169-(H_1*hnh)-((TP-H_1-(H_1*hnh)-(TP*TCv_4*tCo2_1*VE))*H_2*hnh/(TP-H_1-(H_1*hnh)))-AP171-AQ171-AR171-AS171-AT171-AU171-AV171-AW171-AX171-(TP*TCv_4*tCo2_1*VE)-(TP*TCv_4*tCo2_2*VE)-(TP*TCv_4*tCo2_3*VE)-(TP*TCv_4*tCo2_4*VE)-(TP*TCv_4*tCo2_5*VE)-(TP*TCv_4*tCo2_6*VE)-(TP*TCv_4*tCo2_7*VE)-(TP*TCv_4*tCo2_8*VE)-(TP*TCv_4*tCo2_9*VE)-(TP*TCv_4*tCo2_10*VE)-(TP*TCv_4*tCo2_11*VE))*(H_12*hnh/(TP-H_1-H_2-H_3-H_4-H_5-H_6-H_7-H_8-H_9-H_10-H_11-(hnh*(H_1+H_2+H_3+H_4+H_5+H_6+H_7+H_8+H_9+H_10+H_11)))),0))</f>
        <v>#DIV/0!</v>
      </c>
      <c r="AC170" s="88">
        <f>IF(ScI=1,H_1*hnh,IF(ScI=2,H_1*hnh,0))</f>
        <v>0</v>
      </c>
      <c r="AD170" s="88" t="e">
        <f>IF(ScI=1,(TP-H_1-(H_1*hnh))*H_2*hnh/(TP-H_1-(H_1*hnh)-(TP*TCv_4*tCo2_1*VE)),IF(ScI=2,H_2*hnh,0))</f>
        <v>#DIV/0!</v>
      </c>
      <c r="AE170" s="88" t="e">
        <f>IF(ScI=1,(TP-H_1-((TP-H_1-(H_1*hnh))*H_2/(TP-H_1-(H_1*hnh)-(TP*TCv_4*tCo2_1*VE)))-(H_1*hnh)-((TP-H_1-(H_1*hnh))*H_2*hnh/(TP-H_1-(H_1*hnh)-(TP*TCv_4*tCo2_1*VE))))*H_3*hnh/(TP-H_1-H_2-(hnh*(H_1+H_2))-(TP*VE*(TCv_4*tCo2_1+TCv_4*tCo2_2))),IF(ScI=2,H_3*hnh,0))</f>
        <v>#DIV/0!</v>
      </c>
      <c r="AF170" s="88" t="e">
        <f>IF(ScI=1,(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IF(ScI=2,H_4*hnh,0))</f>
        <v>#DIV/0!</v>
      </c>
      <c r="AG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H_5*hnh/(TP-H_1-H_2-H_3-H_4-(hnh*(H_1+H_2+H_3+H_4))-(TP*VE*(TCv_4*tCo2_1+TCv_4*tCo2_2+TCv_4*tCo2_3+TCv_4*tCo2_4))),IF(ScI=2,H_5*hnh,0))</f>
        <v>#DIV/0!</v>
      </c>
      <c r="AH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H_6*hnh/(TP-H_1-H_2-H_3-H_4-H_5-(hnh*(H_1+H_2+H_3+H_4+H_5))-(TP*VE*(TCv_4*tCo2_1+TCv_4*tCo2_2+TCv_4*tCo2_3+TCv_4*tCo2_4+TCv_4*tCo2_5))),IF(ScI=2,H_6*hnh,0))</f>
        <v>#DIV/0!</v>
      </c>
      <c r="AI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H_7*hnh/(TP-H_1-H_2-H_3-H_4-H_5-H_6-(hnh*(H_1+H_2+H_3+H_4+H_5+H_6))-(TP*VE*(TCv_4*tCo2_1+TCv_4*tCo2_2+TCv_4*tCo2_3+TCv_4*tCo2_4+TCv_4*tCo2_5+TCv_4*tCo2_6))),IF(ScI=2,H_7*hnh,0))</f>
        <v>#DIV/0!</v>
      </c>
      <c r="AJ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H_8*hnh/(TP-H_1-H_2-H_3-H_4-H_5-H_6-H_7-(hnh*(H_1+H_2+H_3+H_4+H_5+H_6+H_7))-(TP*VE*(TCv_4*tCo2_1+TCv_4*tCo2_2+TCv_4*tCo2_3+TCv_4*tCo2_4+TCv_4*tCo2_5+TCv_4*tCo2_6+TCv_4*tCo2_7))),IF(ScI=2,H_8*hnh,0))</f>
        <v>#DIV/0!</v>
      </c>
      <c r="AK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H_9*hnh/(TP-H_1-H_2-H_3-H_4-H_5-H_6-H_7-H_8-(hnh*(H_1+H_2+H_3+H_4+H_5+H_6+H_7+H_8))-(TP*VE*(TCv_4*tCo2_1+TCv_4*tCo2_2+TCv_4*tCo2_3+TCv_4*tCo2_4+TCv_4*tCo2_5+TCv_4*tCo2_6+TCv_4*tCo2_7+TCv_4*tCo2_8))),IF(ScI=2,H_9*hnh,0))</f>
        <v>#DIV/0!</v>
      </c>
      <c r="AL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H_10*hnh/(TP-H_1-H_2-H_3-H_4-H_5-H_6-H_7-H_8-H_9-(hnh*(H_1+H_2+H_3+H_4+H_5+H_6+H_7+H_8+H_9))-(TP*VE*(TCv_4*tCo2_1+TCv_4*tCo2_2+TCv_4*tCo2_3+TCv_4*tCo2_4+TCv_4*tCo2_5+TCv_4*tCo2_6+TCv_4*tCo2_7+TCv_4*tCo2_8+TCv_4*tCo2_9))),IF(ScI=2,H_10*hnh,0))</f>
        <v>#DIV/0!</v>
      </c>
      <c r="AM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H_11*hnh/(TP-H_1-H_2-H_3-H_4-H_5-H_6-H_7-H_8-H_9-H_10-(hnh*(H_1+H_2+H_3+H_4+H_5+H_6+H_7+H_8+H_9+H_10))-(TP*VE*(TCv_4*tCo2_1+TCv_4*tCo2_2+TCv_4*tCo2_3+TCv_4*tCo2_4+TCv_4*tCo2_5+TCv_4*tCo2_6+TCv_4*tCo2_7+TCv_4*tCo2_8+TCv_4*tCo2_9+TCv_4*tCo2_10))),IF(ScI=2,H_11*hnh,0))</f>
        <v>#DIV/0!</v>
      </c>
      <c r="AN170" s="88" t="e">
        <f>IF(ScI=1,(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BF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BF171)*H_12*hnh/(TP-H_1-H_2-H_3-H_4-H_5-H_6-H_7-H_8-H_9-H_10-H_11-(hnh*(H_1+H_2+H_3+H_4+H_5+H_6+H_7+H_8+H_9+H_10+H_11))-(TP*VE*(TCv_4*tCo2_1+TCv_4*tCo2_2+TCv_4*tCo2_3+TCv_4*tCo2_4+TCv_4*tCo2_5+TCv_4*tCo2_6+TCv_4*tCo2_7+TCv_4*tCo2_8+TCv_4*tCo2_9+TCv_4*tCo2_10+TCv_4*tCo2_11))),IF(ScI=2,H_12*hnh,0))</f>
        <v>#DIV/0!</v>
      </c>
      <c r="AP170" s="103" t="s">
        <v>82</v>
      </c>
      <c r="AQ170" s="103" t="s">
        <v>83</v>
      </c>
      <c r="AR170" s="103" t="s">
        <v>84</v>
      </c>
      <c r="AS170" s="103" t="s">
        <v>85</v>
      </c>
      <c r="AT170" s="103" t="s">
        <v>86</v>
      </c>
      <c r="AU170" s="103" t="s">
        <v>87</v>
      </c>
      <c r="AV170" s="103" t="s">
        <v>88</v>
      </c>
      <c r="AW170" s="103" t="s">
        <v>89</v>
      </c>
      <c r="AX170" s="103" t="s">
        <v>90</v>
      </c>
      <c r="AZ170" s="103" t="s">
        <v>106</v>
      </c>
      <c r="BA170" s="103" t="s">
        <v>92</v>
      </c>
      <c r="BB170" s="103" t="s">
        <v>98</v>
      </c>
      <c r="BC170" s="103" t="s">
        <v>99</v>
      </c>
      <c r="BD170" s="103" t="s">
        <v>100</v>
      </c>
      <c r="BE170" s="103" t="s">
        <v>101</v>
      </c>
      <c r="BF170" s="103" t="s">
        <v>102</v>
      </c>
    </row>
    <row r="171" spans="1:58" hidden="1" outlineLevel="1" x14ac:dyDescent="0.25">
      <c r="F171" s="113"/>
      <c r="G171" s="31"/>
      <c r="H171" s="31"/>
      <c r="I171" s="31"/>
      <c r="J171" s="31"/>
      <c r="K171" s="31"/>
      <c r="L171" s="31"/>
      <c r="M171" s="31"/>
      <c r="N171" s="31"/>
      <c r="Q171" s="31"/>
      <c r="R171" s="97"/>
      <c r="S171" s="97"/>
      <c r="T171" s="97"/>
      <c r="U171" s="97"/>
      <c r="V171" s="97"/>
      <c r="W171" s="97"/>
      <c r="X171" s="97"/>
      <c r="Y171" s="97"/>
      <c r="Z171" s="97"/>
      <c r="AA171" s="97"/>
      <c r="AB171" s="97"/>
      <c r="AC171" s="98"/>
      <c r="AD171" s="98"/>
      <c r="AE171" s="98"/>
      <c r="AF171" s="98"/>
      <c r="AG171" s="98"/>
      <c r="AH171" s="98"/>
      <c r="AI171" s="98"/>
      <c r="AJ171" s="98"/>
      <c r="AK171" s="98"/>
      <c r="AL171" s="98"/>
      <c r="AM171" s="98"/>
      <c r="AN171" s="98"/>
      <c r="AP171" s="103" t="e">
        <f>((TP-H_1-((TP-H_1-(H_1*hnh)-(TP*TCv_4*tCo2_1*VE))*H_2/(TP-H_1-(H_1*hnh)))-(H_1*hnh)-((TP-H_1-(H_1*hnh)-(TP*TCv_4*tCo2_1*VE))*H_2*hnh/(TP-H_1-(H_1*hnh)))-(TP*TCv_4*tCo2_1*VE)-(TP*TCv_4*tCo2_2*VE))*(H_3*hnh/(TP-H_1-H_2-(hnh*(H_1+H_2)))))</f>
        <v>#DIV/0!</v>
      </c>
      <c r="AQ171" s="103" t="e">
        <f>(TP-H_1-((TP-H_1-(H_1*hnh)-(TP*TCv_4*tCo2_1*VE))*H_2/(TP-H_1-(H_1*hnh)))-AP169-(H_1*hnh)-((TP-H_1-(H_1*hnh)-(TP*TCv_4*tCo2_1*VE))*H_2*hnh/(TP-H_1-(H_1*hnh)))-AP171-(TP*TCv_4*tCo2_1*VE)-(TP*TCv_4*tCo2_2*VE)-(TP*TCv_4*tCo2_3*VE))*(H_4*hnh/(TP-H_1-H_2-H_3-(hnh*(H_1+H_2+H_3))))</f>
        <v>#DIV/0!</v>
      </c>
      <c r="AR171" s="103" t="e">
        <f>(TP-H_1-((TP-H_1-(H_1*hnh)-(TP*TCv_4*tCo2_1*VE))*H_2/(TP-H_1-(H_1*hnh)))-AP169-AQ169-(H_1*hnh)-((TP-H_1-(H_1*hnh)-(TP*TCv_4*tCo2_1*VE))*H_2*hnh/(TP-H_1-(H_1*hnh)))-AP171-AQ171-(TP*TCv_4*tCo2_1*VE)-(TP*TCv_4*tCo2_2*VE)-(TP*TCv_4*tCo2_3*VE)-(TP*TCv_4*tCo2_4*VE))*(H_5*hnh/(TP-H_1-H_2-H_3-H_4-(hnh*(H_1+H_2+H_3+H_4))))</f>
        <v>#DIV/0!</v>
      </c>
      <c r="AS171" s="103" t="e">
        <f>(TP-H_1-((TP-H_1-(H_1*hnh)-(TP*TCv_4*tCo2_1*VE))*H_2/(TP-H_1-(H_1*hnh)))-AP169-AQ169-AR169-(H_1*hnh)-((TP-H_1-(H_1*hnh)-(TP*TCv_4*tCo2_1*VE))*H_2*hnh/(TP-H_1-(H_1*hnh)))-AP171-AQ171-AR171-(TP*TCv_4*tCo2_1*VE)-(TP*TCv_4*tCo2_2*VE)-(TP*TCv_4*tCo2_3*VE)-(TP*TCv_4*tCo2_4*VE)-(TP*TCv_4*tCo2_5*VE))*(H_6*hnh/(TP-H_1-H_2-H_3-H_4-H_5-(hnh*(H_1+H_2+H_3+H_4+H_5))))</f>
        <v>#DIV/0!</v>
      </c>
      <c r="AT171" s="103" t="e">
        <f>(TP-H_1-((TP-H_1-(H_1*hnh)-(TP*TCv_4*tCo2_1*VE))*H_2/(TP-H_1-(H_1*hnh)))-AP169-AQ169-AR169-AS169-(H_1*hnh)-((TP-H_1-(H_1*hnh)-(TP*TCv_4*tCo2_1*VE))*H_2*hnh/(TP-H_1-(H_1*hnh)))-AP171-AQ171-AR171-AS171-(TP*TCv_4*tCo2_1*VE)-(TP*TCv_4*tCo2_2*VE)-(TP*TCv_4*tCo2_3*VE)-(TP*TCv_4*tCo2_4*VE)-(TP*TCv_4*tCo2_5*VE)-(TP*TCv_4*tCo2_6*VE))*(H_7*hnh/(TP-H_1-H_2-H_3-H_4-H_5-H_6-(hnh*(H_1+H_2+H_3+H_4+H_5+H_6))))</f>
        <v>#DIV/0!</v>
      </c>
      <c r="AU171" s="103" t="e">
        <f>(TP-H_1-((TP-H_1-(H_1*hnh)-(TP*TCv_4*tCo2_1*VE))*H_2/(TP-H_1-(H_1*hnh)))-AP169-AQ169-AR169-AS169-AT169-(H_1*hnh)-((TP-H_1-(H_1*hnh)-(TP*TCv_4*tCo2_1*VE))*H_2*hnh/(TP-H_1-(H_1*hnh)))-AP171-AQ171-AR171-AS171-AT171-(TP*TCv_4*tCo2_1*VE)-(TP*TCv_4*tCo2_2*VE)-(TP*TCv_4*tCo2_3*VE)-(TP*TCv_4*tCo2_4*VE)-(TP*TCv_4*tCo2_5*VE)-(TP*TCv_4*tCo2_6*VE)-(TP*TCv_4*tCo2_7*VE))*(H_8*hnh/(TP-H_1-H_2-H_3-H_4-H_5-H_6-H_7-(hnh*(H_1+H_2+H_3+H_4+H_5+H_6+H_7))))</f>
        <v>#DIV/0!</v>
      </c>
      <c r="AV171" s="103" t="e">
        <f>(TP-H_1-((TP-H_1-(H_1*hnh)-(TP*TCv_4*tCo2_1*VE))*H_2/(TP-H_1-(H_1*hnh)))-AP169-AQ169-AR169-AS169-AT169-AU169-(H_1*hnh)-((TP-H_1-(H_1*hnh)-(TP*TCv_4*tCo2_1*VE))*H_2*hnh/(TP-H_1-(H_1*hnh)))-AP171-AQ171-AR171-AS171-AT171-AU171-(TP*TCv_4*tCo2_1*VE)-(TP*TCv_4*tCo2_2*VE)-(TP*TCv_4*tCo2_3*VE)-(TP*TCv_4*tCo2_4*VE)-(TP*TCv_4*tCo2_5*VE)-(TP*TCv_4*tCo2_6*VE)-(TP*TCv_4*tCo2_7*VE)-(TP*TCv_4*tCo2_8*VE))*(H_9*hnh/(TP-H_1-H_2-H_3-H_4-H_5-H_6-H_7-H_8-(hnh*(H_1+H_2+H_3+H_4+H_5+H_6+H_7+H_8))))</f>
        <v>#DIV/0!</v>
      </c>
      <c r="AW171" s="103" t="e">
        <f>(TP-H_1-((TP-H_1-(H_1*hnh)-(TP*TCv_4*tCo2_1*VE))*H_2/(TP-H_1-(H_1*hnh)))-AP169-AQ169-AR169-AS169-AT169-AU169-AV169-(H_1*hnh)-((TP-H_1-(H_1*hnh)-(TP*TCv_4*tCo2_1*VE))*H_2*hnh/(TP-H_1-(H_1*hnh)))-AP171-AQ171-AR171-AS171-AT171-AU171-AV171-(TP*TCv_4*tCo2_1*VE)-(TP*TCv_4*tCo2_2*VE)-(TP*TCv_4*tCo2_3*VE)-(TP*TCv_4*tCo2_4*VE)-(TP*TCv_4*tCo2_5*VE)-(TP*TCv_4*tCo2_6*VE)-(TP*TCv_4*tCo2_7*VE)-(TP*TCv_4*tCo2_8*VE)-(TP*TCv_4*tCo2_9*VE))*(H_10*hnh/(TP-H_1-H_2-H_3-H_4-H_5-H_6-H_7-H_8-H_9-(hnh*(H_1+H_2+H_3+H_4+H_5+H_6+H_7+H_8+H_9))))</f>
        <v>#DIV/0!</v>
      </c>
      <c r="AX171" s="103" t="e">
        <f>(TP-H_1-((TP-H_1-(H_1*hnh)-(TP*TCv_4*tCo2_1*VE))*H_2/(TP-H_1-(H_1*hnh)))-AP169-AQ169-AR169-AS169-AT169-AU169-AV169-AW169-(H_1*hnh)-((TP-H_1-(H_1*hnh)-(TP*TCv_4*tCo2_1*VE))*H_2*hnh/(TP-H_1-(H_1*hnh)))-AP171-AQ171-AR171-AS171-AT171-AU171-AV171-AW171-(TP*TCv_4*tCo2_1*VE)-(TP*TCv_4*tCo2_2*VE)-(TP*TCv_4*tCo2_3*VE)-(TP*TCv_4*tCo2_4*VE)-(TP*TCv_4*tCo2_5*VE)-(TP*TCv_4*tCo2_6*VE)-(TP*TCv_4*tCo2_7*VE)-(TP*TCv_4*tCo2_8*VE)-(TP*TCv_4*tCo2_9*VE)-(TP*TCv_4*tCo2_10*VE))*(H_11*hnh/(TP-H_1-H_2-H_3-H_4-H_5-H_6-H_7-H_8-H_9-H_10-(hnh*(H_1+H_2+H_3+H_4+H_5+H_6+H_7+H_8+H_9+H_10))))</f>
        <v>#DIV/0!</v>
      </c>
      <c r="AZ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H_5*hnh/(TP-H_1-H_2-H_3-H_4-(hnh*(H_1+H_2+H_3+H_4))-(TP*VE*(TCv_4*tCo2_1+TCv_4*tCo2_2+TCv_4*tCo2_3+TCv_4*tCo2_4)))</f>
        <v>#DIV/0!</v>
      </c>
      <c r="BA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H_6*hnh/(TP-H_1-H_2-H_3-H_4-H_5-(hnh*(H_1+H_2+H_3+H_4+H_5))-(TP*VE*(TCv_4*tCo2_1+TCv_4*tCo2_2+TCv_4*tCo2_3+TCv_4*tCo2_4+TCv_4*tCo2_5)))</f>
        <v>#DIV/0!</v>
      </c>
      <c r="BB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H_7*hnh/(TP-H_1-H_2-H_3-H_4-H_5-H_6-(hnh*(H_1+H_2+H_3+H_4+H_5+H_6))-(TP*VE*(TCv_4*tCo2_1+TCv_4*tCo2_2+TCv_4*tCo2_3+TCv_4*tCo2_4+TCv_4*tCo2_5+TCv_4*tCo2_6)))</f>
        <v>#DIV/0!</v>
      </c>
      <c r="BC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H_8*hnh/(TP-H_1-H_2-H_3-H_4-H_5-H_6-H_7-(hnh*(H_1+H_2+H_3+H_4+H_5+H_6+H_7))-(TP*VE*(TCv_4*tCo2_1+TCv_4*tCo2_2+TCv_4*tCo2_3+TCv_4*tCo2_4+TCv_4*tCo2_5+TCv_4*tCo2_6+TCv_4*tCo2_7)))</f>
        <v>#DIV/0!</v>
      </c>
      <c r="BD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H_9*hnh/(TP-H_1-H_2-H_3-H_4-H_5-H_6-H_7-H_8-(hnh*(H_1+H_2+H_3+H_4+H_5+H_6+H_7+H_8))-(TP*VE*(TCv_4*tCo2_1+TCv_4*tCo2_2+TCv_4*tCo2_3+TCv_4*tCo2_4+TCv_4*tCo2_5+TCv_4*tCo2_6+TCv_4*tCo2_7+TCv_4*tCo2_8)))</f>
        <v>#DIV/0!</v>
      </c>
      <c r="BE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H_10*hnh/(TP-H_1-H_2-H_3-H_4-H_5-H_6-H_7-H_8-H_9-(hnh*(H_1+H_2+H_3+H_4+H_5+H_6+H_7+H_8+H_9))-(TP*VE*(TCv_4*tCo2_1+TCv_4*tCo2_2+TCv_4*tCo2_3+TCv_4*tCo2_4+TCv_4*tCo2_5+TCv_4*tCo2_6+TCv_4*tCo2_7+TCv_4*tCo2_8+TCv_4*tCo2_9)))</f>
        <v>#DIV/0!</v>
      </c>
      <c r="BF171" s="103" t="e">
        <f>(TP-H_1-((TP-H_1-(H_1*hnh))*H_2/(TP-H_1-(H_1*hnh)-(TP*TCv_4*tCo2_1*VE)))-((TP-H_1-((TP-H_1-(H_1*hnh))*H_2/(TP-H_1-(H_1*hnh)-(TP*TCv_4*tCo2_1*VE)))-(H_1*hnh)-((TP-H_1-(H_1*hnh))*H_2*hnh/(TP-H_1-(H_1*hnh)-(TP*TCv_4*tCo2_1*VE))))*H_3/(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TP-H_1-H_2-H_3-(hnh*(H_1+H_2+H_3))-(TP*VE*(TCv_4*tCo2_1+TCv_4*tCo2_2+TCv_4*tCo2_3))))-AZ169-BA169-BB169-BC169-BD169-BE169-(H_1*hnh)-((TP-H_1-(H_1*hnh))*H_2*hnh/(TP-H_1-(H_1*hnh)-(TP*TCv_4*tCo2_1*VE)))-((TP-H_1-((TP-H_1-(H_1*hnh))*H_2/(TP-H_1-(H_1*hnh)-(TP*TCv_4*tCo2_1*VE)))-(H_1*hnh)-((TP-H_1-(H_1*hnh))*H_2*hnh/(TP-H_1-(H_1*hnh)-(TP*TCv_4*tCo2_1*VE))))*H_3*hnh/(TP-H_1-H_2-(hnh*(H_1+H_2))-(TP*VE*(TCv_4*tCo2_1+TCv_4*tCo2_2))))-((TP-H_1-((TP-H_1-(H_1*hnh))*H_2/(TP-H_1-(H_1*hnh)-(TP*TCv_4*tCo2_1*VE)))-((TP-H_1-((TP-H_1-(H_1*hnh))*H_2/(TP-H_1-(H_1*hnh)-(TP*TCv_4*tCo2_1*VE)))-(H_1*hnh)-((TP-H_1-(H_1*hnh))*H_2*hnh/(TP-H_1-(H_1*hnh)-(TP*TCv_4*tCo2_1*VE))))*H_3/(TP-H_1-H_2-(hnh*(H_1+H_2))-(TP*VE*(TCv_4*tCo2_1+TCv_4*tCo2_2))))-(H_1*hnh)-((TP-H_1-(H_1*hnh))*H_2*hnh/(TP-H_1-(H_1*hnh)-(TP*TCv_4*tCo2_1*VE)))-((TP-H_1-((TP-H_1-(H_1*hnh))*H_2/(TP-H_1-(H_1*hnh)-(TP*TCv_4*tCo2_1*VE)))-(H_1*hnh)-((TP-H_1-(H_1*hnh))*H_2*hnh/(TP-H_1-(H_1*hnh)-(TP*TCv_4*tCo2_1*VE))))*H_3*hnh/(TP-H_1-H_2-(hnh*(H_1+H_2))-(TP*VE*(TCv_4*tCo2_1+TCv_4*tCo2_2)))))*H_4*hnh/(TP-H_1-H_2-H_3-(hnh*(H_1+H_2+H_3))-(TP*VE*(TCv_4*tCo2_1+TCv_4*tCo2_2+TCv_4*tCo2_3))))-AZ171-BA171-BB171-BC171-BD171-BE171)*H_11*hnh/(TP-H_1-H_2-H_3-H_4-H_5-H_6-H_7-H_8-H_9-H_10-(hnh*(H_1+H_2+H_3+H_4+H_5+H_6+H_7+H_8+H_9+H_10))-(TP*VE*(TCv_4*tCo2_1+TCv_4*tCo2_2+TCv_4*tCo2_3+TCv_4*tCo2_4+TCv_4*tCo2_5+TCv_4*tCo2_6+TCv_4*tCo2_7+TCv_4*tCo2_8+TCv_4*tCo2_9+TCv_4*tCo2_10)))</f>
        <v>#DIV/0!</v>
      </c>
    </row>
    <row r="172" spans="1:58" hidden="1" outlineLevel="1" x14ac:dyDescent="0.25">
      <c r="F172" s="112"/>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P172" s="189"/>
      <c r="AQ172" s="189"/>
      <c r="AR172" s="189"/>
      <c r="AS172" s="189"/>
      <c r="AT172" s="189"/>
      <c r="AU172" s="189"/>
      <c r="AV172" s="189"/>
      <c r="AW172" s="189"/>
      <c r="AX172" s="189"/>
      <c r="AY172" s="189"/>
      <c r="AZ172" s="189"/>
      <c r="BA172" s="189"/>
      <c r="BB172" s="189"/>
      <c r="BC172" s="189"/>
      <c r="BD172" s="189"/>
      <c r="BE172" s="189"/>
      <c r="BF172" s="189"/>
    </row>
    <row r="173" spans="1:58" hidden="1" outlineLevel="1" x14ac:dyDescent="0.25"/>
    <row r="174" spans="1:58" collapsed="1" x14ac:dyDescent="0.25"/>
    <row r="175" spans="1:58" s="105" customFormat="1" x14ac:dyDescent="0.25">
      <c r="A175" s="104" t="s">
        <v>304</v>
      </c>
      <c r="B175" s="104"/>
    </row>
    <row r="176" spans="1:58" hidden="1" outlineLevel="1" x14ac:dyDescent="0.25">
      <c r="Q176" s="102" t="s">
        <v>72</v>
      </c>
      <c r="R176" s="102"/>
      <c r="S176" s="102"/>
      <c r="T176" s="102"/>
      <c r="U176" s="102"/>
      <c r="V176" s="102"/>
      <c r="W176" s="102"/>
      <c r="X176" s="102"/>
      <c r="Y176" s="102"/>
      <c r="Z176" s="102"/>
      <c r="AA176" s="102"/>
      <c r="AB176" s="102"/>
      <c r="AC176" s="101" t="s">
        <v>104</v>
      </c>
      <c r="AD176" s="101"/>
      <c r="AE176" s="101"/>
      <c r="AF176" s="101"/>
      <c r="AG176" s="101"/>
      <c r="AH176" s="101"/>
      <c r="AI176" s="101"/>
      <c r="AJ176" s="101"/>
      <c r="AK176" s="101"/>
      <c r="AL176" s="101"/>
      <c r="AM176" s="101"/>
      <c r="AN176" s="101"/>
      <c r="AP176" s="103">
        <v>3</v>
      </c>
      <c r="AQ176" s="103">
        <v>4</v>
      </c>
      <c r="AR176" s="103">
        <v>5</v>
      </c>
      <c r="AS176" s="103">
        <v>6</v>
      </c>
      <c r="AT176" s="103">
        <v>7</v>
      </c>
      <c r="AU176" s="103">
        <v>8</v>
      </c>
      <c r="AV176" s="103">
        <v>9</v>
      </c>
      <c r="AW176" s="103">
        <v>10</v>
      </c>
      <c r="AX176" s="103">
        <v>11</v>
      </c>
      <c r="AZ176" s="103">
        <v>5</v>
      </c>
      <c r="BA176" s="103">
        <v>6</v>
      </c>
      <c r="BB176" s="103">
        <v>7</v>
      </c>
      <c r="BC176" s="103">
        <v>8</v>
      </c>
      <c r="BD176" s="103">
        <v>9</v>
      </c>
      <c r="BE176" s="103">
        <v>10</v>
      </c>
      <c r="BF176" s="103">
        <v>11</v>
      </c>
    </row>
    <row r="177" spans="1:58" ht="28.7" hidden="1" customHeight="1" outlineLevel="1" x14ac:dyDescent="0.25">
      <c r="A177" s="11" t="s">
        <v>47</v>
      </c>
      <c r="B177" s="11"/>
      <c r="C177" s="11"/>
      <c r="D177" s="11"/>
      <c r="E177" s="11"/>
      <c r="F177" s="11"/>
      <c r="G177" s="109" t="s">
        <v>50</v>
      </c>
      <c r="H177" s="109"/>
      <c r="I177" s="110" t="s">
        <v>44</v>
      </c>
      <c r="J177" s="110"/>
      <c r="K177" s="101" t="s">
        <v>58</v>
      </c>
      <c r="L177" s="101"/>
      <c r="M177" s="110" t="s">
        <v>45</v>
      </c>
      <c r="N177" s="110"/>
      <c r="Q177" s="102" t="s">
        <v>1</v>
      </c>
      <c r="R177" s="102"/>
      <c r="S177" s="102"/>
      <c r="T177" s="102"/>
      <c r="U177" s="102"/>
      <c r="V177" s="102"/>
      <c r="W177" s="102"/>
      <c r="X177" s="102"/>
      <c r="Y177" s="102"/>
      <c r="Z177" s="102"/>
      <c r="AA177" s="102"/>
      <c r="AB177" s="102"/>
      <c r="AC177" s="101" t="s">
        <v>71</v>
      </c>
      <c r="AD177" s="101"/>
      <c r="AE177" s="101"/>
      <c r="AF177" s="101"/>
      <c r="AG177" s="101"/>
      <c r="AH177" s="101"/>
      <c r="AI177" s="101"/>
      <c r="AJ177" s="101"/>
      <c r="AK177" s="101"/>
      <c r="AL177" s="101"/>
      <c r="AM177" s="101"/>
      <c r="AN177" s="101"/>
      <c r="AP177" s="103" t="s">
        <v>73</v>
      </c>
      <c r="AQ177" s="103" t="s">
        <v>74</v>
      </c>
      <c r="AR177" s="103" t="s">
        <v>75</v>
      </c>
      <c r="AS177" s="103" t="s">
        <v>76</v>
      </c>
      <c r="AT177" s="103" t="s">
        <v>77</v>
      </c>
      <c r="AU177" s="103" t="s">
        <v>78</v>
      </c>
      <c r="AV177" s="103" t="s">
        <v>79</v>
      </c>
      <c r="AW177" s="103" t="s">
        <v>80</v>
      </c>
      <c r="AX177" s="103" t="s">
        <v>81</v>
      </c>
      <c r="AZ177" s="103" t="s">
        <v>105</v>
      </c>
      <c r="BA177" s="103" t="s">
        <v>91</v>
      </c>
      <c r="BB177" s="103" t="s">
        <v>93</v>
      </c>
      <c r="BC177" s="103" t="s">
        <v>94</v>
      </c>
      <c r="BD177" s="103" t="s">
        <v>95</v>
      </c>
      <c r="BE177" s="103" t="s">
        <v>96</v>
      </c>
      <c r="BF177" s="103" t="s">
        <v>97</v>
      </c>
    </row>
    <row r="178" spans="1:58" ht="45" hidden="1" outlineLevel="1" x14ac:dyDescent="0.25">
      <c r="A178" s="70" t="s">
        <v>40</v>
      </c>
      <c r="B178" s="70" t="s">
        <v>41</v>
      </c>
      <c r="C178" s="70" t="s">
        <v>53</v>
      </c>
      <c r="D178" s="70" t="s">
        <v>48</v>
      </c>
      <c r="E178" s="70" t="s">
        <v>42</v>
      </c>
      <c r="F178" s="76" t="s">
        <v>49</v>
      </c>
      <c r="G178" s="71" t="s">
        <v>51</v>
      </c>
      <c r="H178" s="71" t="s">
        <v>52</v>
      </c>
      <c r="I178" s="72" t="s">
        <v>51</v>
      </c>
      <c r="J178" s="72" t="s">
        <v>52</v>
      </c>
      <c r="K178" s="77" t="s">
        <v>51</v>
      </c>
      <c r="L178" s="77" t="s">
        <v>52</v>
      </c>
      <c r="M178" s="72" t="s">
        <v>51</v>
      </c>
      <c r="N178" s="72" t="s">
        <v>52</v>
      </c>
      <c r="Q178" s="102">
        <v>1</v>
      </c>
      <c r="R178" s="102">
        <v>2</v>
      </c>
      <c r="S178" s="102">
        <v>3</v>
      </c>
      <c r="T178" s="102">
        <v>4</v>
      </c>
      <c r="U178" s="102">
        <v>5</v>
      </c>
      <c r="V178" s="102">
        <v>6</v>
      </c>
      <c r="W178" s="102">
        <v>7</v>
      </c>
      <c r="X178" s="102">
        <v>8</v>
      </c>
      <c r="Y178" s="102">
        <v>9</v>
      </c>
      <c r="Z178" s="102">
        <v>10</v>
      </c>
      <c r="AA178" s="102">
        <v>11</v>
      </c>
      <c r="AB178" s="102">
        <v>12</v>
      </c>
      <c r="AC178" s="101">
        <v>1</v>
      </c>
      <c r="AD178" s="101">
        <v>2</v>
      </c>
      <c r="AE178" s="101">
        <v>3</v>
      </c>
      <c r="AF178" s="101">
        <v>4</v>
      </c>
      <c r="AG178" s="101">
        <v>5</v>
      </c>
      <c r="AH178" s="101">
        <v>6</v>
      </c>
      <c r="AI178" s="101">
        <v>7</v>
      </c>
      <c r="AJ178" s="101">
        <v>8</v>
      </c>
      <c r="AK178" s="101">
        <v>9</v>
      </c>
      <c r="AL178" s="101">
        <v>10</v>
      </c>
      <c r="AM178" s="101">
        <v>11</v>
      </c>
      <c r="AN178" s="101">
        <v>12</v>
      </c>
      <c r="AP178" s="103" t="e">
        <f>((TP-H_1-((TP-H_1-(H_1*hnh)-(TP*TCv_1*tCo3_1*VE))*H_2/(TP-H_1-(H_1*hnh)))-(H_1*hnh)-((TP-H_1-(H_1*hnh)-(TP*TCv_1*tCo3_1*VE))*H_2*hnh/(TP-H_1-(H_1*hnh)))-(TP*TCv_1*tCo3_1*VE)-(TP*TCv_1*tCo3_2*VE))*(H_3/(TP-H_1-H_2-(hnh*(H_1+H_2)))))</f>
        <v>#DIV/0!</v>
      </c>
      <c r="AQ178" s="103" t="e">
        <f>(TP-H_1-((TP-H_1-(H_1*hnh)-(TP*TCv_1*tCo3_1*VE))*H_2/(TP-H_1-(H_1*hnh)))-AP178-(H_1*hnh)-((TP-H_1-(H_1*hnh)-(TP*TCv_1*tCo3_1*VE))*H_2*hnh/(TP-H_1-(H_1*hnh)))-AP180-(TP*TCv_1*tCo3_1*VE)-(TP*TCv_1*tCo3_2*VE)-(TP*TCv_1*tCo3_3*VE))*(H_4/(TP-H_1-H_2-H_3-(hnh*(H_1+H_2+H_3))))</f>
        <v>#DIV/0!</v>
      </c>
      <c r="AR178" s="103" t="e">
        <f>(TP-H_1-((TP-H_1-(H_1*hnh)-(TP*TCv_1*tCo3_1*VE))*H_2/(TP-H_1-(H_1*hnh)))-AP178-AQ178-(H_1*hnh)-((TP-H_1-(H_1*hnh)-(TP*TCv_1*tCo3_1*VE))*H_2*hnh/(TP-H_1-(H_1*hnh)))-AP180-AQ180-(TP*TCv_1*tCo3_1*VE)-(TP*TCv_1*tCo3_2*VE)-(TP*TCv_1*tCo3_3*VE)-(TP*TCv_1*tCo3_4*VE))*(H_5/(TP-H_1-H_2-H_3-H_4-(hnh*(H_1+H_2+H_3+H_4))))</f>
        <v>#DIV/0!</v>
      </c>
      <c r="AS178" s="103" t="e">
        <f>(TP-H_1-((TP-H_1-(H_1*hnh)-(TP*TCv_1*tCo3_1*VE))*H_2/(TP-H_1-(H_1*hnh)))-AP178-AQ178-AR178-(H_1*hnh)-((TP-H_1-(H_1*hnh)-(TP*TCv_1*tCo3_1*VE))*H_2*hnh/(TP-H_1-(H_1*hnh)))-AP180-AQ180-AR180-(TP*TCv_1*tCo3_1*VE)-(TP*TCv_1*tCo3_2*VE)-(TP*TCv_1*tCo3_3*VE)-(TP*TCv_1*tCo3_4*VE)-(TP*TCv_1*tCo3_5*VE))*(H_6/(TP-H_1-H_2-H_3-H_4-H_5-(hnh*(H_1+H_2+H_3+H_4+H_5))))</f>
        <v>#DIV/0!</v>
      </c>
      <c r="AT178" s="103" t="e">
        <f>(TP-H_1-((TP-H_1-(H_1*hnh)-(TP*TCv_1*tCo3_1*VE))*H_2/(TP-H_1-(H_1*hnh)))-AP178-AQ178-AR178-AS178-(H_1*hnh)-((TP-H_1-(H_1*hnh)-(TP*TCv_1*tCo3_1*VE))*H_2*hnh/(TP-H_1-(H_1*hnh)))-AP180-AQ180-AR180-AS180-(TP*TCv_1*tCo3_1*VE)-(TP*TCv_1*tCo3_2*VE)-(TP*TCv_1*tCo3_3*VE)-(TP*TCv_1*tCo3_4*VE)-(TP*TCv_1*tCo3_5*VE)-(TP*TCv_1*tCo3_6*VE))*(H_7/(TP-H_1-H_2-H_3-H_4-H_5-H_6-(hnh*(H_1+H_2+H_3+H_4+H_5+H_6))))</f>
        <v>#DIV/0!</v>
      </c>
      <c r="AU178" s="103" t="e">
        <f>(TP-H_1-((TP-H_1-(H_1*hnh)-(TP*TCv_1*tCo3_1*VE))*H_2/(TP-H_1-(H_1*hnh)))-AP178-AQ178-AR178-AS178-AT178-(H_1*hnh)-((TP-H_1-(H_1*hnh)-(TP*TCv_1*tCo3_1*VE))*H_2*hnh/(TP-H_1-(H_1*hnh)))-AP180-AQ180-AR180-AS180-AT180-(TP*TCv_1*tCo3_1*VE)-(TP*TCv_1*tCo3_2*VE)-(TP*TCv_1*tCo3_3*VE)-(TP*TCv_1*tCo3_4*VE)-(TP*TCv_1*tCo3_5*VE)-(TP*TCv_1*tCo3_6*VE)-(TP*TCv_1*tCo3_7*VE))*(H_8/(TP-H_1-H_2-H_3-H_4-H_5-H_6-H_7-(hnh*(H_1+H_2+H_3+H_4+H_5+H_6+H_7))))</f>
        <v>#DIV/0!</v>
      </c>
      <c r="AV178" s="103" t="e">
        <f>(TP-H_1-((TP-H_1-(H_1*hnh)-(TP*TCv_1*tCo3_1*VE))*H_2/(TP-H_1-(H_1*hnh)))-AP178-AQ178-AR178-AS178-AT178-AU178-(H_1*hnh)-((TP-H_1-(H_1*hnh)-(TP*TCv_1*tCo3_1*VE))*H_2*hnh/(TP-H_1-(H_1*hnh)))-AP180-AQ180-AR180-AS180-AT180-AU180-(TP*TCv_1*tCo3_1*VE)-(TP*TCv_1*tCo3_2*VE)-(TP*TCv_1*tCo3_3*VE)-(TP*TCv_1*tCo3_4*VE)-(TP*TCv_1*tCo3_5*VE)-(TP*TCv_1*tCo3_6*VE)-(TP*TCv_1*tCo3_7*VE)-(TP*TCv_1*tCo3_8*VE))*(H_9/(TP-H_1-H_2-H_3-H_4-H_5-H_6-H_7-H_8-(hnh*(H_1+H_2+H_3+H_4+H_5+H_6+H_7+H_8))))</f>
        <v>#DIV/0!</v>
      </c>
      <c r="AW178" s="103" t="e">
        <f>(TP-H_1-((TP-H_1-(H_1*hnh)-(TP*TCv_1*tCo3_1*VE))*H_2/(TP-H_1-(H_1*hnh)))-AP178-AQ178-AR178-AS178-AT178-AU178-AV178-(H_1*hnh)-((TP-H_1-(H_1*hnh)-(TP*TCv_1*tCo3_1*VE))*H_2*hnh/(TP-H_1-(H_1*hnh)))-AP180-AQ180-AR180-AS180-AT180-AU180-AV180-(TP*TCv_1*tCo3_1*VE)-(TP*TCv_1*tCo3_2*VE)-(TP*TCv_1*tCo3_3*VE)-(TP*TCv_1*tCo3_4*VE)-(TP*TCv_1*tCo3_5*VE)-(TP*TCv_1*tCo3_6*VE)-(TP*TCv_1*tCo3_7*VE)-(TP*TCv_1*tCo3_8*VE)-(TP*TCv_1*tCo3_9*VE))*(H_10/(TP-H_1-H_2-H_3-H_4-H_5-H_6-H_7-H_8-H_9-(hnh*(H_1+H_2+H_3+H_4+H_5+H_6+H_7+H_8+H_9))))</f>
        <v>#DIV/0!</v>
      </c>
      <c r="AX178" s="103" t="e">
        <f>(TP-H_1-((TP-H_1-(H_1*hnh)-(TP*TCv_1*tCo3_1*VE))*H_2/(TP-H_1-(H_1*hnh)))-AP178-AQ178-AR178-AS178-AT178-AU178-AV178-AW178-(H_1*hnh)-((TP-H_1-(H_1*hnh)-(TP*TCv_1*tCo3_1*VE))*H_2*hnh/(TP-H_1-(H_1*hnh)))-AP180-AQ180-AR180-AS180-AT180-AU180-AV180-AW180-(TP*TCv_1*tCo3_1*VE)-(TP*TCv_1*tCo3_2*VE)-(TP*TCv_1*tCo3_3*VE)-(TP*TCv_1*tCo3_4*VE)-(TP*TCv_1*tCo3_5*VE)-(TP*TCv_1*tCo3_6*VE)-(TP*TCv_1*tCo3_7*VE)-(TP*TCv_1*tCo3_8*VE)-(TP*TCv_1*tCo3_9*VE)-(TP*TCv_1*tCo3_10*VE))*(H_11/(TP-H_1-H_2-H_3-H_4-H_5-H_6-H_7-H_8-H_9-H_10-(hnh*(H_1+H_2+H_3+H_4+H_5+H_6+H_7+H_8+H_9+H_10))))</f>
        <v>#DIV/0!</v>
      </c>
      <c r="AZ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H_5/(TP-H_1-H_2-H_3-H_4-(hnh*(H_1+H_2+H_3+H_4))-(TP*VE*(TCv_1*tCo3_1+TCv_1*tCo3_2+TCv_1*tCo3_3+TCv_1*tCo3_4)))</f>
        <v>#DIV/0!</v>
      </c>
      <c r="BA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H_6/(TP-H_1-H_2-H_3-H_4-H_5-(hnh*(H_1+H_2+H_3+H_4+H_5))-(TP*VE*(TCv_1*tCo3_1+TCv_1*tCo3_2+TCv_1*tCo3_3+TCv_1*tCo3_4+TCv_1*tCo3_5)))</f>
        <v>#DIV/0!</v>
      </c>
      <c r="BB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H_7/(TP-H_1-H_2-H_3-H_4-H_5-H_6-(hnh*(H_1+H_2+H_3+H_4+H_5+H_6))-(TP*VE*(TCv_1*tCo3_1+TCv_1*tCo3_2+TCv_1*tCo3_3+TCv_1*tCo3_4+TCv_1*tCo3_5+TCv_1*tCo3_6)))</f>
        <v>#DIV/0!</v>
      </c>
      <c r="BC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H_8/(TP-H_1-H_2-H_3-H_4-H_5-H_6-H_7-(hnh*(H_1+H_2+H_3+H_4+H_5+H_6+H_7))-(TP*VE*(TCv_1*tCo3_1+TCv_1*tCo3_2+TCv_1*tCo3_3+TCv_1*tCo3_4+TCv_1*tCo3_5+TCv_1*tCo3_6+TCv_1*tCo3_7)))</f>
        <v>#DIV/0!</v>
      </c>
      <c r="BD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H_9/(TP-H_1-H_2-H_3-H_4-H_5-H_6-H_7-H_8-(hnh*(H_1+H_2+H_3+H_4+H_5+H_6+H_7+H_8))-(TP*VE*(TCv_1*tCo3_1+TCv_1*tCo3_2+TCv_1*tCo3_3+TCv_1*tCo3_4+TCv_1*tCo3_5+TCv_1*tCo3_6+TCv_1*tCo3_7+TCv_1*tCo3_8)))</f>
        <v>#DIV/0!</v>
      </c>
      <c r="BE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H_10/(TP-H_1-H_2-H_3-H_4-H_5-H_6-H_7-H_8-H_9-(hnh*(H_1+H_2+H_3+H_4+H_5+H_6+H_7+H_8+H_9))-(TP*VE*(TCv_1*tCo3_1+TCv_1*tCo3_2+TCv_1*tCo3_3+TCv_1*tCo3_4+TCv_1*tCo3_5+TCv_1*tCo3_6+TCv_1*tCo3_7+TCv_1*tCo3_8+TCv_1*tCo3_9)))</f>
        <v>#DIV/0!</v>
      </c>
      <c r="BF178"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H_11/(TP-H_1-H_2-H_3-H_4-H_5-H_6-H_7-H_8-H_9-H_10-(hnh*(H_1+H_2+H_3+H_4+H_5+H_6+H_7+H_8+H_9+H_10))-(TP*VE*(TCv_1*tCo3_1+TCv_1*tCo3_2+TCv_1*tCo3_3+TCv_1*tCo3_4+TCv_1*tCo3_5+TCv_1*tCo3_6+TCv_1*tCo3_7+TCv_1*tCo3_8+TCv_1*tCo3_9+TCv_1*tCo3_10)))</f>
        <v>#DIV/0!</v>
      </c>
    </row>
    <row r="179" spans="1:58" hidden="1" outlineLevel="1" x14ac:dyDescent="0.25">
      <c r="A179" s="73">
        <f>season</f>
        <v>0</v>
      </c>
      <c r="B179" s="73">
        <f>TG</f>
        <v>0</v>
      </c>
      <c r="C179" s="73">
        <f>TP</f>
        <v>0</v>
      </c>
      <c r="D179" s="74">
        <f>TCv</f>
        <v>0</v>
      </c>
      <c r="E179" s="75">
        <f>VE</f>
        <v>0</v>
      </c>
      <c r="F179" s="78" t="e">
        <f>G179/IF(mb=1,SUM(AC179:AN179),IF(mb=2,SUM(AD179:AN179),IF(mb=3,SUM(AE179:AN179),IF(mb=4,SUM(AF179:AN179),IF(mb=5,SUM(AG179:AN179),IF(mb=6,SUM(AH179:AN179),IF(mb=7,SUM(AI179:AN179),IF(mb=8,SUM(AJ179:AN179),0))))))))</f>
        <v>#DIV/0!</v>
      </c>
      <c r="G179" s="42">
        <f>IF(mb=1,SUM(AC179:AN179)-SUM(Q179:AB179),IF(mb=2,SUM(AD179:AN179)-SUM(R179:AB179),IF(mb=3,SUM(AE179:AN179)-SUM(S179:AB179),IF(mb=4,SUM(AF179:AN179)-SUM(T179:AB179),IF(mb=5,SUM(AG179:AN179)-SUM(U179:AB179),IF(mb=6,SUM(AH179:AN179)-SUM(V179:AB179),IF(mb=7,SUM(AI179:AN179)-SUM(W179:AB179),IF(mb=8,SUM(AJ179:AN179)-SUM(X179:AB179),0))))))))</f>
        <v>0</v>
      </c>
      <c r="H179" s="96" t="e">
        <f>1/(VE*IF(mb=1,SUM(AC179:AN179),IF(mb=2,SUM(AD179:AN179),IF(mb=3,SUM(AE179:AN179),IF(mb=4,SUM(AF179:AN179),IF(mb=5,SUM(AG179:AN179),IF(mb=6,SUM(AH179:AN179),IF(mb=7,SUM(AI179:AN179),IF(mb=8,SUM(AJ179:AN179),0))))))))/TP)</f>
        <v>#DIV/0!</v>
      </c>
      <c r="I179" s="93" t="e">
        <f>G179/hnh</f>
        <v>#DIV/0!</v>
      </c>
      <c r="J179" s="42" t="e">
        <f>1/(VE*IF(mb=1,SUM(AC179:AN179),IF(mb=2,SUM(AD179:AN179),IF(mb=3,SUM(AE179:AN179),IF(mb=4,SUM(AF179:AN179),IF(mb=5,SUM(AG179:AN179),IF(mb=6,SUM(AH179:AN179),IF(mb=7,SUM(AI179:AN179),IF(mb=8,SUM(AJ179:AN179),0))))))))/(TP*hnh))</f>
        <v>#DIV/0!</v>
      </c>
      <c r="K179" s="42" t="e">
        <f>M179*mai</f>
        <v>#DIV/0!</v>
      </c>
      <c r="L179" s="42" t="e">
        <f>1/(VE*((IF(mb=1,SUM(AC179:AN179),IF(mb=2,SUM(AD179:AN179),IF(mb=3,SUM(AE179:AN179),IF(mb=4,SUM(AF179:AN179),IF(mb=5,SUM(AG179:AN179),IF(mb=6,SUM(AH179:AN179),IF(mb=7,SUM(AI179:AN179),IF(mb=8,SUM(AJ179:AN179),0))))))))+(IF(mb=1,SUM(AC179:AN179),IF(mb=2,SUM(AD179:AN179),IF(mb=3,SUM(AE179:AN179),IF(mb=4,SUM(AF179:AN179),IF(mb=5,SUM(AG179:AN179),IF(mb=6,SUM(AH179:AN179),IF(mb=7,SUM(AI179:AN179),IF(mb=8,SUM(AJ179:AN179),0)))))))))/hnh)*mai)/TP)</f>
        <v>#DIV/0!</v>
      </c>
      <c r="M179" s="42" t="e">
        <f>G179+I179</f>
        <v>#DIV/0!</v>
      </c>
      <c r="N179" s="42" t="e">
        <f>1/(VE*(IF(mb=1,SUM(AC179:AN179),IF(mb=2,SUM(AD179:AN179),IF(mb=3,SUM(AE179:AN179),IF(mb=4,SUM(AF179:AN179),IF(mb=5,SUM(AG179:AN179),IF(mb=6,SUM(AH179:AN179),IF(mb=7,SUM(AI179:AN179),IF(mb=8,SUM(AJ179:AN179),0))))))))+(IF(mb=1,SUM(AC179:AN179),IF(mb=2,SUM(AD179:AN179),IF(mb=3,SUM(AE179:AN179),IF(mb=4,SUM(AF179:AN179),IF(mb=5,SUM(AG179:AN179),IF(mb=6,SUM(AH179:AN179),IF(mb=7,SUM(AI179:AN179),IF(mb=8,SUM(AJ179:AN179),0)))))))))/hnh)/TP)</f>
        <v>#DIV/0!</v>
      </c>
      <c r="Q179" s="86" t="e">
        <f>IF(ISc=1,nh1_1,IF(ISc=2,H_1*hnh,0))</f>
        <v>#DIV/0!</v>
      </c>
      <c r="R179" s="111" t="e">
        <f>IF(ScI=1,((nh1_2/(TP-(nh1_1/hnh)-nh1_1))*(TP-(nh1_1/hnh)-nh1_1-(TP*TCv_1*tCo3_1*VE))),IF(ScI=2,(TP-H_1-(H_1*hnh)-(TP*TCv_1*tCo3_1*VE))*(H_2*hnh/(TP-H_1-(H_1*hnh))),"fal"))</f>
        <v>#DIV/0!</v>
      </c>
      <c r="S179" s="137" t="e">
        <f>IF(ScI=1,(nh1_3/(TP-((nh1_1+nh1_2)/hnh)-nh1_1-nh1_2))*(TP-(nh1_1/hnh)-(R179/hnh)-nh1_1-R179-(TP*VE*(TCv_1*tCo3_1+TCv_1*tCo3_2))),IF(ScI=2,(TP-H_1-((TP-H_1-(H_1*hnh)-(TP*TCv_1*tCo3_1*VE))*H_2/(TP-H_1-(H_1*hnh)))-(H_1*hnh)-((TP-H_1-(H_1*hnh)-(TP*TCv_1*tCo3_1*VE))*H_2*hnh/(TP-H_1-(H_1*hnh)))-(TP*TCv_1*tCo3_1*VE)-(TP*TCv_1*tCo3_2*VE))*(H_3*hnh/(TP-H_1-H_2-(hnh*(H_1+H_2)))),0))</f>
        <v>#DIV/0!</v>
      </c>
      <c r="T179" s="86" t="e">
        <f>IF(ScI=1,(nh1_4/(TP-(nh1_1/hnh)-(nh1_2/hnh)-(nh1_3/hnh)-nh1_1-nh1_2-nh1_3))*(TP-(nh1_1/hnh)-(R179/hnh)-(S179/hnh)-nh1_1-R179-S179-(TP*VE*(TCv_1*tCo3_1+TCv_1*tCo3_2+TCv_1*tCo3_3))),IF(ScI=2,(TP-H_1-((TP-H_1-(H_1*hnh)-(TP*TCv_1*tCo3_1*VE))*H_2/(TP-H_1-(H_1*hnh)))-((TP-H_1-(((TP-H_1-(H_1*hnh)-(TP*TCv_1*tCo3_1*VE))*H_2/(TP-H_1-(H_1*hnh))))-(H_1*hnh)-((TP-H_1-(H_1*hnh)-(TP*TCv_1*tCo3_1*VE))*H_2*hnh/(TP-H_1-(H_1*hnh)))-(TP*TCv_1*tCo3_1*VE)-(TP*TCv_1*tCo3_2*VE))*(H_3/(TP-H_1-H_2-(hnh*(H_1+H_2)))))-(H_1*hnh)-((TP-H_1-(H_1*hnh)-(TP*TCv_1*tCo3_1*VE))*H_2*hnh/(TP-H_1-(H_1*hnh)))-((TP-H_1-(((TP-H_1-(H_1*hnh)-(TP*TCv_1*tCo3_1*VE))*H_2/(TP-H_1-(H_1*hnh))))-(H_1*hnh)-(((TP-H_1-(H_1*hnh)-(TP*TCv_1*tCo3_1*VE))*H_2*hnh/(TP-H_1-(H_1*hnh))))-(TP*TCv_1*tCo3_1*VE)-(TP*TCv_1*tCo3_2*VE))*(H_3*hnh/(TP-H_1-H_2-(hnh*(H_1+H_2)))))-(TP*TCv_1*tCo3_1*VE)-(TP*TCv_1*tCo3_2*VE)-(TP*TCv_1*tCo3_3*VE))*(H_4*hnh/(TP-H_1-H_2-H_3-(hnh*(H_1+H_2+H_3)))),0))</f>
        <v>#DIV/0!</v>
      </c>
      <c r="U179" s="86" t="e">
        <f>IF(ScI=1,(nh1_5/(TP-(nh1_1/hnh)-(nh1_2/hnh)-(nh1_3/hnh)-(nh1_4/hnh)-nh1_1-nh1_2-nh1_3-nh1_4))*(TP-(nh1_1/hnh)-(R179/hnh)-(S179/hnh)-(T179/hnh)-nh1_1-R179-S179-T179-(TP*VE*(TCv_1*tCo3_1+TCv_1*tCo3_2+TCv_1*tCo3_3+TCv_1*tCo3_4))),IF(ScI=2,(TP-H_1-(((TP-H_1-(H_1*hnh)-(TP*TCv_1*tCo3_1*VE))*H_2/(TP-H_1-(H_1*hnh))))-AP178-AQ178-(H_1*hnh)-((TP-H_1-(H_1*hnh)-(TP*TCv_1*tCo3_1*VE))*H_2*hnh/(TP-H_1-(H_1*hnh)))-AP180-AQ180-(TP*TCv_1*tCo3_1*VE)-(TP*TCv_1*tCo3_2*VE)-(TP*TCv_1*tCo3_3*VE)-(TP*TCv_1*tCo3_4*VE))*(H_5*hnh/(TP-H_1-H_2-H_3-H_4-(hnh*(H_1+H_2+H_3+H_4)))),0))</f>
        <v>#DIV/0!</v>
      </c>
      <c r="V179" s="86" t="e">
        <f>IF(ScI=1,(nh1_6/(TP-(nh1_1/hnh)-(nh1_2/hnh)-(nh1_3/hnh)-(nh1_4/hnh)-(nh1_5/hnh)-nh1_1-nh1_2-nh1_3-nh1_4-nh1_5))*(TP-(nh1_1/hnh)-(R179/hnh)-(S179/hnh)-(T179/hnh)-(U179/hnh)-nh1_1-R179-S179-T179-U179-(TP*VE*(TCv_1*tCo3_1+TCv_1*tCo3_2+TCv_1*tCo3_3+TCv_1*tCo3_4+TCv_1*tCo3_5))),IF(ScI=2,(TP-H_1-((TP-H_1-(H_1*hnh)-(TP*TCv_1*tCo3_1*VE))*H_2/(TP-H_1-(H_1*hnh)))-AP178-AQ178-AR178-(H_1*hnh)-((TP-H_1-(H_1*hnh)-(TP*TCv_1*tCo3_1*VE))*H_2*hnh/(TP-H_1-(H_1*hnh)))-AP180-AQ180-AR180-(TP*TCv_1*tCo3_1*VE)-(TP*TCv_1*tCo3_2*VE)-(TP*TCv_1*tCo3_3*VE)-(TP*TCv_1*tCo3_4*VE)-(TP*TCv_1*tCo3_5*VE))*(H_6*hnh/(TP-H_1-H_2-H_3-H_4-H_5-(hnh*(H_1+H_2+H_3+H_4+H_5)))),0))</f>
        <v>#DIV/0!</v>
      </c>
      <c r="W179" s="86" t="e">
        <f>IF(ScI=1,(nh1_7/(TP-(nh1_1/hnh)-(nh1_2/hnh)-(nh1_3/hnh)-(nh1_4/hnh)-(nh1_5/hnh)-(nh1_6/hnh)-nh1_1-nh1_2-nh1_3-nh1_4-nh1_5-nh1_6))*(TP-(nh1_1/hnh)-(R179/hnh)-(S179/hnh)-(T179/hnh)-(U179/hnh)-(V179/hnh)-nh1_1-R179-S179-T179-U179-V179-(TP*VE*(TCv_1*tCo3_1+TCv_1*tCo3_2+TCv_1*tCo3_3+TCv_1*tCo3_4+TCv_1*tCo3_5+TCv_1*tCo3_6))),IF(ScI=2,(TP-H_1-((TP-H_1-(H_1*hnh)-(TP*TCv_1*tCo3_1*VE))*H_2/(TP-H_1-(H_1*hnh)))-AP178-AQ178-AR178-AS178-(H_1*hnh)-((TP-H_1-(H_1*hnh)-(TP*TCv_1*tCo3_1*VE))*H_2*hnh/(TP-H_1-(H_1*hnh)))-AP180-AQ180-AR180-AS180-(TP*TCv_1*tCo3_1*VE)-(TP*TCv_1*tCo3_2*VE)-(TP*TCv_1*tCo3_3*VE)-(TP*TCv_1*tCo3_4*VE)-(TP*TCv_1*tCo3_5*VE)-(TP*TCv_1*tCo3_6*VE))*(H_7*hnh/(TP-H_1-H_2-H_3-H_4-H_5-H_6-(hnh*(H_1+H_2+H_3+H_4+H_5+H_6)))),0))</f>
        <v>#DIV/0!</v>
      </c>
      <c r="X179" s="86" t="e">
        <f>IF(ScI=1,(nh1_8/(TP-(nh1_1/hnh)-(nh1_2/hnh)-(nh1_3/hnh)-(nh1_4/hnh)-(nh1_5/hnh)-(nh1_6/hnh)-(nh1_7/hnh)-nh1_1-nh1_2-nh1_3-nh1_4-nh1_5-nh1_6-nh1_7))*(TP-(nh1_1/hnh)-(R179/hnh)-(S179/hnh)-(T179/hnh)-(U179/hnh)-(V179/hnh)-(W179/hnh)-nh1_1-R179-S179-T179-U179-V179-W179-(TP*VE*(TCv_1*tCo3_1+TCv_1*tCo3_2+TCv_1*tCo3_3+TCv_1*tCo3_4+TCv_1*tCo3_5+TCv_1*tCo3_6+TCv_1*tCo3_7))),IF(ScI=2,(TP-H_1-((TP-H_1-(H_1*hnh)-(TP*TCv_1*tCo3_1*VE))*H_2/(TP-H_1-(H_1*hnh)))-AP178-AQ178-AR178-AS178-AT178-(H_1*hnh)-((TP-H_1-(H_1*hnh)-(TP*TCv_1*tCo3_1*VE))*H_2*hnh/(TP-H_1-(H_1*hnh)))-AP180-AQ180-AR180-AS180-AT180-(TP*TCv_1*tCo3_1*VE)-(TP*TCv_1*tCo3_2*VE)-(TP*TCv_1*tCo3_3*VE)-(TP*TCv_1*tCo3_4*VE)-(TP*TCv_1*tCo3_5*VE)-(TP*TCv_1*tCo3_6*VE)-(TP*TCv_1*tCo3_7*VE))*(H_8*hnh/(TP-H_1-H_2-H_3-H_4-H_5-H_6-H_7-(hnh*(H_1+H_2+H_3+H_4+H_5+H_6+H_7)))),0))</f>
        <v>#DIV/0!</v>
      </c>
      <c r="Y179" s="86" t="e">
        <f>IF(ScI=1,(nh1_9/(TP-(nh1_1/hnh)-(nh1_2/hnh)-(nh1_3/hnh)-(nh1_4/hnh)-(nh1_5/hnh)-(nh1_6/hnh)-(nh1_7/hnh)-(nh1_8/hnh)-nh1_1-nh1_2-nh1_3-nh1_4-nh1_5-nh1_6-nh1_7-nh1_8))*(TP-(nh1_1/hnh)-(R179/hnh)-(S179/hnh)-(T179/hnh)-(U179/hnh)-(V179/hnh)-(W179/hnh)-(X179/hnh)-nh1_1-R179-S179-T179-U179-V179-W179-X179-(TP*VE*(TCv_1*tCo3_1+TCv_1*tCo3_2+TCv_1*tCo3_3+TCv_1*tCo3_4+TCv_1*tCo3_5+TCv_1*tCo3_6+TCv_1*tCo3_7+TCv_1*tCo3_8))),IF(ScI=2,(TP-H_1-((TP-H_1-(H_1*hnh)-(TP*TCv_1*tCo3_1*VE))*H_2/(TP-H_1-(H_1*hnh)))-AP178-AQ178-AR178-AS178-AT178-AU178-(H_1*hnh)-((TP-H_1-(H_1*hnh)-(TP*TCv_1*tCo3_1*VE))*H_2*hnh/(TP-H_1-(H_1*hnh)))-AP180-AQ180-AR180-AS180-AT180-AU180-(TP*TCv_1*tCo3_1*VE)-(TP*TCv_1*tCo3_2*VE)-(TP*TCv_1*tCo3_3*VE)-(TP*TCv_1*tCo3_4*VE)-(TP*TCv_1*tCo3_5*VE)-(TP*TCv_1*tCo3_6*VE)-(TP*TCv_1*tCo3_7*VE)-(TP*TCv_1*tCo3_8*VE))*(H_9*hnh/(TP-H_1-H_2-H_3-H_4-H_5-H_6-H_7-H_8-(hnh*(H_1+H_2+H_3+H_4+H_5+H_6+H_7+H_8)))),0))</f>
        <v>#DIV/0!</v>
      </c>
      <c r="Z179" s="86" t="e">
        <f>IF(ScI=1,(nh1_10/(TP-(nh1_1/hnh)-(nh1_2/hnh)-(nh1_3/hnh)-(nh1_4/hnh)-(nh1_5/hnh)-(nh1_6/hnh)-(nh1_7/hnh)-(nh1_8/hnh)-(nh1_9/hnh)-nh1_1-nh1_2-nh1_3-nh1_4-nh1_5-nh1_6-nh1_7-nh1_8-nh1_9))*(TP-(nh1_1/hnh)-(R179/hnh)-(S179/hnh)-(T179/hnh)-(U179/hnh)-(V179/hnh)-(W179/hnh)-(X179/hnh)-(Y179/hnh)-nh1_1-R179-S179-T179-U179-V179-W179-X179-Y179-(TP*VE*(TCv_1*tCo3_1+TCv_1*tCo3_2+TCv_1*tCo3_3+TCv_1*tCo3_4+TCv_1*tCo3_5+TCv_1*tCo3_6+TCv_1*tCo3_7+TCv_1*tCo3_8+TCv_1*tCo3_9))),IF(ScI=2,(TP-H_1-((TP-H_1-(H_1*hnh)-(TP*TCv_1*tCo3_1*VE))*H_2/(TP-H_1-(H_1*hnh)))-AP178-AQ178-AR178-AS178-AT178-AU178-AV178-(H_1*hnh)-((TP-H_1-(H_1*hnh)-(TP*TCv_1*tCo3_1*VE))*H_2*hnh/(TP-H_1-(H_1*hnh)))-AP180-AQ180-AR180-AS180-AT180-AU180-AV180-(TP*TCv_1*tCo3_1*VE)-(TP*TCv_1*tCo3_2*VE)-(TP*TCv_1*tCo3_3*VE)-(TP*TCv_1*tCo3_4*VE)-(TP*TCv_1*tCo3_5*VE)-(TP*TCv_1*tCo3_6*VE)-(TP*TCv_1*tCo3_7*VE)-(TP*TCv_1*tCo3_8*VE)-(TP*TCv_1*tCo3_9*VE))*(H_10*hnh/(TP-H_1-H_2-H_3-H_4-H_5-H_6-H_7-H_8-H_9-(hnh*(H_1+H_2+H_3+H_4+H_5+H_6+H_7+H_8+H_9)))),0))</f>
        <v>#DIV/0!</v>
      </c>
      <c r="AA179" s="86" t="e">
        <f>IF(ScI=1,(nh1_11/(TP-(nh1_1/hnh)-(nh1_2/hnh)-(nh1_3/hnh)-(nh1_4/hnh)-(nh1_5/hnh)-(nh1_6/hnh)-(nh1_7/hnh)-(nh1_8/hnh)-(nh1_9/hnh)-(nh1_10/hnh)-nh1_1-nh1_2-nh1_3-nh1_4-nh1_5-nh1_6-nh1_7-nh1_8-nh1_9-nh1_10))*(TP-(nh1_1/hnh)-(R179/hnh)-(S179/hnh)-(T179/hnh)-(U179/hnh)-(V179/hnh)-(W179/hnh)-(X179/hnh)-(Y179/hnh)-(Z179/hnh)-nh1_1-R179-S179-T179-U179-V179-W179-X179-Y179-Z179-(TP*VE*(TCv_1*tCo3_1+TCv_1*tCo3_2+TCv_1*tCo3_3+TCv_1*tCo3_4+TCv_1*tCo3_5+TCv_1*tCo3_6+TCv_1*tCo3_7+TCv_1*tCo3_8+TCv_1*tCo3_9+TCv_1*tCo3_10))),IF(ScI=2,(TP-H_1-((TP-H_1-(H_1*hnh)-(TP*TCv_1*tCo3_1*VE))*H_2/(TP-H_1-(H_1*hnh)))-AP178-AQ178-AR178-AS178-AT178-AU178-AV178-AW178-(H_1*hnh)-((TP-H_1-(H_1*hnh)-(TP*TCv_1*tCo3_1*VE))*H_2*hnh/(TP-H_1-(H_1*hnh)))-AP180-AQ180-AR180-AS180-AT180-AU180-AV180-AW180-(TP*TCv_1*tCo3_1*VE)-(TP*TCv_1*tCo3_2*VE)-(TP*TCv_1*tCo3_3*VE)-(TP*TCv_1*tCo3_4*VE)-(TP*TCv_1*tCo3_5*VE)-(TP*TCv_1*tCo3_6*VE)-(TP*TCv_1*tCo3_7*VE)-(TP*TCv_1*tCo3_8*VE)-(TP*TCv_1*tCo3_9*VE)-(TP*TCv_1*tCo3_10*VE))*(H_11*hnh/(TP-H_1-H_2-H_3-H_4-H_5-H_6-H_7-H_8-H_9-H_10-(hnh*(H_1+H_2+H_3+H_4+H_5+H_6+H_7+H_8+H_9+H_10)))),0))</f>
        <v>#DIV/0!</v>
      </c>
      <c r="AB179" s="86" t="e">
        <f>IF(ScI=1,(nh1_12/(TP-(nh1_1/hnh)-(nh1_2/hnh)-(nh1_3/hnh)-(nh1_4/hnh)-(nh1_5/hnh)-(nh1_6/hnh)-(nh1_7/hnh)-(nh1_8/hnh)-(nh1_9/hnh)-(nh1_10/hnh)-(nh1_11/hnh)-nh1_1-nh1_2-nh1_3-nh1_4-nh1_5-nh1_6-nh1_7-nh1_8-nh1_9-nh1_10-nh1_11))*(TP-(nh1_1/hnh)-(R179/hnh)-(S179/hnh)-(T179/hnh)-(U179/hnh)-(V179/hnh)-(W179/hnh)-(X179/hnh)-(Y179/hnh)-(Z179/hnh)-(AA179/hnh)-nh1_1-R179-S179-T179-U179-V179-W179-X179-Y179-Z179-AA179-(TP*VE*(TCv_1*tCo3_1+TCv_1*tCo3_2+TCv_1*tCo3_3+TCv_1*tCo3_4+TCv_1*tCo3_5+TCv_1*tCo3_6+TCv_1*tCo3_7+TCv_1*tCo3_8+TCv_1*tCo3_9+TCv_1*tCo3_10+TCv_1*tCo3_11))),IF(ScI=2,(TP-H_1-((TP-H_1-(H_1*hnh)-(TP*TCv_1*tCo3_1*VE))*H_2/(TP-H_1-(H_1*hnh)))-AP178-AQ178-AR178-AS178-AT178-AU178-AV178-AW178-AX178-(H_1*hnh)-((TP-H_1-(H_1*hnh)-(TP*TCv_1*tCo3_1*VE))*H_2*hnh/(TP-H_1-(H_1*hnh)))-AP180-AQ180-AR180-AS180-AT180-AU180-AV180-AW180-AX180-(TP*TCv_1*tCo3_1*VE)-(TP*TCv_1*tCo3_2*VE)-(TP*TCv_1*tCo3_3*VE)-(TP*TCv_1*tCo3_4*VE)-(TP*TCv_1*tCo3_5*VE)-(TP*TCv_1*tCo3_6*VE)-(TP*TCv_1*tCo3_7*VE)-(TP*TCv_1*tCo3_8*VE)-(TP*TCv_1*tCo3_9*VE)-(TP*TCv_1*tCo3_10*VE)-(TP*TCv_1*tCo3_11*VE))*(H_12*hnh/(TP-H_1-H_2-H_3-H_4-H_5-H_6-H_7-H_8-H_9-H_10-H_11-(hnh*(H_1+H_2+H_3+H_4+H_5+H_6+H_7+H_8+H_9+H_10+H_11)))),0))</f>
        <v>#DIV/0!</v>
      </c>
      <c r="AC179" s="88">
        <f>IF(ScI=1,H_1*hnh,IF(ScI=2,H_1*hnh,0))</f>
        <v>0</v>
      </c>
      <c r="AD179" s="88" t="e">
        <f>IF(ScI=1,(TP-H_1-(H_1*hnh))*H_2*hnh/(TP-H_1-(H_1*hnh)-(TP*TCv_1*tCo3_1*VE)),IF(ScI=2,H_2*hnh,0))</f>
        <v>#DIV/0!</v>
      </c>
      <c r="AE179" s="88" t="e">
        <f>IF(ScI=1,(TP-H_1-((TP-H_1-(H_1*hnh))*H_2/(TP-H_1-(H_1*hnh)-(TP*TCv_1*tCo3_1*VE)))-(H_1*hnh)-((TP-H_1-(H_1*hnh))*H_2*hnh/(TP-H_1-(H_1*hnh)-(TP*TCv_1*tCo3_1*VE))))*H_3*hnh/(TP-H_1-H_2-(hnh*(H_1+H_2))-(TP*VE*(TCv_1*tCo3_1+TCv_1*tCo3_2))),IF(ScI=2,H_3*hnh,0))</f>
        <v>#DIV/0!</v>
      </c>
      <c r="AF179" s="88" t="e">
        <f>IF(ScI=1,(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IF(ScI=2,H_4*hnh,0))</f>
        <v>#DIV/0!</v>
      </c>
      <c r="AG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H_5*hnh/(TP-H_1-H_2-H_3-H_4-(hnh*(H_1+H_2+H_3+H_4))-(TP*VE*(TCv_1*tCo3_1+TCv_1*tCo3_2+TCv_1*tCo3_3+TCv_1*tCo3_4))),IF(ScI=2,H_5*hnh,0))</f>
        <v>#DIV/0!</v>
      </c>
      <c r="AH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H_6*hnh/(TP-H_1-H_2-H_3-H_4-H_5-(hnh*(H_1+H_2+H_3+H_4+H_5))-(TP*VE*(TCv_1*tCo3_1+TCv_1*tCo3_2+TCv_1*tCo3_3+TCv_1*tCo3_4+TCv_1*tCo3_5))),IF(ScI=2,H_6*hnh,0))</f>
        <v>#DIV/0!</v>
      </c>
      <c r="AI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H_7*hnh/(TP-H_1-H_2-H_3-H_4-H_5-H_6-(hnh*(H_1+H_2+H_3+H_4+H_5+H_6))-(TP*VE*(TCv_1*tCo3_1+TCv_1*tCo3_2+TCv_1*tCo3_3+TCv_1*tCo3_4+TCv_1*tCo3_5+TCv_1*tCo3_6))),IF(ScI=2,H_7*hnh,0))</f>
        <v>#DIV/0!</v>
      </c>
      <c r="AJ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H_8*hnh/(TP-H_1-H_2-H_3-H_4-H_5-H_6-H_7-(hnh*(H_1+H_2+H_3+H_4+H_5+H_6+H_7))-(TP*VE*(TCv_1*tCo3_1+TCv_1*tCo3_2+TCv_1*tCo3_3+TCv_1*tCo3_4+TCv_1*tCo3_5+TCv_1*tCo3_6+TCv_1*tCo3_7))),IF(ScI=2,H_8*hnh,0))</f>
        <v>#DIV/0!</v>
      </c>
      <c r="AK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H_9*hnh/(TP-H_1-H_2-H_3-H_4-H_5-H_6-H_7-H_8-(hnh*(H_1+H_2+H_3+H_4+H_5+H_6+H_7+H_8))-(TP*VE*(TCv_1*tCo3_1+TCv_1*tCo3_2+TCv_1*tCo3_3+TCv_1*tCo3_4+TCv_1*tCo3_5+TCv_1*tCo3_6+TCv_1*tCo3_7+TCv_1*tCo3_8))),IF(ScI=2,H_9*hnh,0))</f>
        <v>#DIV/0!</v>
      </c>
      <c r="AL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H_10*hnh/(TP-H_1-H_2-H_3-H_4-H_5-H_6-H_7-H_8-H_9-(hnh*(H_1+H_2+H_3+H_4+H_5+H_6+H_7+H_8+H_9))-(TP*VE*(TCv_1*tCo3_1+TCv_1*tCo3_2+TCv_1*tCo3_3+TCv_1*tCo3_4+TCv_1*tCo3_5+TCv_1*tCo3_6+TCv_1*tCo3_7+TCv_1*tCo3_8+TCv_1*tCo3_9))),IF(ScI=2,H_10*hnh,0))</f>
        <v>#DIV/0!</v>
      </c>
      <c r="AM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H_11*hnh/(TP-H_1-H_2-H_3-H_4-H_5-H_6-H_7-H_8-H_9-H_10-(hnh*(H_1+H_2+H_3+H_4+H_5+H_6+H_7+H_8+H_9+H_10))-(TP*VE*(TCv_1*tCo3_1+TCv_1*tCo3_2+TCv_1*tCo3_3+TCv_1*tCo3_4+TCv_1*tCo3_5+TCv_1*tCo3_6+TCv_1*tCo3_7+TCv_1*tCo3_8+TCv_1*tCo3_9+TCv_1*tCo3_10))),IF(ScI=2,H_11*hnh,0))</f>
        <v>#DIV/0!</v>
      </c>
      <c r="AN179" s="88" t="e">
        <f>IF(ScI=1,(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BF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BF180)*H_12*hnh/(TP-H_1-H_2-H_3-H_4-H_5-H_6-H_7-H_8-H_9-H_10-H_11-(hnh*(H_1+H_2+H_3+H_4+H_5+H_6+H_7+H_8+H_9+H_10+H_11))-(TP*VE*(TCv_1*tCo3_1+TCv_1*tCo3_2+TCv_1*tCo3_3+TCv_1*tCo3_4+TCv_1*tCo3_5+TCv_1*tCo3_6+TCv_1*tCo3_7+TCv_1*tCo3_8+TCv_1*tCo3_9+TCv_1*tCo3_10+TCv_1*tCo3_11))),IF(ScI=2,H_12*hnh,0))</f>
        <v>#DIV/0!</v>
      </c>
      <c r="AP179" s="103" t="s">
        <v>82</v>
      </c>
      <c r="AQ179" s="103" t="s">
        <v>83</v>
      </c>
      <c r="AR179" s="103" t="s">
        <v>84</v>
      </c>
      <c r="AS179" s="103" t="s">
        <v>85</v>
      </c>
      <c r="AT179" s="103" t="s">
        <v>86</v>
      </c>
      <c r="AU179" s="103" t="s">
        <v>87</v>
      </c>
      <c r="AV179" s="103" t="s">
        <v>88</v>
      </c>
      <c r="AW179" s="103" t="s">
        <v>89</v>
      </c>
      <c r="AX179" s="103" t="s">
        <v>90</v>
      </c>
      <c r="AZ179" s="103" t="s">
        <v>106</v>
      </c>
      <c r="BA179" s="103" t="s">
        <v>92</v>
      </c>
      <c r="BB179" s="103" t="s">
        <v>98</v>
      </c>
      <c r="BC179" s="103" t="s">
        <v>99</v>
      </c>
      <c r="BD179" s="103" t="s">
        <v>100</v>
      </c>
      <c r="BE179" s="103" t="s">
        <v>101</v>
      </c>
      <c r="BF179" s="103" t="s">
        <v>102</v>
      </c>
    </row>
    <row r="180" spans="1:58" hidden="1" outlineLevel="1" x14ac:dyDescent="0.25">
      <c r="F180" s="113"/>
      <c r="G180" s="31"/>
      <c r="H180" s="31"/>
      <c r="I180" s="31"/>
      <c r="J180" s="31"/>
      <c r="K180" s="31"/>
      <c r="L180" s="31"/>
      <c r="M180" s="31"/>
      <c r="N180" s="31"/>
      <c r="Q180" s="31"/>
      <c r="R180" s="97"/>
      <c r="S180" s="97"/>
      <c r="T180" s="97"/>
      <c r="U180" s="97"/>
      <c r="V180" s="97"/>
      <c r="W180" s="97"/>
      <c r="X180" s="97"/>
      <c r="Y180" s="97"/>
      <c r="Z180" s="97"/>
      <c r="AA180" s="97"/>
      <c r="AB180" s="97"/>
      <c r="AC180" s="98"/>
      <c r="AD180" s="98"/>
      <c r="AE180" s="98"/>
      <c r="AF180" s="98"/>
      <c r="AG180" s="98"/>
      <c r="AH180" s="98"/>
      <c r="AI180" s="98"/>
      <c r="AJ180" s="98"/>
      <c r="AK180" s="98"/>
      <c r="AL180" s="98"/>
      <c r="AM180" s="98"/>
      <c r="AN180" s="98"/>
      <c r="AP180" s="103" t="e">
        <f>((TP-H_1-((TP-H_1-(H_1*hnh)-(TP*TCv_1*tCo3_1*VE))*H_2/(TP-H_1-(H_1*hnh)))-(H_1*hnh)-((TP-H_1-(H_1*hnh)-(TP*TCv_1*tCo3_1*VE))*H_2*hnh/(TP-H_1-(H_1*hnh)))-(TP*TCv_1*tCo3_1*VE)-(TP*TCv_1*tCo3_2*VE))*(H_3*hnh/(TP-H_1-H_2-(hnh*(H_1+H_2)))))</f>
        <v>#DIV/0!</v>
      </c>
      <c r="AQ180" s="103" t="e">
        <f>(TP-H_1-((TP-H_1-(H_1*hnh)-(TP*TCv_1*tCo3_1*VE))*H_2/(TP-H_1-(H_1*hnh)))-AP178-(H_1*hnh)-((TP-H_1-(H_1*hnh)-(TP*TCv_1*tCo3_1*VE))*H_2*hnh/(TP-H_1-(H_1*hnh)))-AP180-(TP*TCv_1*tCo3_1*VE)-(TP*TCv_1*tCo3_2*VE)-(TP*TCv_1*tCo3_3*VE))*(H_4*hnh/(TP-H_1-H_2-H_3-(hnh*(H_1+H_2+H_3))))</f>
        <v>#DIV/0!</v>
      </c>
      <c r="AR180" s="103" t="e">
        <f>(TP-H_1-((TP-H_1-(H_1*hnh)-(TP*TCv_1*tCo3_1*VE))*H_2/(TP-H_1-(H_1*hnh)))-AP178-AQ178-(H_1*hnh)-((TP-H_1-(H_1*hnh)-(TP*TCv_1*tCo3_1*VE))*H_2*hnh/(TP-H_1-(H_1*hnh)))-AP180-AQ180-(TP*TCv_1*tCo3_1*VE)-(TP*TCv_1*tCo3_2*VE)-(TP*TCv_1*tCo3_3*VE)-(TP*TCv_1*tCo3_4*VE))*(H_5*hnh/(TP-H_1-H_2-H_3-H_4-(hnh*(H_1+H_2+H_3+H_4))))</f>
        <v>#DIV/0!</v>
      </c>
      <c r="AS180" s="103" t="e">
        <f>(TP-H_1-((TP-H_1-(H_1*hnh)-(TP*TCv_1*tCo3_1*VE))*H_2/(TP-H_1-(H_1*hnh)))-AP178-AQ178-AR178-(H_1*hnh)-((TP-H_1-(H_1*hnh)-(TP*TCv_1*tCo3_1*VE))*H_2*hnh/(TP-H_1-(H_1*hnh)))-AP180-AQ180-AR180-(TP*TCv_1*tCo3_1*VE)-(TP*TCv_1*tCo3_2*VE)-(TP*TCv_1*tCo3_3*VE)-(TP*TCv_1*tCo3_4*VE)-(TP*TCv_1*tCo3_5*VE))*(H_6*hnh/(TP-H_1-H_2-H_3-H_4-H_5-(hnh*(H_1+H_2+H_3+H_4+H_5))))</f>
        <v>#DIV/0!</v>
      </c>
      <c r="AT180" s="103" t="e">
        <f>(TP-H_1-((TP-H_1-(H_1*hnh)-(TP*TCv_1*tCo3_1*VE))*H_2/(TP-H_1-(H_1*hnh)))-AP178-AQ178-AR178-AS178-(H_1*hnh)-((TP-H_1-(H_1*hnh)-(TP*TCv_1*tCo3_1*VE))*H_2*hnh/(TP-H_1-(H_1*hnh)))-AP180-AQ180-AR180-AS180-(TP*TCv_1*tCo3_1*VE)-(TP*TCv_1*tCo3_2*VE)-(TP*TCv_1*tCo3_3*VE)-(TP*TCv_1*tCo3_4*VE)-(TP*TCv_1*tCo3_5*VE)-(TP*TCv_1*tCo3_6*VE))*(H_7*hnh/(TP-H_1-H_2-H_3-H_4-H_5-H_6-(hnh*(H_1+H_2+H_3+H_4+H_5+H_6))))</f>
        <v>#DIV/0!</v>
      </c>
      <c r="AU180" s="103" t="e">
        <f>(TP-H_1-((TP-H_1-(H_1*hnh)-(TP*TCv_1*tCo3_1*VE))*H_2/(TP-H_1-(H_1*hnh)))-AP178-AQ178-AR178-AS178-AT178-(H_1*hnh)-((TP-H_1-(H_1*hnh)-(TP*TCv_1*tCo3_1*VE))*H_2*hnh/(TP-H_1-(H_1*hnh)))-AP180-AQ180-AR180-AS180-AT180-(TP*TCv_1*tCo3_1*VE)-(TP*TCv_1*tCo3_2*VE)-(TP*TCv_1*tCo3_3*VE)-(TP*TCv_1*tCo3_4*VE)-(TP*TCv_1*tCo3_5*VE)-(TP*TCv_1*tCo3_6*VE)-(TP*TCv_1*tCo3_7*VE))*(H_8*hnh/(TP-H_1-H_2-H_3-H_4-H_5-H_6-H_7-(hnh*(H_1+H_2+H_3+H_4+H_5+H_6+H_7))))</f>
        <v>#DIV/0!</v>
      </c>
      <c r="AV180" s="103" t="e">
        <f>(TP-H_1-((TP-H_1-(H_1*hnh)-(TP*TCv_1*tCo3_1*VE))*H_2/(TP-H_1-(H_1*hnh)))-AP178-AQ178-AR178-AS178-AT178-AU178-(H_1*hnh)-((TP-H_1-(H_1*hnh)-(TP*TCv_1*tCo3_1*VE))*H_2*hnh/(TP-H_1-(H_1*hnh)))-AP180-AQ180-AR180-AS180-AT180-AU180-(TP*TCv_1*tCo3_1*VE)-(TP*TCv_1*tCo3_2*VE)-(TP*TCv_1*tCo3_3*VE)-(TP*TCv_1*tCo3_4*VE)-(TP*TCv_1*tCo3_5*VE)-(TP*TCv_1*tCo3_6*VE)-(TP*TCv_1*tCo3_7*VE)-(TP*TCv_1*tCo3_8*VE))*(H_9*hnh/(TP-H_1-H_2-H_3-H_4-H_5-H_6-H_7-H_8-(hnh*(H_1+H_2+H_3+H_4+H_5+H_6+H_7+H_8))))</f>
        <v>#DIV/0!</v>
      </c>
      <c r="AW180" s="103" t="e">
        <f>(TP-H_1-((TP-H_1-(H_1*hnh)-(TP*TCv_1*tCo3_1*VE))*H_2/(TP-H_1-(H_1*hnh)))-AP178-AQ178-AR178-AS178-AT178-AU178-AV178-(H_1*hnh)-((TP-H_1-(H_1*hnh)-(TP*TCv_1*tCo3_1*VE))*H_2*hnh/(TP-H_1-(H_1*hnh)))-AP180-AQ180-AR180-AS180-AT180-AU180-AV180-(TP*TCv_1*tCo3_1*VE)-(TP*TCv_1*tCo3_2*VE)-(TP*TCv_1*tCo3_3*VE)-(TP*TCv_1*tCo3_4*VE)-(TP*TCv_1*tCo3_5*VE)-(TP*TCv_1*tCo3_6*VE)-(TP*TCv_1*tCo3_7*VE)-(TP*TCv_1*tCo3_8*VE)-(TP*TCv_1*tCo3_9*VE))*(H_10*hnh/(TP-H_1-H_2-H_3-H_4-H_5-H_6-H_7-H_8-H_9-(hnh*(H_1+H_2+H_3+H_4+H_5+H_6+H_7+H_8+H_9))))</f>
        <v>#DIV/0!</v>
      </c>
      <c r="AX180" s="103" t="e">
        <f>(TP-H_1-((TP-H_1-(H_1*hnh)-(TP*TCv_1*tCo3_1*VE))*H_2/(TP-H_1-(H_1*hnh)))-AP178-AQ178-AR178-AS178-AT178-AU178-AV178-AW178-(H_1*hnh)-((TP-H_1-(H_1*hnh)-(TP*TCv_1*tCo3_1*VE))*H_2*hnh/(TP-H_1-(H_1*hnh)))-AP180-AQ180-AR180-AS180-AT180-AU180-AV180-AW180-(TP*TCv_1*tCo3_1*VE)-(TP*TCv_1*tCo3_2*VE)-(TP*TCv_1*tCo3_3*VE)-(TP*TCv_1*tCo3_4*VE)-(TP*TCv_1*tCo3_5*VE)-(TP*TCv_1*tCo3_6*VE)-(TP*TCv_1*tCo3_7*VE)-(TP*TCv_1*tCo3_8*VE)-(TP*TCv_1*tCo3_9*VE)-(TP*TCv_1*tCo3_10*VE))*(H_11*hnh/(TP-H_1-H_2-H_3-H_4-H_5-H_6-H_7-H_8-H_9-H_10-(hnh*(H_1+H_2+H_3+H_4+H_5+H_6+H_7+H_8+H_9+H_10))))</f>
        <v>#DIV/0!</v>
      </c>
      <c r="AZ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H_5*hnh/(TP-H_1-H_2-H_3-H_4-(hnh*(H_1+H_2+H_3+H_4))-(TP*VE*(TCv_1*tCo3_1+TCv_1*tCo3_2+TCv_1*tCo3_3+TCv_1*tCo3_4)))</f>
        <v>#DIV/0!</v>
      </c>
      <c r="BA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H_6*hnh/(TP-H_1-H_2-H_3-H_4-H_5-(hnh*(H_1+H_2+H_3+H_4+H_5))-(TP*VE*(TCv_1*tCo3_1+TCv_1*tCo3_2+TCv_1*tCo3_3+TCv_1*tCo3_4+TCv_1*tCo3_5)))</f>
        <v>#DIV/0!</v>
      </c>
      <c r="BB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H_7*hnh/(TP-H_1-H_2-H_3-H_4-H_5-H_6-(hnh*(H_1+H_2+H_3+H_4+H_5+H_6))-(TP*VE*(TCv_1*tCo3_1+TCv_1*tCo3_2+TCv_1*tCo3_3+TCv_1*tCo3_4+TCv_1*tCo3_5+TCv_1*tCo3_6)))</f>
        <v>#DIV/0!</v>
      </c>
      <c r="BC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H_8*hnh/(TP-H_1-H_2-H_3-H_4-H_5-H_6-H_7-(hnh*(H_1+H_2+H_3+H_4+H_5+H_6+H_7))-(TP*VE*(TCv_1*tCo3_1+TCv_1*tCo3_2+TCv_1*tCo3_3+TCv_1*tCo3_4+TCv_1*tCo3_5+TCv_1*tCo3_6+TCv_1*tCo3_7)))</f>
        <v>#DIV/0!</v>
      </c>
      <c r="BD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H_9*hnh/(TP-H_1-H_2-H_3-H_4-H_5-H_6-H_7-H_8-(hnh*(H_1+H_2+H_3+H_4+H_5+H_6+H_7+H_8))-(TP*VE*(TCv_1*tCo3_1+TCv_1*tCo3_2+TCv_1*tCo3_3+TCv_1*tCo3_4+TCv_1*tCo3_5+TCv_1*tCo3_6+TCv_1*tCo3_7+TCv_1*tCo3_8)))</f>
        <v>#DIV/0!</v>
      </c>
      <c r="BE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H_10*hnh/(TP-H_1-H_2-H_3-H_4-H_5-H_6-H_7-H_8-H_9-(hnh*(H_1+H_2+H_3+H_4+H_5+H_6+H_7+H_8+H_9))-(TP*VE*(TCv_1*tCo3_1+TCv_1*tCo3_2+TCv_1*tCo3_3+TCv_1*tCo3_4+TCv_1*tCo3_5+TCv_1*tCo3_6+TCv_1*tCo3_7+TCv_1*tCo3_8+TCv_1*tCo3_9)))</f>
        <v>#DIV/0!</v>
      </c>
      <c r="BF180" s="103" t="e">
        <f>(TP-H_1-((TP-H_1-(H_1*hnh))*H_2/(TP-H_1-(H_1*hnh)-(TP*TCv_1*tCo3_1*VE)))-((TP-H_1-((TP-H_1-(H_1*hnh))*H_2/(TP-H_1-(H_1*hnh)-(TP*TCv_1*tCo3_1*VE)))-(H_1*hnh)-((TP-H_1-(H_1*hnh))*H_2*hnh/(TP-H_1-(H_1*hnh)-(TP*TCv_1*tCo3_1*VE))))*H_3/(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TP-H_1-H_2-H_3-(hnh*(H_1+H_2+H_3))-(TP*VE*(TCv_1*tCo3_1+TCv_1*tCo3_2+TCv_1*tCo3_3))))-AZ178-BA178-BB178-BC178-BD178-BE178-(H_1*hnh)-((TP-H_1-(H_1*hnh))*H_2*hnh/(TP-H_1-(H_1*hnh)-(TP*TCv_1*tCo3_1*VE)))-((TP-H_1-((TP-H_1-(H_1*hnh))*H_2/(TP-H_1-(H_1*hnh)-(TP*TCv_1*tCo3_1*VE)))-(H_1*hnh)-((TP-H_1-(H_1*hnh))*H_2*hnh/(TP-H_1-(H_1*hnh)-(TP*TCv_1*tCo3_1*VE))))*H_3*hnh/(TP-H_1-H_2-(hnh*(H_1+H_2))-(TP*VE*(TCv_1*tCo3_1+TCv_1*tCo3_2))))-((TP-H_1-((TP-H_1-(H_1*hnh))*H_2/(TP-H_1-(H_1*hnh)-(TP*TCv_1*tCo3_1*VE)))-((TP-H_1-((TP-H_1-(H_1*hnh))*H_2/(TP-H_1-(H_1*hnh)-(TP*TCv_1*tCo3_1*VE)))-(H_1*hnh)-((TP-H_1-(H_1*hnh))*H_2*hnh/(TP-H_1-(H_1*hnh)-(TP*TCv_1*tCo3_1*VE))))*H_3/(TP-H_1-H_2-(hnh*(H_1+H_2))-(TP*VE*(TCv_1*tCo3_1+TCv_1*tCo3_2))))-(H_1*hnh)-((TP-H_1-(H_1*hnh))*H_2*hnh/(TP-H_1-(H_1*hnh)-(TP*TCv_1*tCo3_1*VE)))-((TP-H_1-((TP-H_1-(H_1*hnh))*H_2/(TP-H_1-(H_1*hnh)-(TP*TCv_1*tCo3_1*VE)))-(H_1*hnh)-((TP-H_1-(H_1*hnh))*H_2*hnh/(TP-H_1-(H_1*hnh)-(TP*TCv_1*tCo3_1*VE))))*H_3*hnh/(TP-H_1-H_2-(hnh*(H_1+H_2))-(TP*VE*(TCv_1*tCo3_1+TCv_1*tCo3_2)))))*H_4*hnh/(TP-H_1-H_2-H_3-(hnh*(H_1+H_2+H_3))-(TP*VE*(TCv_1*tCo3_1+TCv_1*tCo3_2+TCv_1*tCo3_3))))-AZ180-BA180-BB180-BC180-BD180-BE180)*H_11*hnh/(TP-H_1-H_2-H_3-H_4-H_5-H_6-H_7-H_8-H_9-H_10-(hnh*(H_1+H_2+H_3+H_4+H_5+H_6+H_7+H_8+H_9+H_10))-(TP*VE*(TCv_1*tCo3_1+TCv_1*tCo3_2+TCv_1*tCo3_3+TCv_1*tCo3_4+TCv_1*tCo3_5+TCv_1*tCo3_6+TCv_1*tCo3_7+TCv_1*tCo3_8+TCv_1*tCo3_9+TCv_1*tCo3_10)))</f>
        <v>#DIV/0!</v>
      </c>
    </row>
    <row r="181" spans="1:58" hidden="1" outlineLevel="1" x14ac:dyDescent="0.25">
      <c r="F181" s="112"/>
    </row>
    <row r="182" spans="1:58" hidden="1" outlineLevel="1" x14ac:dyDescent="0.25"/>
    <row r="183" spans="1:58" collapsed="1" x14ac:dyDescent="0.25"/>
    <row r="184" spans="1:58" s="105" customFormat="1" x14ac:dyDescent="0.25">
      <c r="A184" s="104" t="s">
        <v>305</v>
      </c>
      <c r="B184" s="104"/>
    </row>
    <row r="185" spans="1:58" hidden="1" outlineLevel="1" x14ac:dyDescent="0.25">
      <c r="Q185" s="102" t="s">
        <v>72</v>
      </c>
      <c r="R185" s="102"/>
      <c r="S185" s="102"/>
      <c r="T185" s="102"/>
      <c r="U185" s="102"/>
      <c r="V185" s="102"/>
      <c r="W185" s="102"/>
      <c r="X185" s="102"/>
      <c r="Y185" s="102"/>
      <c r="Z185" s="102"/>
      <c r="AA185" s="102"/>
      <c r="AB185" s="102"/>
      <c r="AC185" s="101" t="s">
        <v>104</v>
      </c>
      <c r="AD185" s="101"/>
      <c r="AE185" s="101"/>
      <c r="AF185" s="101"/>
      <c r="AG185" s="101"/>
      <c r="AH185" s="101"/>
      <c r="AI185" s="101"/>
      <c r="AJ185" s="101"/>
      <c r="AK185" s="101"/>
      <c r="AL185" s="101"/>
      <c r="AM185" s="101"/>
      <c r="AN185" s="101"/>
      <c r="AP185" s="103">
        <v>3</v>
      </c>
      <c r="AQ185" s="103">
        <v>4</v>
      </c>
      <c r="AR185" s="103">
        <v>5</v>
      </c>
      <c r="AS185" s="103">
        <v>6</v>
      </c>
      <c r="AT185" s="103">
        <v>7</v>
      </c>
      <c r="AU185" s="103">
        <v>8</v>
      </c>
      <c r="AV185" s="103">
        <v>9</v>
      </c>
      <c r="AW185" s="103">
        <v>10</v>
      </c>
      <c r="AX185" s="103">
        <v>11</v>
      </c>
      <c r="AZ185" s="103">
        <v>5</v>
      </c>
      <c r="BA185" s="103">
        <v>6</v>
      </c>
      <c r="BB185" s="103">
        <v>7</v>
      </c>
      <c r="BC185" s="103">
        <v>8</v>
      </c>
      <c r="BD185" s="103">
        <v>9</v>
      </c>
      <c r="BE185" s="103">
        <v>10</v>
      </c>
      <c r="BF185" s="103">
        <v>11</v>
      </c>
    </row>
    <row r="186" spans="1:58" ht="28.7" hidden="1" customHeight="1" outlineLevel="1" x14ac:dyDescent="0.25">
      <c r="A186" s="11" t="s">
        <v>47</v>
      </c>
      <c r="B186" s="11"/>
      <c r="C186" s="11"/>
      <c r="D186" s="11"/>
      <c r="E186" s="11"/>
      <c r="F186" s="11"/>
      <c r="G186" s="109" t="s">
        <v>50</v>
      </c>
      <c r="H186" s="109"/>
      <c r="I186" s="110" t="s">
        <v>44</v>
      </c>
      <c r="J186" s="110"/>
      <c r="K186" s="101" t="s">
        <v>58</v>
      </c>
      <c r="L186" s="101"/>
      <c r="M186" s="110" t="s">
        <v>45</v>
      </c>
      <c r="N186" s="110"/>
      <c r="Q186" s="102" t="s">
        <v>1</v>
      </c>
      <c r="R186" s="102"/>
      <c r="S186" s="102"/>
      <c r="T186" s="102"/>
      <c r="U186" s="102"/>
      <c r="V186" s="102"/>
      <c r="W186" s="102"/>
      <c r="X186" s="102"/>
      <c r="Y186" s="102"/>
      <c r="Z186" s="102"/>
      <c r="AA186" s="102"/>
      <c r="AB186" s="102"/>
      <c r="AC186" s="101" t="s">
        <v>71</v>
      </c>
      <c r="AD186" s="101"/>
      <c r="AE186" s="101"/>
      <c r="AF186" s="101"/>
      <c r="AG186" s="101"/>
      <c r="AH186" s="101"/>
      <c r="AI186" s="101"/>
      <c r="AJ186" s="101"/>
      <c r="AK186" s="101"/>
      <c r="AL186" s="101"/>
      <c r="AM186" s="101"/>
      <c r="AN186" s="101"/>
      <c r="AP186" s="103" t="s">
        <v>73</v>
      </c>
      <c r="AQ186" s="103" t="s">
        <v>74</v>
      </c>
      <c r="AR186" s="103" t="s">
        <v>75</v>
      </c>
      <c r="AS186" s="103" t="s">
        <v>76</v>
      </c>
      <c r="AT186" s="103" t="s">
        <v>77</v>
      </c>
      <c r="AU186" s="103" t="s">
        <v>78</v>
      </c>
      <c r="AV186" s="103" t="s">
        <v>79</v>
      </c>
      <c r="AW186" s="103" t="s">
        <v>80</v>
      </c>
      <c r="AX186" s="103" t="s">
        <v>81</v>
      </c>
      <c r="AZ186" s="103" t="s">
        <v>105</v>
      </c>
      <c r="BA186" s="103" t="s">
        <v>91</v>
      </c>
      <c r="BB186" s="103" t="s">
        <v>93</v>
      </c>
      <c r="BC186" s="103" t="s">
        <v>94</v>
      </c>
      <c r="BD186" s="103" t="s">
        <v>95</v>
      </c>
      <c r="BE186" s="103" t="s">
        <v>96</v>
      </c>
      <c r="BF186" s="103" t="s">
        <v>97</v>
      </c>
    </row>
    <row r="187" spans="1:58" ht="45" hidden="1" outlineLevel="1" x14ac:dyDescent="0.25">
      <c r="A187" s="70" t="s">
        <v>40</v>
      </c>
      <c r="B187" s="70" t="s">
        <v>41</v>
      </c>
      <c r="C187" s="70" t="s">
        <v>53</v>
      </c>
      <c r="D187" s="70" t="s">
        <v>48</v>
      </c>
      <c r="E187" s="70" t="s">
        <v>42</v>
      </c>
      <c r="F187" s="76" t="s">
        <v>49</v>
      </c>
      <c r="G187" s="71" t="s">
        <v>51</v>
      </c>
      <c r="H187" s="71" t="s">
        <v>52</v>
      </c>
      <c r="I187" s="72" t="s">
        <v>51</v>
      </c>
      <c r="J187" s="72" t="s">
        <v>52</v>
      </c>
      <c r="K187" s="77" t="s">
        <v>51</v>
      </c>
      <c r="L187" s="77" t="s">
        <v>52</v>
      </c>
      <c r="M187" s="72" t="s">
        <v>51</v>
      </c>
      <c r="N187" s="72" t="s">
        <v>52</v>
      </c>
      <c r="Q187" s="102">
        <v>1</v>
      </c>
      <c r="R187" s="102">
        <v>2</v>
      </c>
      <c r="S187" s="102">
        <v>3</v>
      </c>
      <c r="T187" s="102">
        <v>4</v>
      </c>
      <c r="U187" s="102">
        <v>5</v>
      </c>
      <c r="V187" s="102">
        <v>6</v>
      </c>
      <c r="W187" s="102">
        <v>7</v>
      </c>
      <c r="X187" s="102">
        <v>8</v>
      </c>
      <c r="Y187" s="102">
        <v>9</v>
      </c>
      <c r="Z187" s="102">
        <v>10</v>
      </c>
      <c r="AA187" s="102">
        <v>11</v>
      </c>
      <c r="AB187" s="102">
        <v>12</v>
      </c>
      <c r="AC187" s="101">
        <v>1</v>
      </c>
      <c r="AD187" s="101">
        <v>2</v>
      </c>
      <c r="AE187" s="101">
        <v>3</v>
      </c>
      <c r="AF187" s="101">
        <v>4</v>
      </c>
      <c r="AG187" s="101">
        <v>5</v>
      </c>
      <c r="AH187" s="101">
        <v>6</v>
      </c>
      <c r="AI187" s="101">
        <v>7</v>
      </c>
      <c r="AJ187" s="101">
        <v>8</v>
      </c>
      <c r="AK187" s="101">
        <v>9</v>
      </c>
      <c r="AL187" s="101">
        <v>10</v>
      </c>
      <c r="AM187" s="101">
        <v>11</v>
      </c>
      <c r="AN187" s="101">
        <v>12</v>
      </c>
      <c r="AP187" s="103" t="e">
        <f>((TP-H_1-((TP-H_1-(H_1*hnh)-(TP*TCv_2*tCo3_1*VE))*H_2/(TP-H_1-(H_1*hnh)))-(H_1*hnh)-((TP-H_1-(H_1*hnh)-(TP*TCv_2*tCo3_1*VE))*H_2*hnh/(TP-H_1-(H_1*hnh)))-(TP*TCv_2*tCo3_1*VE)-(TP*TCv_2*tCo3_2*VE))*(H_3/(TP-H_1-H_2-(hnh*(H_1+H_2)))))</f>
        <v>#DIV/0!</v>
      </c>
      <c r="AQ187" s="103" t="e">
        <f>(TP-H_1-((TP-H_1-(H_1*hnh)-(TP*TCv_2*tCo3_1*VE))*H_2/(TP-H_1-(H_1*hnh)))-AP187-(H_1*hnh)-((TP-H_1-(H_1*hnh)-(TP*TCv_2*tCo3_1*VE))*H_2*hnh/(TP-H_1-(H_1*hnh)))-AP189-(TP*TCv_2*tCo3_1*VE)-(TP*TCv_2*tCo3_2*VE)-(TP*TCv_2*tCo3_3*VE))*(H_4/(TP-H_1-H_2-H_3-(hnh*(H_1+H_2+H_3))))</f>
        <v>#DIV/0!</v>
      </c>
      <c r="AR187" s="103" t="e">
        <f>(TP-H_1-((TP-H_1-(H_1*hnh)-(TP*TCv_2*tCo3_1*VE))*H_2/(TP-H_1-(H_1*hnh)))-AP187-AQ187-(H_1*hnh)-((TP-H_1-(H_1*hnh)-(TP*TCv_2*tCo3_1*VE))*H_2*hnh/(TP-H_1-(H_1*hnh)))-AP189-AQ189-(TP*TCv_2*tCo3_1*VE)-(TP*TCv_2*tCo3_2*VE)-(TP*TCv_2*tCo3_3*VE)-(TP*TCv_2*tCo3_4*VE))*(H_5/(TP-H_1-H_2-H_3-H_4-(hnh*(H_1+H_2+H_3+H_4))))</f>
        <v>#DIV/0!</v>
      </c>
      <c r="AS187" s="103" t="e">
        <f>(TP-H_1-((TP-H_1-(H_1*hnh)-(TP*TCv_2*tCo3_1*VE))*H_2/(TP-H_1-(H_1*hnh)))-AP187-AQ187-AR187-(H_1*hnh)-((TP-H_1-(H_1*hnh)-(TP*TCv_2*tCo3_1*VE))*H_2*hnh/(TP-H_1-(H_1*hnh)))-AP189-AQ189-AR189-(TP*TCv_2*tCo3_1*VE)-(TP*TCv_2*tCo3_2*VE)-(TP*TCv_2*tCo3_3*VE)-(TP*TCv_2*tCo3_4*VE)-(TP*TCv_2*tCo3_5*VE))*(H_6/(TP-H_1-H_2-H_3-H_4-H_5-(hnh*(H_1+H_2+H_3+H_4+H_5))))</f>
        <v>#DIV/0!</v>
      </c>
      <c r="AT187" s="103" t="e">
        <f>(TP-H_1-((TP-H_1-(H_1*hnh)-(TP*TCv_2*tCo3_1*VE))*H_2/(TP-H_1-(H_1*hnh)))-AP187-AQ187-AR187-AS187-(H_1*hnh)-((TP-H_1-(H_1*hnh)-(TP*TCv_2*tCo3_1*VE))*H_2*hnh/(TP-H_1-(H_1*hnh)))-AP189-AQ189-AR189-AS189-(TP*TCv_2*tCo3_1*VE)-(TP*TCv_2*tCo3_2*VE)-(TP*TCv_2*tCo3_3*VE)-(TP*TCv_2*tCo3_4*VE)-(TP*TCv_2*tCo3_5*VE)-(TP*TCv_2*tCo3_6*VE))*(H_7/(TP-H_1-H_2-H_3-H_4-H_5-H_6-(hnh*(H_1+H_2+H_3+H_4+H_5+H_6))))</f>
        <v>#DIV/0!</v>
      </c>
      <c r="AU187" s="103" t="e">
        <f>(TP-H_1-((TP-H_1-(H_1*hnh)-(TP*TCv_2*tCo3_1*VE))*H_2/(TP-H_1-(H_1*hnh)))-AP187-AQ187-AR187-AS187-AT187-(H_1*hnh)-((TP-H_1-(H_1*hnh)-(TP*TCv_2*tCo3_1*VE))*H_2*hnh/(TP-H_1-(H_1*hnh)))-AP189-AQ189-AR189-AS189-AT189-(TP*TCv_2*tCo3_1*VE)-(TP*TCv_2*tCo3_2*VE)-(TP*TCv_2*tCo3_3*VE)-(TP*TCv_2*tCo3_4*VE)-(TP*TCv_2*tCo3_5*VE)-(TP*TCv_2*tCo3_6*VE)-(TP*TCv_2*tCo3_7*VE))*(H_8/(TP-H_1-H_2-H_3-H_4-H_5-H_6-H_7-(hnh*(H_1+H_2+H_3+H_4+H_5+H_6+H_7))))</f>
        <v>#DIV/0!</v>
      </c>
      <c r="AV187" s="103" t="e">
        <f>(TP-H_1-((TP-H_1-(H_1*hnh)-(TP*TCv_2*tCo3_1*VE))*H_2/(TP-H_1-(H_1*hnh)))-AP187-AQ187-AR187-AS187-AT187-AU187-(H_1*hnh)-((TP-H_1-(H_1*hnh)-(TP*TCv_2*tCo3_1*VE))*H_2*hnh/(TP-H_1-(H_1*hnh)))-AP189-AQ189-AR189-AS189-AT189-AU189-(TP*TCv_2*tCo3_1*VE)-(TP*TCv_2*tCo3_2*VE)-(TP*TCv_2*tCo3_3*VE)-(TP*TCv_2*tCo3_4*VE)-(TP*TCv_2*tCo3_5*VE)-(TP*TCv_2*tCo3_6*VE)-(TP*TCv_2*tCo3_7*VE)-(TP*TCv_2*tCo3_8*VE))*(H_9/(TP-H_1-H_2-H_3-H_4-H_5-H_6-H_7-H_8-(hnh*(H_1+H_2+H_3+H_4+H_5+H_6+H_7+H_8))))</f>
        <v>#DIV/0!</v>
      </c>
      <c r="AW187" s="103" t="e">
        <f>(TP-H_1-((TP-H_1-(H_1*hnh)-(TP*TCv_2*tCo3_1*VE))*H_2/(TP-H_1-(H_1*hnh)))-AP187-AQ187-AR187-AS187-AT187-AU187-AV187-(H_1*hnh)-((TP-H_1-(H_1*hnh)-(TP*TCv_2*tCo3_1*VE))*H_2*hnh/(TP-H_1-(H_1*hnh)))-AP189-AQ189-AR189-AS189-AT189-AU189-AV189-(TP*TCv_2*tCo3_1*VE)-(TP*TCv_2*tCo3_2*VE)-(TP*TCv_2*tCo3_3*VE)-(TP*TCv_2*tCo3_4*VE)-(TP*TCv_2*tCo3_5*VE)-(TP*TCv_2*tCo3_6*VE)-(TP*TCv_2*tCo3_7*VE)-(TP*TCv_2*tCo3_8*VE)-(TP*TCv_2*tCo3_9*VE))*(H_10/(TP-H_1-H_2-H_3-H_4-H_5-H_6-H_7-H_8-H_9-(hnh*(H_1+H_2+H_3+H_4+H_5+H_6+H_7+H_8+H_9))))</f>
        <v>#DIV/0!</v>
      </c>
      <c r="AX187" s="103" t="e">
        <f>(TP-H_1-((TP-H_1-(H_1*hnh)-(TP*TCv_2*tCo3_1*VE))*H_2/(TP-H_1-(H_1*hnh)))-AP187-AQ187-AR187-AS187-AT187-AU187-AV187-AW187-(H_1*hnh)-((TP-H_1-(H_1*hnh)-(TP*TCv_2*tCo3_1*VE))*H_2*hnh/(TP-H_1-(H_1*hnh)))-AP189-AQ189-AR189-AS189-AT189-AU189-AV189-AW189-(TP*TCv_2*tCo3_1*VE)-(TP*TCv_2*tCo3_2*VE)-(TP*TCv_2*tCo3_3*VE)-(TP*TCv_2*tCo3_4*VE)-(TP*TCv_2*tCo3_5*VE)-(TP*TCv_2*tCo3_6*VE)-(TP*TCv_2*tCo3_7*VE)-(TP*TCv_2*tCo3_8*VE)-(TP*TCv_2*tCo3_9*VE)-(TP*TCv_2*tCo3_10*VE))*(H_11/(TP-H_1-H_2-H_3-H_4-H_5-H_6-H_7-H_8-H_9-H_10-(hnh*(H_1+H_2+H_3+H_4+H_5+H_6+H_7+H_8+H_9+H_10))))</f>
        <v>#DIV/0!</v>
      </c>
      <c r="AZ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H_5/(TP-H_1-H_2-H_3-H_4-(hnh*(H_1+H_2+H_3+H_4))-(TP*VE*(TCv_2*tCo3_1+TCv_2*tCo3_2+TCv_2*tCo3_3+TCv_2*tCo3_4)))</f>
        <v>#DIV/0!</v>
      </c>
      <c r="BA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H_6/(TP-H_1-H_2-H_3-H_4-H_5-(hnh*(H_1+H_2+H_3+H_4+H_5))-(TP*VE*(TCv_2*tCo3_1+TCv_2*tCo3_2+TCv_2*tCo3_3+TCv_2*tCo3_4+TCv_2*tCo3_5)))</f>
        <v>#DIV/0!</v>
      </c>
      <c r="BB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H_7/(TP-H_1-H_2-H_3-H_4-H_5-H_6-(hnh*(H_1+H_2+H_3+H_4+H_5+H_6))-(TP*VE*(TCv_2*tCo3_1+TCv_2*tCo3_2+TCv_2*tCo3_3+TCv_2*tCo3_4+TCv_2*tCo3_5+TCv_2*tCo3_6)))</f>
        <v>#DIV/0!</v>
      </c>
      <c r="BC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H_8/(TP-H_1-H_2-H_3-H_4-H_5-H_6-H_7-(hnh*(H_1+H_2+H_3+H_4+H_5+H_6+H_7))-(TP*VE*(TCv_2*tCo3_1+TCv_2*tCo3_2+TCv_2*tCo3_3+TCv_2*tCo3_4+TCv_2*tCo3_5+TCv_2*tCo3_6+TCv_2*tCo3_7)))</f>
        <v>#DIV/0!</v>
      </c>
      <c r="BD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H_9/(TP-H_1-H_2-H_3-H_4-H_5-H_6-H_7-H_8-(hnh*(H_1+H_2+H_3+H_4+H_5+H_6+H_7+H_8))-(TP*VE*(TCv_2*tCo3_1+TCv_2*tCo3_2+TCv_2*tCo3_3+TCv_2*tCo3_4+TCv_2*tCo3_5+TCv_2*tCo3_6+TCv_2*tCo3_7+TCv_2*tCo3_8)))</f>
        <v>#DIV/0!</v>
      </c>
      <c r="BE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H_10/(TP-H_1-H_2-H_3-H_4-H_5-H_6-H_7-H_8-H_9-(hnh*(H_1+H_2+H_3+H_4+H_5+H_6+H_7+H_8+H_9))-(TP*VE*(TCv_2*tCo3_1+TCv_2*tCo3_2+TCv_2*tCo3_3+TCv_2*tCo3_4+TCv_2*tCo3_5+TCv_2*tCo3_6+TCv_2*tCo3_7+TCv_2*tCo3_8+TCv_2*tCo3_9)))</f>
        <v>#DIV/0!</v>
      </c>
      <c r="BF187"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H_11/(TP-H_1-H_2-H_3-H_4-H_5-H_6-H_7-H_8-H_9-H_10-(hnh*(H_1+H_2+H_3+H_4+H_5+H_6+H_7+H_8+H_9+H_10))-(TP*VE*(TCv_2*tCo3_1+TCv_2*tCo3_2+TCv_2*tCo3_3+TCv_2*tCo3_4+TCv_2*tCo3_5+TCv_2*tCo3_6+TCv_2*tCo3_7+TCv_2*tCo3_8+TCv_2*tCo3_9+TCv_2*tCo3_10)))</f>
        <v>#DIV/0!</v>
      </c>
    </row>
    <row r="188" spans="1:58" hidden="1" outlineLevel="1" x14ac:dyDescent="0.25">
      <c r="A188" s="73">
        <f>season</f>
        <v>0</v>
      </c>
      <c r="B188" s="73">
        <f>TG</f>
        <v>0</v>
      </c>
      <c r="C188" s="73">
        <f>TP</f>
        <v>0</v>
      </c>
      <c r="D188" s="74">
        <f>TCv</f>
        <v>0</v>
      </c>
      <c r="E188" s="75">
        <f>VE</f>
        <v>0</v>
      </c>
      <c r="F188" s="78" t="e">
        <f>G188/IF(mb=1,SUM(AC188:AN188),IF(mb=2,SUM(AD188:AN188),IF(mb=3,SUM(AE188:AN188),IF(mb=4,SUM(AF188:AN188),IF(mb=5,SUM(AG188:AN188),IF(mb=6,SUM(AH188:AN188),IF(mb=7,SUM(AI188:AN188),IF(mb=8,SUM(AJ188:AN188),0))))))))</f>
        <v>#DIV/0!</v>
      </c>
      <c r="G188" s="42">
        <f>IF(mb=1,SUM(AC188:AN188)-SUM(Q188:AB188),IF(mb=2,SUM(AD188:AN188)-SUM(R188:AB188),IF(mb=3,SUM(AE188:AN188)-SUM(S188:AB188),IF(mb=4,SUM(AF188:AN188)-SUM(T188:AB188),IF(mb=5,SUM(AG188:AN188)-SUM(U188:AB188),IF(mb=6,SUM(AH188:AN188)-SUM(V188:AB188),IF(mb=7,SUM(AI188:AN188)-SUM(W188:AB188),IF(mb=8,SUM(AJ188:AN188)-SUM(X188:AB188),0))))))))</f>
        <v>0</v>
      </c>
      <c r="H188" s="96" t="e">
        <f>1/(VE*IF(mb=1,SUM(AC188:AN188),IF(mb=2,SUM(AD188:AN188),IF(mb=3,SUM(AE188:AN188),IF(mb=4,SUM(AF188:AN188),IF(mb=5,SUM(AG188:AN188),IF(mb=6,SUM(AH188:AN188),IF(mb=7,SUM(AI188:AN188),IF(mb=8,SUM(AJ188:AN188),0))))))))/TP)</f>
        <v>#DIV/0!</v>
      </c>
      <c r="I188" s="93" t="e">
        <f>G188/hnh</f>
        <v>#DIV/0!</v>
      </c>
      <c r="J188" s="42" t="e">
        <f>1/(VE*IF(mb=1,SUM(AC188:AN188),IF(mb=2,SUM(AD188:AN188),IF(mb=3,SUM(AE188:AN188),IF(mb=4,SUM(AF188:AN188),IF(mb=5,SUM(AG188:AN188),IF(mb=6,SUM(AH188:AN188),IF(mb=7,SUM(AI188:AN188),IF(mb=8,SUM(AJ188:AN188),0))))))))/(TP*hnh))</f>
        <v>#DIV/0!</v>
      </c>
      <c r="K188" s="42" t="e">
        <f>M188*mai</f>
        <v>#DIV/0!</v>
      </c>
      <c r="L188" s="42" t="e">
        <f>1/(VE*((IF(mb=1,SUM(AC188:AN188),IF(mb=2,SUM(AD188:AN188),IF(mb=3,SUM(AE188:AN188),IF(mb=4,SUM(AF188:AN188),IF(mb=5,SUM(AG188:AN188),IF(mb=6,SUM(AH188:AN188),IF(mb=7,SUM(AI188:AN188),IF(mb=8,SUM(AJ188:AN188),0))))))))+(IF(mb=1,SUM(AC188:AN188),IF(mb=2,SUM(AD188:AN188),IF(mb=3,SUM(AE188:AN188),IF(mb=4,SUM(AF188:AN188),IF(mb=5,SUM(AG188:AN188),IF(mb=6,SUM(AH188:AN188),IF(mb=7,SUM(AI188:AN188),IF(mb=8,SUM(AJ188:AN188),0)))))))))/hnh)*mai)/TP)</f>
        <v>#DIV/0!</v>
      </c>
      <c r="M188" s="42" t="e">
        <f>G188+I188</f>
        <v>#DIV/0!</v>
      </c>
      <c r="N188" s="42" t="e">
        <f>1/(VE*(IF(mb=1,SUM(AC188:AN188),IF(mb=2,SUM(AD188:AN188),IF(mb=3,SUM(AE188:AN188),IF(mb=4,SUM(AF188:AN188),IF(mb=5,SUM(AG188:AN188),IF(mb=6,SUM(AH188:AN188),IF(mb=7,SUM(AI188:AN188),IF(mb=8,SUM(AJ188:AN188),0))))))))+(IF(mb=1,SUM(AC188:AN188),IF(mb=2,SUM(AD188:AN188),IF(mb=3,SUM(AE188:AN188),IF(mb=4,SUM(AF188:AN188),IF(mb=5,SUM(AG188:AN188),IF(mb=6,SUM(AH188:AN188),IF(mb=7,SUM(AI188:AN188),IF(mb=8,SUM(AJ188:AN188),0)))))))))/hnh)/TP)</f>
        <v>#DIV/0!</v>
      </c>
      <c r="Q188" s="86" t="e">
        <f>IF(ISc=1,nh1_1,IF(ISc=2,H_1*hnh,0))</f>
        <v>#DIV/0!</v>
      </c>
      <c r="R188" s="111" t="e">
        <f>IF(ScI=1,((nh1_2/(TP-(nh1_1/hnh)-nh1_1))*(TP-(nh1_1/hnh)-nh1_1-(TP*TCv_2*tCo3_1*VE))),IF(ScI=2,(TP-H_1-(H_1*hnh)-(TP*TCv_2*tCo3_1*VE))*(H_2*hnh/(TP-H_1-(H_1*hnh))),"fal"))</f>
        <v>#DIV/0!</v>
      </c>
      <c r="S188" s="137" t="e">
        <f>IF(ScI=1,(nh1_3/(TP-((nh1_1+nh1_2)/hnh)-nh1_1-nh1_2))*(TP-(nh1_1/hnh)-(R188/hnh)-nh1_1-R188-(TP*VE*(TCv_2*tCo3_1+TCv_2*tCo3_2))),IF(ScI=2,(TP-H_1-((TP-H_1-(H_1*hnh)-(TP*TCv_2*tCo3_1*VE))*H_2/(TP-H_1-(H_1*hnh)))-(H_1*hnh)-((TP-H_1-(H_1*hnh)-(TP*TCv_2*tCo3_1*VE))*H_2*hnh/(TP-H_1-(H_1*hnh)))-(TP*TCv_2*tCo3_1*VE)-(TP*TCv_2*tCo3_2*VE))*(H_3*hnh/(TP-H_1-H_2-(hnh*(H_1+H_2)))),0))</f>
        <v>#DIV/0!</v>
      </c>
      <c r="T188" s="86" t="e">
        <f>IF(ScI=1,(nh1_4/(TP-(nh1_1/hnh)-(nh1_2/hnh)-(nh1_3/hnh)-nh1_1-nh1_2-nh1_3))*(TP-(nh1_1/hnh)-(R188/hnh)-(S188/hnh)-nh1_1-R188-S188-(TP*VE*(TCv_2*tCo3_1+TCv_2*tCo3_2+TCv_2*tCo3_3))),IF(ScI=2,(TP-H_1-((TP-H_1-(H_1*hnh)-(TP*TCv_2*tCo3_1*VE))*H_2/(TP-H_1-(H_1*hnh)))-((TP-H_1-(((TP-H_1-(H_1*hnh)-(TP*TCv_2*tCo3_1*VE))*H_2/(TP-H_1-(H_1*hnh))))-(H_1*hnh)-((TP-H_1-(H_1*hnh)-(TP*TCv_2*tCo3_1*VE))*H_2*hnh/(TP-H_1-(H_1*hnh)))-(TP*TCv_2*tCo3_1*VE)-(TP*TCv_2*tCo3_2*VE))*(H_3/(TP-H_1-H_2-(hnh*(H_1+H_2)))))-(H_1*hnh)-((TP-H_1-(H_1*hnh)-(TP*TCv_2*tCo3_1*VE))*H_2*hnh/(TP-H_1-(H_1*hnh)))-((TP-H_1-(((TP-H_1-(H_1*hnh)-(TP*TCv_2*tCo3_1*VE))*H_2/(TP-H_1-(H_1*hnh))))-(H_1*hnh)-(((TP-H_1-(H_1*hnh)-(TP*TCv_2*tCo3_1*VE))*H_2*hnh/(TP-H_1-(H_1*hnh))))-(TP*TCv_2*tCo3_1*VE)-(TP*TCv_2*tCo3_2*VE))*(H_3*hnh/(TP-H_1-H_2-(hnh*(H_1+H_2)))))-(TP*TCv_2*tCo3_1*VE)-(TP*TCv_2*tCo3_2*VE)-(TP*TCv_2*tCo3_3*VE))*(H_4*hnh/(TP-H_1-H_2-H_3-(hnh*(H_1+H_2+H_3)))),0))</f>
        <v>#DIV/0!</v>
      </c>
      <c r="U188" s="86" t="e">
        <f>IF(ScI=1,(nh1_5/(TP-(nh1_1/hnh)-(nh1_2/hnh)-(nh1_3/hnh)-(nh1_4/hnh)-nh1_1-nh1_2-nh1_3-nh1_4))*(TP-(nh1_1/hnh)-(R188/hnh)-(S188/hnh)-(T188/hnh)-nh1_1-R188-S188-T188-(TP*VE*(TCv_2*tCo3_1+TCv_2*tCo3_2+TCv_2*tCo3_3+TCv_2*tCo3_4))),IF(ScI=2,(TP-H_1-(((TP-H_1-(H_1*hnh)-(TP*TCv_2*tCo3_1*VE))*H_2/(TP-H_1-(H_1*hnh))))-AP187-AQ187-(H_1*hnh)-((TP-H_1-(H_1*hnh)-(TP*TCv_2*tCo3_1*VE))*H_2*hnh/(TP-H_1-(H_1*hnh)))-AP189-AQ189-(TP*TCv_2*tCo3_1*VE)-(TP*TCv_2*tCo3_2*VE)-(TP*TCv_2*tCo3_3*VE)-(TP*TCv_2*tCo3_4*VE))*(H_5*hnh/(TP-H_1-H_2-H_3-H_4-(hnh*(H_1+H_2+H_3+H_4)))),0))</f>
        <v>#DIV/0!</v>
      </c>
      <c r="V188" s="86" t="e">
        <f>IF(ScI=1,(nh1_6/(TP-(nh1_1/hnh)-(nh1_2/hnh)-(nh1_3/hnh)-(nh1_4/hnh)-(nh1_5/hnh)-nh1_1-nh1_2-nh1_3-nh1_4-nh1_5))*(TP-(nh1_1/hnh)-(R188/hnh)-(S188/hnh)-(T188/hnh)-(U188/hnh)-nh1_1-R188-S188-T188-U188-(TP*VE*(TCv_2*tCo3_1+TCv_2*tCo3_2+TCv_2*tCo3_3+TCv_2*tCo3_4+TCv_2*tCo3_5))),IF(ScI=2,(TP-H_1-((TP-H_1-(H_1*hnh)-(TP*TCv_2*tCo3_1*VE))*H_2/(TP-H_1-(H_1*hnh)))-AP187-AQ187-AR187-(H_1*hnh)-((TP-H_1-(H_1*hnh)-(TP*TCv_2*tCo3_1*VE))*H_2*hnh/(TP-H_1-(H_1*hnh)))-AP189-AQ189-AR189-(TP*TCv_2*tCo3_1*VE)-(TP*TCv_2*tCo3_2*VE)-(TP*TCv_2*tCo3_3*VE)-(TP*TCv_2*tCo3_4*VE)-(TP*TCv_2*tCo3_5*VE))*(H_6*hnh/(TP-H_1-H_2-H_3-H_4-H_5-(hnh*(H_1+H_2+H_3+H_4+H_5)))),0))</f>
        <v>#DIV/0!</v>
      </c>
      <c r="W188" s="86" t="e">
        <f>IF(ScI=1,(nh1_7/(TP-(nh1_1/hnh)-(nh1_2/hnh)-(nh1_3/hnh)-(nh1_4/hnh)-(nh1_5/hnh)-(nh1_6/hnh)-nh1_1-nh1_2-nh1_3-nh1_4-nh1_5-nh1_6))*(TP-(nh1_1/hnh)-(R188/hnh)-(S188/hnh)-(T188/hnh)-(U188/hnh)-(V188/hnh)-nh1_1-R188-S188-T188-U188-V188-(TP*VE*(TCv_2*tCo3_1+TCv_2*tCo3_2+TCv_2*tCo3_3+TCv_2*tCo3_4+TCv_2*tCo3_5+TCv_2*tCo3_6))),IF(ScI=2,(TP-H_1-((TP-H_1-(H_1*hnh)-(TP*TCv_2*tCo3_1*VE))*H_2/(TP-H_1-(H_1*hnh)))-AP187-AQ187-AR187-AS187-(H_1*hnh)-((TP-H_1-(H_1*hnh)-(TP*TCv_2*tCo3_1*VE))*H_2*hnh/(TP-H_1-(H_1*hnh)))-AP189-AQ189-AR189-AS189-(TP*TCv_2*tCo3_1*VE)-(TP*TCv_2*tCo3_2*VE)-(TP*TCv_2*tCo3_3*VE)-(TP*TCv_2*tCo3_4*VE)-(TP*TCv_2*tCo3_5*VE)-(TP*TCv_2*tCo3_6*VE))*(H_7*hnh/(TP-H_1-H_2-H_3-H_4-H_5-H_6-(hnh*(H_1+H_2+H_3+H_4+H_5+H_6)))),0))</f>
        <v>#DIV/0!</v>
      </c>
      <c r="X188" s="86" t="e">
        <f>IF(ScI=1,(nh1_8/(TP-(nh1_1/hnh)-(nh1_2/hnh)-(nh1_3/hnh)-(nh1_4/hnh)-(nh1_5/hnh)-(nh1_6/hnh)-(nh1_7/hnh)-nh1_1-nh1_2-nh1_3-nh1_4-nh1_5-nh1_6-nh1_7))*(TP-(nh1_1/hnh)-(R188/hnh)-(S188/hnh)-(T188/hnh)-(U188/hnh)-(V188/hnh)-(W188/hnh)-nh1_1-R188-S188-T188-U188-V188-W188-(TP*VE*(TCv_2*tCo3_1+TCv_2*tCo3_2+TCv_2*tCo3_3+TCv_2*tCo3_4+TCv_2*tCo3_5+TCv_2*tCo3_6+TCv_2*tCo3_7))),IF(ScI=2,(TP-H_1-((TP-H_1-(H_1*hnh)-(TP*TCv_2*tCo3_1*VE))*H_2/(TP-H_1-(H_1*hnh)))-AP187-AQ187-AR187-AS187-AT187-(H_1*hnh)-((TP-H_1-(H_1*hnh)-(TP*TCv_2*tCo3_1*VE))*H_2*hnh/(TP-H_1-(H_1*hnh)))-AP189-AQ189-AR189-AS189-AT189-(TP*TCv_2*tCo3_1*VE)-(TP*TCv_2*tCo3_2*VE)-(TP*TCv_2*tCo3_3*VE)-(TP*TCv_2*tCo3_4*VE)-(TP*TCv_2*tCo3_5*VE)-(TP*TCv_2*tCo3_6*VE)-(TP*TCv_2*tCo3_7*VE))*(H_8*hnh/(TP-H_1-H_2-H_3-H_4-H_5-H_6-H_7-(hnh*(H_1+H_2+H_3+H_4+H_5+H_6+H_7)))),0))</f>
        <v>#DIV/0!</v>
      </c>
      <c r="Y188" s="86" t="e">
        <f>IF(ScI=1,(nh1_9/(TP-(nh1_1/hnh)-(nh1_2/hnh)-(nh1_3/hnh)-(nh1_4/hnh)-(nh1_5/hnh)-(nh1_6/hnh)-(nh1_7/hnh)-(nh1_8/hnh)-nh1_1-nh1_2-nh1_3-nh1_4-nh1_5-nh1_6-nh1_7-nh1_8))*(TP-(nh1_1/hnh)-(R188/hnh)-(S188/hnh)-(T188/hnh)-(U188/hnh)-(V188/hnh)-(W188/hnh)-(X188/hnh)-nh1_1-R188-S188-T188-U188-V188-W188-X188-(TP*VE*(TCv_2*tCo3_1+TCv_2*tCo3_2+TCv_2*tCo3_3+TCv_2*tCo3_4+TCv_2*tCo3_5+TCv_2*tCo3_6+TCv_2*tCo3_7+TCv_2*tCo3_8))),IF(ScI=2,(TP-H_1-((TP-H_1-(H_1*hnh)-(TP*TCv_2*tCo3_1*VE))*H_2/(TP-H_1-(H_1*hnh)))-AP187-AQ187-AR187-AS187-AT187-AU187-(H_1*hnh)-((TP-H_1-(H_1*hnh)-(TP*TCv_2*tCo3_1*VE))*H_2*hnh/(TP-H_1-(H_1*hnh)))-AP189-AQ189-AR189-AS189-AT189-AU189-(TP*TCv_2*tCo3_1*VE)-(TP*TCv_2*tCo3_2*VE)-(TP*TCv_2*tCo3_3*VE)-(TP*TCv_2*tCo3_4*VE)-(TP*TCv_2*tCo3_5*VE)-(TP*TCv_2*tCo3_6*VE)-(TP*TCv_2*tCo3_7*VE)-(TP*TCv_2*tCo3_8*VE))*(H_9*hnh/(TP-H_1-H_2-H_3-H_4-H_5-H_6-H_7-H_8-(hnh*(H_1+H_2+H_3+H_4+H_5+H_6+H_7+H_8)))),0))</f>
        <v>#DIV/0!</v>
      </c>
      <c r="Z188" s="86" t="e">
        <f>IF(ScI=1,(nh1_10/(TP-(nh1_1/hnh)-(nh1_2/hnh)-(nh1_3/hnh)-(nh1_4/hnh)-(nh1_5/hnh)-(nh1_6/hnh)-(nh1_7/hnh)-(nh1_8/hnh)-(nh1_9/hnh)-nh1_1-nh1_2-nh1_3-nh1_4-nh1_5-nh1_6-nh1_7-nh1_8-nh1_9))*(TP-(nh1_1/hnh)-(R188/hnh)-(S188/hnh)-(T188/hnh)-(U188/hnh)-(V188/hnh)-(W188/hnh)-(X188/hnh)-(Y188/hnh)-nh1_1-R188-S188-T188-U188-V188-W188-X188-Y188-(TP*VE*(TCv_2*tCo3_1+TCv_2*tCo3_2+TCv_2*tCo3_3+TCv_2*tCo3_4+TCv_2*tCo3_5+TCv_2*tCo3_6+TCv_2*tCo3_7+TCv_2*tCo3_8+TCv_2*tCo3_9))),IF(ScI=2,(TP-H_1-((TP-H_1-(H_1*hnh)-(TP*TCv_2*tCo3_1*VE))*H_2/(TP-H_1-(H_1*hnh)))-AP187-AQ187-AR187-AS187-AT187-AU187-AV187-(H_1*hnh)-((TP-H_1-(H_1*hnh)-(TP*TCv_2*tCo3_1*VE))*H_2*hnh/(TP-H_1-(H_1*hnh)))-AP189-AQ189-AR189-AS189-AT189-AU189-AV189-(TP*TCv_2*tCo3_1*VE)-(TP*TCv_2*tCo3_2*VE)-(TP*TCv_2*tCo3_3*VE)-(TP*TCv_2*tCo3_4*VE)-(TP*TCv_2*tCo3_5*VE)-(TP*TCv_2*tCo3_6*VE)-(TP*TCv_2*tCo3_7*VE)-(TP*TCv_2*tCo3_8*VE)-(TP*TCv_2*tCo3_9*VE))*(H_10*hnh/(TP-H_1-H_2-H_3-H_4-H_5-H_6-H_7-H_8-H_9-(hnh*(H_1+H_2+H_3+H_4+H_5+H_6+H_7+H_8+H_9)))),0))</f>
        <v>#DIV/0!</v>
      </c>
      <c r="AA188" s="86" t="e">
        <f>IF(ScI=1,(nh1_11/(TP-(nh1_1/hnh)-(nh1_2/hnh)-(nh1_3/hnh)-(nh1_4/hnh)-(nh1_5/hnh)-(nh1_6/hnh)-(nh1_7/hnh)-(nh1_8/hnh)-(nh1_9/hnh)-(nh1_10/hnh)-nh1_1-nh1_2-nh1_3-nh1_4-nh1_5-nh1_6-nh1_7-nh1_8-nh1_9-nh1_10))*(TP-(nh1_1/hnh)-(R188/hnh)-(S188/hnh)-(T188/hnh)-(U188/hnh)-(V188/hnh)-(W188/hnh)-(X188/hnh)-(Y188/hnh)-(Z188/hnh)-nh1_1-R188-S188-T188-U188-V188-W188-X188-Y188-Z188-(TP*VE*(TCv_2*tCo3_1+TCv_2*tCo3_2+TCv_2*tCo3_3+TCv_2*tCo3_4+TCv_2*tCo3_5+TCv_2*tCo3_6+TCv_2*tCo3_7+TCv_2*tCo3_8+TCv_2*tCo3_9+TCv_2*tCo3_10))),IF(ScI=2,(TP-H_1-((TP-H_1-(H_1*hnh)-(TP*TCv_2*tCo3_1*VE))*H_2/(TP-H_1-(H_1*hnh)))-AP187-AQ187-AR187-AS187-AT187-AU187-AV187-AW187-(H_1*hnh)-((TP-H_1-(H_1*hnh)-(TP*TCv_2*tCo3_1*VE))*H_2*hnh/(TP-H_1-(H_1*hnh)))-AP189-AQ189-AR189-AS189-AT189-AU189-AV189-AW189-(TP*TCv_2*tCo3_1*VE)-(TP*TCv_2*tCo3_2*VE)-(TP*TCv_2*tCo3_3*VE)-(TP*TCv_2*tCo3_4*VE)-(TP*TCv_2*tCo3_5*VE)-(TP*TCv_2*tCo3_6*VE)-(TP*TCv_2*tCo3_7*VE)-(TP*TCv_2*tCo3_8*VE)-(TP*TCv_2*tCo3_9*VE)-(TP*TCv_2*tCo3_10*VE))*(H_11*hnh/(TP-H_1-H_2-H_3-H_4-H_5-H_6-H_7-H_8-H_9-H_10-(hnh*(H_1+H_2+H_3+H_4+H_5+H_6+H_7+H_8+H_9+H_10)))),0))</f>
        <v>#DIV/0!</v>
      </c>
      <c r="AB188" s="86" t="e">
        <f>IF(ScI=1,(nh1_12/(TP-(nh1_1/hnh)-(nh1_2/hnh)-(nh1_3/hnh)-(nh1_4/hnh)-(nh1_5/hnh)-(nh1_6/hnh)-(nh1_7/hnh)-(nh1_8/hnh)-(nh1_9/hnh)-(nh1_10/hnh)-(nh1_11/hnh)-nh1_1-nh1_2-nh1_3-nh1_4-nh1_5-nh1_6-nh1_7-nh1_8-nh1_9-nh1_10-nh1_11))*(TP-(nh1_1/hnh)-(R188/hnh)-(S188/hnh)-(T188/hnh)-(U188/hnh)-(V188/hnh)-(W188/hnh)-(X188/hnh)-(Y188/hnh)-(Z188/hnh)-(AA188/hnh)-nh1_1-R188-S188-T188-U188-V188-W188-X188-Y188-Z188-AA188-(TP*VE*(TCv_2*tCo3_1+TCv_2*tCo3_2+TCv_2*tCo3_3+TCv_2*tCo3_4+TCv_2*tCo3_5+TCv_2*tCo3_6+TCv_2*tCo3_7+TCv_2*tCo3_8+TCv_2*tCo3_9+TCv_2*tCo3_10+TCv_2*tCo3_11))),IF(ScI=2,(TP-H_1-((TP-H_1-(H_1*hnh)-(TP*TCv_2*tCo3_1*VE))*H_2/(TP-H_1-(H_1*hnh)))-AP187-AQ187-AR187-AS187-AT187-AU187-AV187-AW187-AX187-(H_1*hnh)-((TP-H_1-(H_1*hnh)-(TP*TCv_2*tCo3_1*VE))*H_2*hnh/(TP-H_1-(H_1*hnh)))-AP189-AQ189-AR189-AS189-AT189-AU189-AV189-AW189-AX189-(TP*TCv_2*tCo3_1*VE)-(TP*TCv_2*tCo3_2*VE)-(TP*TCv_2*tCo3_3*VE)-(TP*TCv_2*tCo3_4*VE)-(TP*TCv_2*tCo3_5*VE)-(TP*TCv_2*tCo3_6*VE)-(TP*TCv_2*tCo3_7*VE)-(TP*TCv_2*tCo3_8*VE)-(TP*TCv_2*tCo3_9*VE)-(TP*TCv_2*tCo3_10*VE)-(TP*TCv_2*tCo3_11*VE))*(H_12*hnh/(TP-H_1-H_2-H_3-H_4-H_5-H_6-H_7-H_8-H_9-H_10-H_11-(hnh*(H_1+H_2+H_3+H_4+H_5+H_6+H_7+H_8+H_9+H_10+H_11)))),0))</f>
        <v>#DIV/0!</v>
      </c>
      <c r="AC188" s="88">
        <f>IF(ScI=1,H_1*hnh,IF(ScI=2,H_1*hnh,0))</f>
        <v>0</v>
      </c>
      <c r="AD188" s="88" t="e">
        <f>IF(ScI=1,(TP-H_1-(H_1*hnh))*H_2*hnh/(TP-H_1-(H_1*hnh)-(TP*TCv_2*tCo3_1*VE)),IF(ScI=2,H_2*hnh,0))</f>
        <v>#DIV/0!</v>
      </c>
      <c r="AE188" s="88" t="e">
        <f>IF(ScI=1,(TP-H_1-((TP-H_1-(H_1*hnh))*H_2/(TP-H_1-(H_1*hnh)-(TP*TCv_2*tCo3_1*VE)))-(H_1*hnh)-((TP-H_1-(H_1*hnh))*H_2*hnh/(TP-H_1-(H_1*hnh)-(TP*TCv_2*tCo3_1*VE))))*H_3*hnh/(TP-H_1-H_2-(hnh*(H_1+H_2))-(TP*VE*(TCv_2*tCo3_1+TCv_2*tCo3_2))),IF(ScI=2,H_3*hnh,0))</f>
        <v>#DIV/0!</v>
      </c>
      <c r="AF188" s="88" t="e">
        <f>IF(ScI=1,(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IF(ScI=2,H_4*hnh,0))</f>
        <v>#DIV/0!</v>
      </c>
      <c r="AG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H_5*hnh/(TP-H_1-H_2-H_3-H_4-(hnh*(H_1+H_2+H_3+H_4))-(TP*VE*(TCv_2*tCo3_1+TCv_2*tCo3_2+TCv_2*tCo3_3+TCv_2*tCo3_4))),IF(ScI=2,H_5*hnh,0))</f>
        <v>#DIV/0!</v>
      </c>
      <c r="AH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H_6*hnh/(TP-H_1-H_2-H_3-H_4-H_5-(hnh*(H_1+H_2+H_3+H_4+H_5))-(TP*VE*(TCv_2*tCo3_1+TCv_2*tCo3_2+TCv_2*tCo3_3+TCv_2*tCo3_4+TCv_2*tCo3_5))),IF(ScI=2,H_6*hnh,0))</f>
        <v>#DIV/0!</v>
      </c>
      <c r="AI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H_7*hnh/(TP-H_1-H_2-H_3-H_4-H_5-H_6-(hnh*(H_1+H_2+H_3+H_4+H_5+H_6))-(TP*VE*(TCv_2*tCo3_1+TCv_2*tCo3_2+TCv_2*tCo3_3+TCv_2*tCo3_4+TCv_2*tCo3_5+TCv_2*tCo3_6))),IF(ScI=2,H_7*hnh,0))</f>
        <v>#DIV/0!</v>
      </c>
      <c r="AJ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H_8*hnh/(TP-H_1-H_2-H_3-H_4-H_5-H_6-H_7-(hnh*(H_1+H_2+H_3+H_4+H_5+H_6+H_7))-(TP*VE*(TCv_2*tCo3_1+TCv_2*tCo3_2+TCv_2*tCo3_3+TCv_2*tCo3_4+TCv_2*tCo3_5+TCv_2*tCo3_6+TCv_2*tCo3_7))),IF(ScI=2,H_8*hnh,0))</f>
        <v>#DIV/0!</v>
      </c>
      <c r="AK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H_9*hnh/(TP-H_1-H_2-H_3-H_4-H_5-H_6-H_7-H_8-(hnh*(H_1+H_2+H_3+H_4+H_5+H_6+H_7+H_8))-(TP*VE*(TCv_2*tCo3_1+TCv_2*tCo3_2+TCv_2*tCo3_3+TCv_2*tCo3_4+TCv_2*tCo3_5+TCv_2*tCo3_6+TCv_2*tCo3_7+TCv_2*tCo3_8))),IF(ScI=2,H_9*hnh,0))</f>
        <v>#DIV/0!</v>
      </c>
      <c r="AL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H_10*hnh/(TP-H_1-H_2-H_3-H_4-H_5-H_6-H_7-H_8-H_9-(hnh*(H_1+H_2+H_3+H_4+H_5+H_6+H_7+H_8+H_9))-(TP*VE*(TCv_2*tCo3_1+TCv_2*tCo3_2+TCv_2*tCo3_3+TCv_2*tCo3_4+TCv_2*tCo3_5+TCv_2*tCo3_6+TCv_2*tCo3_7+TCv_2*tCo3_8+TCv_2*tCo3_9))),IF(ScI=2,H_10*hnh,0))</f>
        <v>#DIV/0!</v>
      </c>
      <c r="AM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H_11*hnh/(TP-H_1-H_2-H_3-H_4-H_5-H_6-H_7-H_8-H_9-H_10-(hnh*(H_1+H_2+H_3+H_4+H_5+H_6+H_7+H_8+H_9+H_10))-(TP*VE*(TCv_2*tCo3_1+TCv_2*tCo3_2+TCv_2*tCo3_3+TCv_2*tCo3_4+TCv_2*tCo3_5+TCv_2*tCo3_6+TCv_2*tCo3_7+TCv_2*tCo3_8+TCv_2*tCo3_9+TCv_2*tCo3_10))),IF(ScI=2,H_11*hnh,0))</f>
        <v>#DIV/0!</v>
      </c>
      <c r="AN188" s="88" t="e">
        <f>IF(ScI=1,(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BF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BF189)*H_12*hnh/(TP-H_1-H_2-H_3-H_4-H_5-H_6-H_7-H_8-H_9-H_10-H_11-(hnh*(H_1+H_2+H_3+H_4+H_5+H_6+H_7+H_8+H_9+H_10+H_11))-(TP*VE*(TCv_2*tCo3_1+TCv_2*tCo3_2+TCv_2*tCo3_3+TCv_2*tCo3_4+TCv_2*tCo3_5+TCv_2*tCo3_6+TCv_2*tCo3_7+TCv_2*tCo3_8+TCv_2*tCo3_9+TCv_2*tCo3_10+TCv_2*tCo3_11))),IF(ScI=2,H_12*hnh,0))</f>
        <v>#DIV/0!</v>
      </c>
      <c r="AP188" s="103" t="s">
        <v>82</v>
      </c>
      <c r="AQ188" s="103" t="s">
        <v>83</v>
      </c>
      <c r="AR188" s="103" t="s">
        <v>84</v>
      </c>
      <c r="AS188" s="103" t="s">
        <v>85</v>
      </c>
      <c r="AT188" s="103" t="s">
        <v>86</v>
      </c>
      <c r="AU188" s="103" t="s">
        <v>87</v>
      </c>
      <c r="AV188" s="103" t="s">
        <v>88</v>
      </c>
      <c r="AW188" s="103" t="s">
        <v>89</v>
      </c>
      <c r="AX188" s="103" t="s">
        <v>90</v>
      </c>
      <c r="AZ188" s="103" t="s">
        <v>106</v>
      </c>
      <c r="BA188" s="103" t="s">
        <v>92</v>
      </c>
      <c r="BB188" s="103" t="s">
        <v>98</v>
      </c>
      <c r="BC188" s="103" t="s">
        <v>99</v>
      </c>
      <c r="BD188" s="103" t="s">
        <v>100</v>
      </c>
      <c r="BE188" s="103" t="s">
        <v>101</v>
      </c>
      <c r="BF188" s="103" t="s">
        <v>102</v>
      </c>
    </row>
    <row r="189" spans="1:58" hidden="1" outlineLevel="1" x14ac:dyDescent="0.25">
      <c r="F189" s="113"/>
      <c r="G189" s="31"/>
      <c r="H189" s="31"/>
      <c r="I189" s="31"/>
      <c r="J189" s="31"/>
      <c r="K189" s="31"/>
      <c r="L189" s="31"/>
      <c r="M189" s="31"/>
      <c r="N189" s="31"/>
      <c r="Q189" s="31"/>
      <c r="R189" s="97"/>
      <c r="S189" s="97"/>
      <c r="T189" s="97"/>
      <c r="U189" s="97"/>
      <c r="V189" s="97"/>
      <c r="W189" s="97"/>
      <c r="X189" s="97"/>
      <c r="Y189" s="97"/>
      <c r="Z189" s="97"/>
      <c r="AA189" s="97"/>
      <c r="AB189" s="97"/>
      <c r="AC189" s="98"/>
      <c r="AD189" s="98"/>
      <c r="AE189" s="98"/>
      <c r="AF189" s="98"/>
      <c r="AG189" s="98"/>
      <c r="AH189" s="98"/>
      <c r="AI189" s="98"/>
      <c r="AJ189" s="98"/>
      <c r="AK189" s="98"/>
      <c r="AL189" s="98"/>
      <c r="AM189" s="98"/>
      <c r="AN189" s="98"/>
      <c r="AP189" s="103" t="e">
        <f>((TP-H_1-((TP-H_1-(H_1*hnh)-(TP*TCv_2*tCo3_1*VE))*H_2/(TP-H_1-(H_1*hnh)))-(H_1*hnh)-((TP-H_1-(H_1*hnh)-(TP*TCv_2*tCo3_1*VE))*H_2*hnh/(TP-H_1-(H_1*hnh)))-(TP*TCv_2*tCo3_1*VE)-(TP*TCv_2*tCo3_2*VE))*(H_3*hnh/(TP-H_1-H_2-(hnh*(H_1+H_2)))))</f>
        <v>#DIV/0!</v>
      </c>
      <c r="AQ189" s="103" t="e">
        <f>(TP-H_1-((TP-H_1-(H_1*hnh)-(TP*TCv_2*tCo3_1*VE))*H_2/(TP-H_1-(H_1*hnh)))-AP187-(H_1*hnh)-((TP-H_1-(H_1*hnh)-(TP*TCv_2*tCo3_1*VE))*H_2*hnh/(TP-H_1-(H_1*hnh)))-AP189-(TP*TCv_2*tCo3_1*VE)-(TP*TCv_2*tCo3_2*VE)-(TP*TCv_2*tCo3_3*VE))*(H_4*hnh/(TP-H_1-H_2-H_3-(hnh*(H_1+H_2+H_3))))</f>
        <v>#DIV/0!</v>
      </c>
      <c r="AR189" s="103" t="e">
        <f>(TP-H_1-((TP-H_1-(H_1*hnh)-(TP*TCv_2*tCo3_1*VE))*H_2/(TP-H_1-(H_1*hnh)))-AP187-AQ187-(H_1*hnh)-((TP-H_1-(H_1*hnh)-(TP*TCv_2*tCo3_1*VE))*H_2*hnh/(TP-H_1-(H_1*hnh)))-AP189-AQ189-(TP*TCv_2*tCo3_1*VE)-(TP*TCv_2*tCo3_2*VE)-(TP*TCv_2*tCo3_3*VE)-(TP*TCv_2*tCo3_4*VE))*(H_5*hnh/(TP-H_1-H_2-H_3-H_4-(hnh*(H_1+H_2+H_3+H_4))))</f>
        <v>#DIV/0!</v>
      </c>
      <c r="AS189" s="103" t="e">
        <f>(TP-H_1-((TP-H_1-(H_1*hnh)-(TP*TCv_2*tCo3_1*VE))*H_2/(TP-H_1-(H_1*hnh)))-AP187-AQ187-AR187-(H_1*hnh)-((TP-H_1-(H_1*hnh)-(TP*TCv_2*tCo3_1*VE))*H_2*hnh/(TP-H_1-(H_1*hnh)))-AP189-AQ189-AR189-(TP*TCv_2*tCo3_1*VE)-(TP*TCv_2*tCo3_2*VE)-(TP*TCv_2*tCo3_3*VE)-(TP*TCv_2*tCo3_4*VE)-(TP*TCv_2*tCo3_5*VE))*(H_6*hnh/(TP-H_1-H_2-H_3-H_4-H_5-(hnh*(H_1+H_2+H_3+H_4+H_5))))</f>
        <v>#DIV/0!</v>
      </c>
      <c r="AT189" s="103" t="e">
        <f>(TP-H_1-((TP-H_1-(H_1*hnh)-(TP*TCv_2*tCo3_1*VE))*H_2/(TP-H_1-(H_1*hnh)))-AP187-AQ187-AR187-AS187-(H_1*hnh)-((TP-H_1-(H_1*hnh)-(TP*TCv_2*tCo3_1*VE))*H_2*hnh/(TP-H_1-(H_1*hnh)))-AP189-AQ189-AR189-AS189-(TP*TCv_2*tCo3_1*VE)-(TP*TCv_2*tCo3_2*VE)-(TP*TCv_2*tCo3_3*VE)-(TP*TCv_2*tCo3_4*VE)-(TP*TCv_2*tCo3_5*VE)-(TP*TCv_2*tCo3_6*VE))*(H_7*hnh/(TP-H_1-H_2-H_3-H_4-H_5-H_6-(hnh*(H_1+H_2+H_3+H_4+H_5+H_6))))</f>
        <v>#DIV/0!</v>
      </c>
      <c r="AU189" s="103" t="e">
        <f>(TP-H_1-((TP-H_1-(H_1*hnh)-(TP*TCv_2*tCo3_1*VE))*H_2/(TP-H_1-(H_1*hnh)))-AP187-AQ187-AR187-AS187-AT187-(H_1*hnh)-((TP-H_1-(H_1*hnh)-(TP*TCv_2*tCo3_1*VE))*H_2*hnh/(TP-H_1-(H_1*hnh)))-AP189-AQ189-AR189-AS189-AT189-(TP*TCv_2*tCo3_1*VE)-(TP*TCv_2*tCo3_2*VE)-(TP*TCv_2*tCo3_3*VE)-(TP*TCv_2*tCo3_4*VE)-(TP*TCv_2*tCo3_5*VE)-(TP*TCv_2*tCo3_6*VE)-(TP*TCv_2*tCo3_7*VE))*(H_8*hnh/(TP-H_1-H_2-H_3-H_4-H_5-H_6-H_7-(hnh*(H_1+H_2+H_3+H_4+H_5+H_6+H_7))))</f>
        <v>#DIV/0!</v>
      </c>
      <c r="AV189" s="103" t="e">
        <f>(TP-H_1-((TP-H_1-(H_1*hnh)-(TP*TCv_2*tCo3_1*VE))*H_2/(TP-H_1-(H_1*hnh)))-AP187-AQ187-AR187-AS187-AT187-AU187-(H_1*hnh)-((TP-H_1-(H_1*hnh)-(TP*TCv_2*tCo3_1*VE))*H_2*hnh/(TP-H_1-(H_1*hnh)))-AP189-AQ189-AR189-AS189-AT189-AU189-(TP*TCv_2*tCo3_1*VE)-(TP*TCv_2*tCo3_2*VE)-(TP*TCv_2*tCo3_3*VE)-(TP*TCv_2*tCo3_4*VE)-(TP*TCv_2*tCo3_5*VE)-(TP*TCv_2*tCo3_6*VE)-(TP*TCv_2*tCo3_7*VE)-(TP*TCv_2*tCo3_8*VE))*(H_9*hnh/(TP-H_1-H_2-H_3-H_4-H_5-H_6-H_7-H_8-(hnh*(H_1+H_2+H_3+H_4+H_5+H_6+H_7+H_8))))</f>
        <v>#DIV/0!</v>
      </c>
      <c r="AW189" s="103" t="e">
        <f>(TP-H_1-((TP-H_1-(H_1*hnh)-(TP*TCv_2*tCo3_1*VE))*H_2/(TP-H_1-(H_1*hnh)))-AP187-AQ187-AR187-AS187-AT187-AU187-AV187-(H_1*hnh)-((TP-H_1-(H_1*hnh)-(TP*TCv_2*tCo3_1*VE))*H_2*hnh/(TP-H_1-(H_1*hnh)))-AP189-AQ189-AR189-AS189-AT189-AU189-AV189-(TP*TCv_2*tCo3_1*VE)-(TP*TCv_2*tCo3_2*VE)-(TP*TCv_2*tCo3_3*VE)-(TP*TCv_2*tCo3_4*VE)-(TP*TCv_2*tCo3_5*VE)-(TP*TCv_2*tCo3_6*VE)-(TP*TCv_2*tCo3_7*VE)-(TP*TCv_2*tCo3_8*VE)-(TP*TCv_2*tCo3_9*VE))*(H_10*hnh/(TP-H_1-H_2-H_3-H_4-H_5-H_6-H_7-H_8-H_9-(hnh*(H_1+H_2+H_3+H_4+H_5+H_6+H_7+H_8+H_9))))</f>
        <v>#DIV/0!</v>
      </c>
      <c r="AX189" s="103" t="e">
        <f>(TP-H_1-((TP-H_1-(H_1*hnh)-(TP*TCv_2*tCo3_1*VE))*H_2/(TP-H_1-(H_1*hnh)))-AP187-AQ187-AR187-AS187-AT187-AU187-AV187-AW187-(H_1*hnh)-((TP-H_1-(H_1*hnh)-(TP*TCv_2*tCo3_1*VE))*H_2*hnh/(TP-H_1-(H_1*hnh)))-AP189-AQ189-AR189-AS189-AT189-AU189-AV189-AW189-(TP*TCv_2*tCo3_1*VE)-(TP*TCv_2*tCo3_2*VE)-(TP*TCv_2*tCo3_3*VE)-(TP*TCv_2*tCo3_4*VE)-(TP*TCv_2*tCo3_5*VE)-(TP*TCv_2*tCo3_6*VE)-(TP*TCv_2*tCo3_7*VE)-(TP*TCv_2*tCo3_8*VE)-(TP*TCv_2*tCo3_9*VE)-(TP*TCv_2*tCo3_10*VE))*(H_11*hnh/(TP-H_1-H_2-H_3-H_4-H_5-H_6-H_7-H_8-H_9-H_10-(hnh*(H_1+H_2+H_3+H_4+H_5+H_6+H_7+H_8+H_9+H_10))))</f>
        <v>#DIV/0!</v>
      </c>
      <c r="AZ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H_5*hnh/(TP-H_1-H_2-H_3-H_4-(hnh*(H_1+H_2+H_3+H_4))-(TP*VE*(TCv_2*tCo3_1+TCv_2*tCo3_2+TCv_2*tCo3_3+TCv_2*tCo3_4)))</f>
        <v>#DIV/0!</v>
      </c>
      <c r="BA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H_6*hnh/(TP-H_1-H_2-H_3-H_4-H_5-(hnh*(H_1+H_2+H_3+H_4+H_5))-(TP*VE*(TCv_2*tCo3_1+TCv_2*tCo3_2+TCv_2*tCo3_3+TCv_2*tCo3_4+TCv_2*tCo3_5)))</f>
        <v>#DIV/0!</v>
      </c>
      <c r="BB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H_7*hnh/(TP-H_1-H_2-H_3-H_4-H_5-H_6-(hnh*(H_1+H_2+H_3+H_4+H_5+H_6))-(TP*VE*(TCv_2*tCo3_1+TCv_2*tCo3_2+TCv_2*tCo3_3+TCv_2*tCo3_4+TCv_2*tCo3_5+TCv_2*tCo3_6)))</f>
        <v>#DIV/0!</v>
      </c>
      <c r="BC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H_8*hnh/(TP-H_1-H_2-H_3-H_4-H_5-H_6-H_7-(hnh*(H_1+H_2+H_3+H_4+H_5+H_6+H_7))-(TP*VE*(TCv_2*tCo3_1+TCv_2*tCo3_2+TCv_2*tCo3_3+TCv_2*tCo3_4+TCv_2*tCo3_5+TCv_2*tCo3_6+TCv_2*tCo3_7)))</f>
        <v>#DIV/0!</v>
      </c>
      <c r="BD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H_9*hnh/(TP-H_1-H_2-H_3-H_4-H_5-H_6-H_7-H_8-(hnh*(H_1+H_2+H_3+H_4+H_5+H_6+H_7+H_8))-(TP*VE*(TCv_2*tCo3_1+TCv_2*tCo3_2+TCv_2*tCo3_3+TCv_2*tCo3_4+TCv_2*tCo3_5+TCv_2*tCo3_6+TCv_2*tCo3_7+TCv_2*tCo3_8)))</f>
        <v>#DIV/0!</v>
      </c>
      <c r="BE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H_10*hnh/(TP-H_1-H_2-H_3-H_4-H_5-H_6-H_7-H_8-H_9-(hnh*(H_1+H_2+H_3+H_4+H_5+H_6+H_7+H_8+H_9))-(TP*VE*(TCv_2*tCo3_1+TCv_2*tCo3_2+TCv_2*tCo3_3+TCv_2*tCo3_4+TCv_2*tCo3_5+TCv_2*tCo3_6+TCv_2*tCo3_7+TCv_2*tCo3_8+TCv_2*tCo3_9)))</f>
        <v>#DIV/0!</v>
      </c>
      <c r="BF189" s="103" t="e">
        <f>(TP-H_1-((TP-H_1-(H_1*hnh))*H_2/(TP-H_1-(H_1*hnh)-(TP*TCv_2*tCo3_1*VE)))-((TP-H_1-((TP-H_1-(H_1*hnh))*H_2/(TP-H_1-(H_1*hnh)-(TP*TCv_2*tCo3_1*VE)))-(H_1*hnh)-((TP-H_1-(H_1*hnh))*H_2*hnh/(TP-H_1-(H_1*hnh)-(TP*TCv_2*tCo3_1*VE))))*H_3/(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TP-H_1-H_2-H_3-(hnh*(H_1+H_2+H_3))-(TP*VE*(TCv_2*tCo3_1+TCv_2*tCo3_2+TCv_2*tCo3_3))))-AZ187-BA187-BB187-BC187-BD187-BE187-(H_1*hnh)-((TP-H_1-(H_1*hnh))*H_2*hnh/(TP-H_1-(H_1*hnh)-(TP*TCv_2*tCo3_1*VE)))-((TP-H_1-((TP-H_1-(H_1*hnh))*H_2/(TP-H_1-(H_1*hnh)-(TP*TCv_2*tCo3_1*VE)))-(H_1*hnh)-((TP-H_1-(H_1*hnh))*H_2*hnh/(TP-H_1-(H_1*hnh)-(TP*TCv_2*tCo3_1*VE))))*H_3*hnh/(TP-H_1-H_2-(hnh*(H_1+H_2))-(TP*VE*(TCv_2*tCo3_1+TCv_2*tCo3_2))))-((TP-H_1-((TP-H_1-(H_1*hnh))*H_2/(TP-H_1-(H_1*hnh)-(TP*TCv_2*tCo3_1*VE)))-((TP-H_1-((TP-H_1-(H_1*hnh))*H_2/(TP-H_1-(H_1*hnh)-(TP*TCv_2*tCo3_1*VE)))-(H_1*hnh)-((TP-H_1-(H_1*hnh))*H_2*hnh/(TP-H_1-(H_1*hnh)-(TP*TCv_2*tCo3_1*VE))))*H_3/(TP-H_1-H_2-(hnh*(H_1+H_2))-(TP*VE*(TCv_2*tCo3_1+TCv_2*tCo3_2))))-(H_1*hnh)-((TP-H_1-(H_1*hnh))*H_2*hnh/(TP-H_1-(H_1*hnh)-(TP*TCv_2*tCo3_1*VE)))-((TP-H_1-((TP-H_1-(H_1*hnh))*H_2/(TP-H_1-(H_1*hnh)-(TP*TCv_2*tCo3_1*VE)))-(H_1*hnh)-((TP-H_1-(H_1*hnh))*H_2*hnh/(TP-H_1-(H_1*hnh)-(TP*TCv_2*tCo3_1*VE))))*H_3*hnh/(TP-H_1-H_2-(hnh*(H_1+H_2))-(TP*VE*(TCv_2*tCo3_1+TCv_2*tCo3_2)))))*H_4*hnh/(TP-H_1-H_2-H_3-(hnh*(H_1+H_2+H_3))-(TP*VE*(TCv_2*tCo3_1+TCv_2*tCo3_2+TCv_2*tCo3_3))))-AZ189-BA189-BB189-BC189-BD189-BE189)*H_11*hnh/(TP-H_1-H_2-H_3-H_4-H_5-H_6-H_7-H_8-H_9-H_10-(hnh*(H_1+H_2+H_3+H_4+H_5+H_6+H_7+H_8+H_9+H_10))-(TP*VE*(TCv_2*tCo3_1+TCv_2*tCo3_2+TCv_2*tCo3_3+TCv_2*tCo3_4+TCv_2*tCo3_5+TCv_2*tCo3_6+TCv_2*tCo3_7+TCv_2*tCo3_8+TCv_2*tCo3_9+TCv_2*tCo3_10)))</f>
        <v>#DIV/0!</v>
      </c>
    </row>
    <row r="190" spans="1:58" hidden="1" outlineLevel="1" x14ac:dyDescent="0.25">
      <c r="F190" s="112"/>
    </row>
    <row r="191" spans="1:58" hidden="1" outlineLevel="1" x14ac:dyDescent="0.25"/>
    <row r="192" spans="1:58" collapsed="1" x14ac:dyDescent="0.25"/>
    <row r="193" spans="1:58" s="105" customFormat="1" x14ac:dyDescent="0.25">
      <c r="A193" s="104" t="s">
        <v>306</v>
      </c>
      <c r="B193" s="104"/>
    </row>
    <row r="194" spans="1:58" hidden="1" outlineLevel="1" x14ac:dyDescent="0.25">
      <c r="Q194" s="102" t="s">
        <v>72</v>
      </c>
      <c r="R194" s="102"/>
      <c r="S194" s="102"/>
      <c r="T194" s="102"/>
      <c r="U194" s="102"/>
      <c r="V194" s="102"/>
      <c r="W194" s="102"/>
      <c r="X194" s="102"/>
      <c r="Y194" s="102"/>
      <c r="Z194" s="102"/>
      <c r="AA194" s="102"/>
      <c r="AB194" s="102"/>
      <c r="AC194" s="101" t="s">
        <v>104</v>
      </c>
      <c r="AD194" s="101"/>
      <c r="AE194" s="101"/>
      <c r="AF194" s="101"/>
      <c r="AG194" s="101"/>
      <c r="AH194" s="101"/>
      <c r="AI194" s="101"/>
      <c r="AJ194" s="101"/>
      <c r="AK194" s="101"/>
      <c r="AL194" s="101"/>
      <c r="AM194" s="101"/>
      <c r="AN194" s="101"/>
      <c r="AP194" s="103">
        <v>3</v>
      </c>
      <c r="AQ194" s="103">
        <v>4</v>
      </c>
      <c r="AR194" s="103">
        <v>5</v>
      </c>
      <c r="AS194" s="103">
        <v>6</v>
      </c>
      <c r="AT194" s="103">
        <v>7</v>
      </c>
      <c r="AU194" s="103">
        <v>8</v>
      </c>
      <c r="AV194" s="103">
        <v>9</v>
      </c>
      <c r="AW194" s="103">
        <v>10</v>
      </c>
      <c r="AX194" s="103">
        <v>11</v>
      </c>
      <c r="AZ194" s="103">
        <v>5</v>
      </c>
      <c r="BA194" s="103">
        <v>6</v>
      </c>
      <c r="BB194" s="103">
        <v>7</v>
      </c>
      <c r="BC194" s="103">
        <v>8</v>
      </c>
      <c r="BD194" s="103">
        <v>9</v>
      </c>
      <c r="BE194" s="103">
        <v>10</v>
      </c>
      <c r="BF194" s="103">
        <v>11</v>
      </c>
    </row>
    <row r="195" spans="1:58" ht="28.7" hidden="1" customHeight="1" outlineLevel="1" x14ac:dyDescent="0.25">
      <c r="A195" s="11" t="s">
        <v>47</v>
      </c>
      <c r="B195" s="11"/>
      <c r="C195" s="11"/>
      <c r="D195" s="11"/>
      <c r="E195" s="11"/>
      <c r="F195" s="11"/>
      <c r="G195" s="109" t="s">
        <v>50</v>
      </c>
      <c r="H195" s="109"/>
      <c r="I195" s="110" t="s">
        <v>44</v>
      </c>
      <c r="J195" s="110"/>
      <c r="K195" s="101" t="s">
        <v>58</v>
      </c>
      <c r="L195" s="101"/>
      <c r="M195" s="110" t="s">
        <v>45</v>
      </c>
      <c r="N195" s="110"/>
      <c r="Q195" s="102" t="s">
        <v>1</v>
      </c>
      <c r="R195" s="102"/>
      <c r="S195" s="102"/>
      <c r="T195" s="102"/>
      <c r="U195" s="102"/>
      <c r="V195" s="102"/>
      <c r="W195" s="102"/>
      <c r="X195" s="102"/>
      <c r="Y195" s="102"/>
      <c r="Z195" s="102"/>
      <c r="AA195" s="102"/>
      <c r="AB195" s="102"/>
      <c r="AC195" s="101" t="s">
        <v>71</v>
      </c>
      <c r="AD195" s="101"/>
      <c r="AE195" s="101"/>
      <c r="AF195" s="101"/>
      <c r="AG195" s="101"/>
      <c r="AH195" s="101"/>
      <c r="AI195" s="101"/>
      <c r="AJ195" s="101"/>
      <c r="AK195" s="101"/>
      <c r="AL195" s="101"/>
      <c r="AM195" s="101"/>
      <c r="AN195" s="101"/>
      <c r="AP195" s="103" t="s">
        <v>73</v>
      </c>
      <c r="AQ195" s="103" t="s">
        <v>74</v>
      </c>
      <c r="AR195" s="103" t="s">
        <v>75</v>
      </c>
      <c r="AS195" s="103" t="s">
        <v>76</v>
      </c>
      <c r="AT195" s="103" t="s">
        <v>77</v>
      </c>
      <c r="AU195" s="103" t="s">
        <v>78</v>
      </c>
      <c r="AV195" s="103" t="s">
        <v>79</v>
      </c>
      <c r="AW195" s="103" t="s">
        <v>80</v>
      </c>
      <c r="AX195" s="103" t="s">
        <v>81</v>
      </c>
      <c r="AZ195" s="103" t="s">
        <v>105</v>
      </c>
      <c r="BA195" s="103" t="s">
        <v>91</v>
      </c>
      <c r="BB195" s="103" t="s">
        <v>93</v>
      </c>
      <c r="BC195" s="103" t="s">
        <v>94</v>
      </c>
      <c r="BD195" s="103" t="s">
        <v>95</v>
      </c>
      <c r="BE195" s="103" t="s">
        <v>96</v>
      </c>
      <c r="BF195" s="103" t="s">
        <v>97</v>
      </c>
    </row>
    <row r="196" spans="1:58" ht="45" hidden="1" outlineLevel="1" x14ac:dyDescent="0.25">
      <c r="A196" s="70" t="s">
        <v>40</v>
      </c>
      <c r="B196" s="70" t="s">
        <v>41</v>
      </c>
      <c r="C196" s="70" t="s">
        <v>53</v>
      </c>
      <c r="D196" s="70" t="s">
        <v>48</v>
      </c>
      <c r="E196" s="70" t="s">
        <v>42</v>
      </c>
      <c r="F196" s="76" t="s">
        <v>49</v>
      </c>
      <c r="G196" s="71" t="s">
        <v>51</v>
      </c>
      <c r="H196" s="71" t="s">
        <v>52</v>
      </c>
      <c r="I196" s="72" t="s">
        <v>51</v>
      </c>
      <c r="J196" s="72" t="s">
        <v>52</v>
      </c>
      <c r="K196" s="77" t="s">
        <v>51</v>
      </c>
      <c r="L196" s="77" t="s">
        <v>52</v>
      </c>
      <c r="M196" s="72" t="s">
        <v>51</v>
      </c>
      <c r="N196" s="72" t="s">
        <v>52</v>
      </c>
      <c r="Q196" s="102">
        <v>1</v>
      </c>
      <c r="R196" s="102">
        <v>2</v>
      </c>
      <c r="S196" s="102">
        <v>3</v>
      </c>
      <c r="T196" s="102">
        <v>4</v>
      </c>
      <c r="U196" s="102">
        <v>5</v>
      </c>
      <c r="V196" s="102">
        <v>6</v>
      </c>
      <c r="W196" s="102">
        <v>7</v>
      </c>
      <c r="X196" s="102">
        <v>8</v>
      </c>
      <c r="Y196" s="102">
        <v>9</v>
      </c>
      <c r="Z196" s="102">
        <v>10</v>
      </c>
      <c r="AA196" s="102">
        <v>11</v>
      </c>
      <c r="AB196" s="102">
        <v>12</v>
      </c>
      <c r="AC196" s="101">
        <v>1</v>
      </c>
      <c r="AD196" s="101">
        <v>2</v>
      </c>
      <c r="AE196" s="101">
        <v>3</v>
      </c>
      <c r="AF196" s="101">
        <v>4</v>
      </c>
      <c r="AG196" s="101">
        <v>5</v>
      </c>
      <c r="AH196" s="101">
        <v>6</v>
      </c>
      <c r="AI196" s="101">
        <v>7</v>
      </c>
      <c r="AJ196" s="101">
        <v>8</v>
      </c>
      <c r="AK196" s="101">
        <v>9</v>
      </c>
      <c r="AL196" s="101">
        <v>10</v>
      </c>
      <c r="AM196" s="101">
        <v>11</v>
      </c>
      <c r="AN196" s="101">
        <v>12</v>
      </c>
      <c r="AP196" s="103" t="e">
        <f>((TP-H_1-((TP-H_1-(H_1*hnh)-(TP*TCv_3*tCo3_1*VE))*H_2/(TP-H_1-(H_1*hnh)))-(H_1*hnh)-((TP-H_1-(H_1*hnh)-(TP*TCv_3*tCo3_1*VE))*H_2*hnh/(TP-H_1-(H_1*hnh)))-(TP*TCv_3*tCo3_1*VE)-(TP*TCv_3*tCo3_2*VE))*(H_3/(TP-H_1-H_2-(hnh*(H_1+H_2)))))</f>
        <v>#DIV/0!</v>
      </c>
      <c r="AQ196" s="103" t="e">
        <f>(TP-H_1-((TP-H_1-(H_1*hnh)-(TP*TCv_3*tCo3_1*VE))*H_2/(TP-H_1-(H_1*hnh)))-AP196-(H_1*hnh)-((TP-H_1-(H_1*hnh)-(TP*TCv_3*tCo3_1*VE))*H_2*hnh/(TP-H_1-(H_1*hnh)))-AP198-(TP*TCv_3*tCo3_1*VE)-(TP*TCv_3*tCo3_2*VE)-(TP*TCv_3*tCo3_3*VE))*(H_4/(TP-H_1-H_2-H_3-(hnh*(H_1+H_2+H_3))))</f>
        <v>#DIV/0!</v>
      </c>
      <c r="AR196" s="103" t="e">
        <f>(TP-H_1-((TP-H_1-(H_1*hnh)-(TP*TCv_3*tCo3_1*VE))*H_2/(TP-H_1-(H_1*hnh)))-AP196-AQ196-(H_1*hnh)-((TP-H_1-(H_1*hnh)-(TP*TCv_3*tCo3_1*VE))*H_2*hnh/(TP-H_1-(H_1*hnh)))-AP198-AQ198-(TP*TCv_3*tCo3_1*VE)-(TP*TCv_3*tCo3_2*VE)-(TP*TCv_3*tCo3_3*VE)-(TP*TCv_3*tCo3_4*VE))*(H_5/(TP-H_1-H_2-H_3-H_4-(hnh*(H_1+H_2+H_3+H_4))))</f>
        <v>#DIV/0!</v>
      </c>
      <c r="AS196" s="103" t="e">
        <f>(TP-H_1-((TP-H_1-(H_1*hnh)-(TP*TCv_3*tCo3_1*VE))*H_2/(TP-H_1-(H_1*hnh)))-AP196-AQ196-AR196-(H_1*hnh)-((TP-H_1-(H_1*hnh)-(TP*TCv_3*tCo3_1*VE))*H_2*hnh/(TP-H_1-(H_1*hnh)))-AP198-AQ198-AR198-(TP*TCv_3*tCo3_1*VE)-(TP*TCv_3*tCo3_2*VE)-(TP*TCv_3*tCo3_3*VE)-(TP*TCv_3*tCo3_4*VE)-(TP*TCv_3*tCo3_5*VE))*(H_6/(TP-H_1-H_2-H_3-H_4-H_5-(hnh*(H_1+H_2+H_3+H_4+H_5))))</f>
        <v>#DIV/0!</v>
      </c>
      <c r="AT196" s="103" t="e">
        <f>(TP-H_1-((TP-H_1-(H_1*hnh)-(TP*TCv_3*tCo3_1*VE))*H_2/(TP-H_1-(H_1*hnh)))-AP196-AQ196-AR196-AS196-(H_1*hnh)-((TP-H_1-(H_1*hnh)-(TP*TCv_3*tCo3_1*VE))*H_2*hnh/(TP-H_1-(H_1*hnh)))-AP198-AQ198-AR198-AS198-(TP*TCv_3*tCo3_1*VE)-(TP*TCv_3*tCo3_2*VE)-(TP*TCv_3*tCo3_3*VE)-(TP*TCv_3*tCo3_4*VE)-(TP*TCv_3*tCo3_5*VE)-(TP*TCv_3*tCo3_6*VE))*(H_7/(TP-H_1-H_2-H_3-H_4-H_5-H_6-(hnh*(H_1+H_2+H_3+H_4+H_5+H_6))))</f>
        <v>#DIV/0!</v>
      </c>
      <c r="AU196" s="103" t="e">
        <f>(TP-H_1-((TP-H_1-(H_1*hnh)-(TP*TCv_3*tCo3_1*VE))*H_2/(TP-H_1-(H_1*hnh)))-AP196-AQ196-AR196-AS196-AT196-(H_1*hnh)-((TP-H_1-(H_1*hnh)-(TP*TCv_3*tCo3_1*VE))*H_2*hnh/(TP-H_1-(H_1*hnh)))-AP198-AQ198-AR198-AS198-AT198-(TP*TCv_3*tCo3_1*VE)-(TP*TCv_3*tCo3_2*VE)-(TP*TCv_3*tCo3_3*VE)-(TP*TCv_3*tCo3_4*VE)-(TP*TCv_3*tCo3_5*VE)-(TP*TCv_3*tCo3_6*VE)-(TP*TCv_3*tCo3_7*VE))*(H_8/(TP-H_1-H_2-H_3-H_4-H_5-H_6-H_7-(hnh*(H_1+H_2+H_3+H_4+H_5+H_6+H_7))))</f>
        <v>#DIV/0!</v>
      </c>
      <c r="AV196" s="103" t="e">
        <f>(TP-H_1-((TP-H_1-(H_1*hnh)-(TP*TCv_3*tCo3_1*VE))*H_2/(TP-H_1-(H_1*hnh)))-AP196-AQ196-AR196-AS196-AT196-AU196-(H_1*hnh)-((TP-H_1-(H_1*hnh)-(TP*TCv_3*tCo3_1*VE))*H_2*hnh/(TP-H_1-(H_1*hnh)))-AP198-AQ198-AR198-AS198-AT198-AU198-(TP*TCv_3*tCo3_1*VE)-(TP*TCv_3*tCo3_2*VE)-(TP*TCv_3*tCo3_3*VE)-(TP*TCv_3*tCo3_4*VE)-(TP*TCv_3*tCo3_5*VE)-(TP*TCv_3*tCo3_6*VE)-(TP*TCv_3*tCo3_7*VE)-(TP*TCv_3*tCo3_8*VE))*(H_9/(TP-H_1-H_2-H_3-H_4-H_5-H_6-H_7-H_8-(hnh*(H_1+H_2+H_3+H_4+H_5+H_6+H_7+H_8))))</f>
        <v>#DIV/0!</v>
      </c>
      <c r="AW196" s="103" t="e">
        <f>(TP-H_1-((TP-H_1-(H_1*hnh)-(TP*TCv_3*tCo3_1*VE))*H_2/(TP-H_1-(H_1*hnh)))-AP196-AQ196-AR196-AS196-AT196-AU196-AV196-(H_1*hnh)-((TP-H_1-(H_1*hnh)-(TP*TCv_3*tCo3_1*VE))*H_2*hnh/(TP-H_1-(H_1*hnh)))-AP198-AQ198-AR198-AS198-AT198-AU198-AV198-(TP*TCv_3*tCo3_1*VE)-(TP*TCv_3*tCo3_2*VE)-(TP*TCv_3*tCo3_3*VE)-(TP*TCv_3*tCo3_4*VE)-(TP*TCv_3*tCo3_5*VE)-(TP*TCv_3*tCo3_6*VE)-(TP*TCv_3*tCo3_7*VE)-(TP*TCv_3*tCo3_8*VE)-(TP*TCv_3*tCo3_9*VE))*(H_10/(TP-H_1-H_2-H_3-H_4-H_5-H_6-H_7-H_8-H_9-(hnh*(H_1+H_2+H_3+H_4+H_5+H_6+H_7+H_8+H_9))))</f>
        <v>#DIV/0!</v>
      </c>
      <c r="AX196" s="103" t="e">
        <f>(TP-H_1-((TP-H_1-(H_1*hnh)-(TP*TCv_3*tCo3_1*VE))*H_2/(TP-H_1-(H_1*hnh)))-AP196-AQ196-AR196-AS196-AT196-AU196-AV196-AW196-(H_1*hnh)-((TP-H_1-(H_1*hnh)-(TP*TCv_3*tCo3_1*VE))*H_2*hnh/(TP-H_1-(H_1*hnh)))-AP198-AQ198-AR198-AS198-AT198-AU198-AV198-AW198-(TP*TCv_3*tCo3_1*VE)-(TP*TCv_3*tCo3_2*VE)-(TP*TCv_3*tCo3_3*VE)-(TP*TCv_3*tCo3_4*VE)-(TP*TCv_3*tCo3_5*VE)-(TP*TCv_3*tCo3_6*VE)-(TP*TCv_3*tCo3_7*VE)-(TP*TCv_3*tCo3_8*VE)-(TP*TCv_3*tCo3_9*VE)-(TP*TCv_3*tCo3_10*VE))*(H_11/(TP-H_1-H_2-H_3-H_4-H_5-H_6-H_7-H_8-H_9-H_10-(hnh*(H_1+H_2+H_3+H_4+H_5+H_6+H_7+H_8+H_9+H_10))))</f>
        <v>#DIV/0!</v>
      </c>
      <c r="AZ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H_5/(TP-H_1-H_2-H_3-H_4-(hnh*(H_1+H_2+H_3+H_4))-(TP*VE*(TCv_3*tCo3_1+TCv_3*tCo3_2+TCv_3*tCo3_3+TCv_3*tCo3_4)))</f>
        <v>#DIV/0!</v>
      </c>
      <c r="BA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H_6/(TP-H_1-H_2-H_3-H_4-H_5-(hnh*(H_1+H_2+H_3+H_4+H_5))-(TP*VE*(TCv_3*tCo3_1+TCv_3*tCo3_2+TCv_3*tCo3_3+TCv_3*tCo3_4+TCv_3*tCo3_5)))</f>
        <v>#DIV/0!</v>
      </c>
      <c r="BB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H_7/(TP-H_1-H_2-H_3-H_4-H_5-H_6-(hnh*(H_1+H_2+H_3+H_4+H_5+H_6))-(TP*VE*(TCv_3*tCo3_1+TCv_3*tCo3_2+TCv_3*tCo3_3+TCv_3*tCo3_4+TCv_3*tCo3_5+TCv_3*tCo3_6)))</f>
        <v>#DIV/0!</v>
      </c>
      <c r="BC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H_8/(TP-H_1-H_2-H_3-H_4-H_5-H_6-H_7-(hnh*(H_1+H_2+H_3+H_4+H_5+H_6+H_7))-(TP*VE*(TCv_3*tCo3_1+TCv_3*tCo3_2+TCv_3*tCo3_3+TCv_3*tCo3_4+TCv_3*tCo3_5+TCv_3*tCo3_6+TCv_3*tCo3_7)))</f>
        <v>#DIV/0!</v>
      </c>
      <c r="BD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H_9/(TP-H_1-H_2-H_3-H_4-H_5-H_6-H_7-H_8-(hnh*(H_1+H_2+H_3+H_4+H_5+H_6+H_7+H_8))-(TP*VE*(TCv_3*tCo3_1+TCv_3*tCo3_2+TCv_3*tCo3_3+TCv_3*tCo3_4+TCv_3*tCo3_5+TCv_3*tCo3_6+TCv_3*tCo3_7+TCv_3*tCo3_8)))</f>
        <v>#DIV/0!</v>
      </c>
      <c r="BE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H_10/(TP-H_1-H_2-H_3-H_4-H_5-H_6-H_7-H_8-H_9-(hnh*(H_1+H_2+H_3+H_4+H_5+H_6+H_7+H_8+H_9))-(TP*VE*(TCv_3*tCo3_1+TCv_3*tCo3_2+TCv_3*tCo3_3+TCv_3*tCo3_4+TCv_3*tCo3_5+TCv_3*tCo3_6+TCv_3*tCo3_7+TCv_3*tCo3_8+TCv_3*tCo3_9)))</f>
        <v>#DIV/0!</v>
      </c>
      <c r="BF196"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H_11/(TP-H_1-H_2-H_3-H_4-H_5-H_6-H_7-H_8-H_9-H_10-(hnh*(H_1+H_2+H_3+H_4+H_5+H_6+H_7+H_8+H_9+H_10))-(TP*VE*(TCv_3*tCo3_1+TCv_3*tCo3_2+TCv_3*tCo3_3+TCv_3*tCo3_4+TCv_3*tCo3_5+TCv_3*tCo3_6+TCv_3*tCo3_7+TCv_3*tCo3_8+TCv_3*tCo3_9+TCv_3*tCo3_10)))</f>
        <v>#DIV/0!</v>
      </c>
    </row>
    <row r="197" spans="1:58" hidden="1" outlineLevel="1" x14ac:dyDescent="0.25">
      <c r="A197" s="73">
        <f>season</f>
        <v>0</v>
      </c>
      <c r="B197" s="73">
        <f>TG</f>
        <v>0</v>
      </c>
      <c r="C197" s="73">
        <f>TP</f>
        <v>0</v>
      </c>
      <c r="D197" s="74">
        <f>TCv</f>
        <v>0</v>
      </c>
      <c r="E197" s="75">
        <f>VE</f>
        <v>0</v>
      </c>
      <c r="F197" s="78" t="e">
        <f>G197/IF(mb=1,SUM(AC197:AN197),IF(mb=2,SUM(AD197:AN197),IF(mb=3,SUM(AE197:AN197),IF(mb=4,SUM(AF197:AN197),IF(mb=5,SUM(AG197:AN197),IF(mb=6,SUM(AH197:AN197),IF(mb=7,SUM(AI197:AN197),IF(mb=8,SUM(AJ197:AN197),0))))))))</f>
        <v>#DIV/0!</v>
      </c>
      <c r="G197" s="42">
        <f>IF(mb=1,SUM(AC197:AN197)-SUM(Q197:AB197),IF(mb=2,SUM(AD197:AN197)-SUM(R197:AB197),IF(mb=3,SUM(AE197:AN197)-SUM(S197:AB197),IF(mb=4,SUM(AF197:AN197)-SUM(T197:AB197),IF(mb=5,SUM(AG197:AN197)-SUM(U197:AB197),IF(mb=6,SUM(AH197:AN197)-SUM(V197:AB197),IF(mb=7,SUM(AI197:AN197)-SUM(W197:AB197),IF(mb=8,SUM(AJ197:AN197)-SUM(X197:AB197),0))))))))</f>
        <v>0</v>
      </c>
      <c r="H197" s="96" t="e">
        <f>1/(VE*IF(mb=1,SUM(AC197:AN197),IF(mb=2,SUM(AD197:AN197),IF(mb=3,SUM(AE197:AN197),IF(mb=4,SUM(AF197:AN197),IF(mb=5,SUM(AG197:AN197),IF(mb=6,SUM(AH197:AN197),IF(mb=7,SUM(AI197:AN197),IF(mb=8,SUM(AJ197:AN197),0))))))))/TP)</f>
        <v>#DIV/0!</v>
      </c>
      <c r="I197" s="93" t="e">
        <f>G197/hnh</f>
        <v>#DIV/0!</v>
      </c>
      <c r="J197" s="42" t="e">
        <f>1/(VE*IF(mb=1,SUM(AC197:AN197),IF(mb=2,SUM(AD197:AN197),IF(mb=3,SUM(AE197:AN197),IF(mb=4,SUM(AF197:AN197),IF(mb=5,SUM(AG197:AN197),IF(mb=6,SUM(AH197:AN197),IF(mb=7,SUM(AI197:AN197),IF(mb=8,SUM(AJ197:AN197),0))))))))/(TP*hnh))</f>
        <v>#DIV/0!</v>
      </c>
      <c r="K197" s="42" t="e">
        <f>M197*mai</f>
        <v>#DIV/0!</v>
      </c>
      <c r="L197" s="42" t="e">
        <f>1/(VE*((IF(mb=1,SUM(AC197:AN197),IF(mb=2,SUM(AD197:AN197),IF(mb=3,SUM(AE197:AN197),IF(mb=4,SUM(AF197:AN197),IF(mb=5,SUM(AG197:AN197),IF(mb=6,SUM(AH197:AN197),IF(mb=7,SUM(AI197:AN197),IF(mb=8,SUM(AJ197:AN197),0))))))))+(IF(mb=1,SUM(AC197:AN197),IF(mb=2,SUM(AD197:AN197),IF(mb=3,SUM(AE197:AN197),IF(mb=4,SUM(AF197:AN197),IF(mb=5,SUM(AG197:AN197),IF(mb=6,SUM(AH197:AN197),IF(mb=7,SUM(AI197:AN197),IF(mb=8,SUM(AJ197:AN197),0)))))))))/hnh)*mai)/TP)</f>
        <v>#DIV/0!</v>
      </c>
      <c r="M197" s="42" t="e">
        <f>G197+I197</f>
        <v>#DIV/0!</v>
      </c>
      <c r="N197" s="42" t="e">
        <f>1/(VE*(IF(mb=1,SUM(AC197:AN197),IF(mb=2,SUM(AD197:AN197),IF(mb=3,SUM(AE197:AN197),IF(mb=4,SUM(AF197:AN197),IF(mb=5,SUM(AG197:AN197),IF(mb=6,SUM(AH197:AN197),IF(mb=7,SUM(AI197:AN197),IF(mb=8,SUM(AJ197:AN197),0))))))))+(IF(mb=1,SUM(AC197:AN197),IF(mb=2,SUM(AD197:AN197),IF(mb=3,SUM(AE197:AN197),IF(mb=4,SUM(AF197:AN197),IF(mb=5,SUM(AG197:AN197),IF(mb=6,SUM(AH197:AN197),IF(mb=7,SUM(AI197:AN197),IF(mb=8,SUM(AJ197:AN197),0)))))))))/hnh)/TP)</f>
        <v>#DIV/0!</v>
      </c>
      <c r="Q197" s="86" t="e">
        <f>IF(ISc=1,nh1_1,IF(ISc=2,H_1*hnh,0))</f>
        <v>#DIV/0!</v>
      </c>
      <c r="R197" s="111" t="e">
        <f>IF(ScI=1,((nh1_2/(TP-(nh1_1/hnh)-nh1_1))*(TP-(nh1_1/hnh)-nh1_1-(TP*TCv_3*tCo3_1*VE))),IF(ScI=2,(TP-H_1-(H_1*hnh)-(TP*TCv_3*tCo3_1*VE))*(H_2*hnh/(TP-H_1-(H_1*hnh))),"fal"))</f>
        <v>#DIV/0!</v>
      </c>
      <c r="S197" s="137" t="e">
        <f>IF(ScI=1,(nh1_3/(TP-((nh1_1+nh1_2)/hnh)-nh1_1-nh1_2))*(TP-(nh1_1/hnh)-(R197/hnh)-nh1_1-R197-(TP*VE*(TCv_3*tCo3_1+TCv_3*tCo3_2))),IF(ScI=2,(TP-H_1-((TP-H_1-(H_1*hnh)-(TP*TCv_3*tCo3_1*VE))*H_2/(TP-H_1-(H_1*hnh)))-(H_1*hnh)-((TP-H_1-(H_1*hnh)-(TP*TCv_3*tCo3_1*VE))*H_2*hnh/(TP-H_1-(H_1*hnh)))-(TP*TCv_3*tCo3_1*VE)-(TP*TCv_3*tCo3_2*VE))*(H_3*hnh/(TP-H_1-H_2-(hnh*(H_1+H_2)))),0))</f>
        <v>#DIV/0!</v>
      </c>
      <c r="T197" s="86" t="e">
        <f>IF(ScI=1,(nh1_4/(TP-(nh1_1/hnh)-(nh1_2/hnh)-(nh1_3/hnh)-nh1_1-nh1_2-nh1_3))*(TP-(nh1_1/hnh)-(R197/hnh)-(S197/hnh)-nh1_1-R197-S197-(TP*VE*(TCv_3*tCo3_1+TCv_3*tCo3_2+TCv_3*tCo3_3))),IF(ScI=2,(TP-H_1-((TP-H_1-(H_1*hnh)-(TP*TCv_3*tCo3_1*VE))*H_2/(TP-H_1-(H_1*hnh)))-((TP-H_1-(((TP-H_1-(H_1*hnh)-(TP*TCv_3*tCo3_1*VE))*H_2/(TP-H_1-(H_1*hnh))))-(H_1*hnh)-((TP-H_1-(H_1*hnh)-(TP*TCv_3*tCo3_1*VE))*H_2*hnh/(TP-H_1-(H_1*hnh)))-(TP*TCv_3*tCo3_1*VE)-(TP*TCv_3*tCo3_2*VE))*(H_3/(TP-H_1-H_2-(hnh*(H_1+H_2)))))-(H_1*hnh)-((TP-H_1-(H_1*hnh)-(TP*TCv_3*tCo3_1*VE))*H_2*hnh/(TP-H_1-(H_1*hnh)))-((TP-H_1-(((TP-H_1-(H_1*hnh)-(TP*TCv_3*tCo3_1*VE))*H_2/(TP-H_1-(H_1*hnh))))-(H_1*hnh)-(((TP-H_1-(H_1*hnh)-(TP*TCv_3*tCo3_1*VE))*H_2*hnh/(TP-H_1-(H_1*hnh))))-(TP*TCv_3*tCo3_1*VE)-(TP*TCv_3*tCo3_2*VE))*(H_3*hnh/(TP-H_1-H_2-(hnh*(H_1+H_2)))))-(TP*TCv_3*tCo3_1*VE)-(TP*TCv_3*tCo3_2*VE)-(TP*TCv_3*tCo3_3*VE))*(H_4*hnh/(TP-H_1-H_2-H_3-(hnh*(H_1+H_2+H_3)))),0))</f>
        <v>#DIV/0!</v>
      </c>
      <c r="U197" s="86" t="e">
        <f>IF(ScI=1,(nh1_5/(TP-(nh1_1/hnh)-(nh1_2/hnh)-(nh1_3/hnh)-(nh1_4/hnh)-nh1_1-nh1_2-nh1_3-nh1_4))*(TP-(nh1_1/hnh)-(R197/hnh)-(S197/hnh)-(T197/hnh)-nh1_1-R197-S197-T197-(TP*VE*(TCv_3*tCo3_1+TCv_3*tCo3_2+TCv_3*tCo3_3+TCv_3*tCo3_4))),IF(ScI=2,(TP-H_1-(((TP-H_1-(H_1*hnh)-(TP*TCv_3*tCo3_1*VE))*H_2/(TP-H_1-(H_1*hnh))))-AP196-AQ196-(H_1*hnh)-((TP-H_1-(H_1*hnh)-(TP*TCv_3*tCo3_1*VE))*H_2*hnh/(TP-H_1-(H_1*hnh)))-AP198-AQ198-(TP*TCv_3*tCo3_1*VE)-(TP*TCv_3*tCo3_2*VE)-(TP*TCv_3*tCo3_3*VE)-(TP*TCv_3*tCo3_4*VE))*(H_5*hnh/(TP-H_1-H_2-H_3-H_4-(hnh*(H_1+H_2+H_3+H_4)))),0))</f>
        <v>#DIV/0!</v>
      </c>
      <c r="V197" s="86" t="e">
        <f>IF(ScI=1,(nh1_6/(TP-(nh1_1/hnh)-(nh1_2/hnh)-(nh1_3/hnh)-(nh1_4/hnh)-(nh1_5/hnh)-nh1_1-nh1_2-nh1_3-nh1_4-nh1_5))*(TP-(nh1_1/hnh)-(R197/hnh)-(S197/hnh)-(T197/hnh)-(U197/hnh)-nh1_1-R197-S197-T197-U197-(TP*VE*(TCv_3*tCo3_1+TCv_3*tCo3_2+TCv_3*tCo3_3+TCv_3*tCo3_4+TCv_3*tCo3_5))),IF(ScI=2,(TP-H_1-((TP-H_1-(H_1*hnh)-(TP*TCv_3*tCo3_1*VE))*H_2/(TP-H_1-(H_1*hnh)))-AP196-AQ196-AR196-(H_1*hnh)-((TP-H_1-(H_1*hnh)-(TP*TCv_3*tCo3_1*VE))*H_2*hnh/(TP-H_1-(H_1*hnh)))-AP198-AQ198-AR198-(TP*TCv_3*tCo3_1*VE)-(TP*TCv_3*tCo3_2*VE)-(TP*TCv_3*tCo3_3*VE)-(TP*TCv_3*tCo3_4*VE)-(TP*TCv_3*tCo3_5*VE))*(H_6*hnh/(TP-H_1-H_2-H_3-H_4-H_5-(hnh*(H_1+H_2+H_3+H_4+H_5)))),0))</f>
        <v>#DIV/0!</v>
      </c>
      <c r="W197" s="86" t="e">
        <f>IF(ScI=1,(nh1_7/(TP-(nh1_1/hnh)-(nh1_2/hnh)-(nh1_3/hnh)-(nh1_4/hnh)-(nh1_5/hnh)-(nh1_6/hnh)-nh1_1-nh1_2-nh1_3-nh1_4-nh1_5-nh1_6))*(TP-(nh1_1/hnh)-(R197/hnh)-(S197/hnh)-(T197/hnh)-(U197/hnh)-(V197/hnh)-nh1_1-R197-S197-T197-U197-V197-(TP*VE*(TCv_3*tCo3_1+TCv_3*tCo3_2+TCv_3*tCo3_3+TCv_3*tCo3_4+TCv_3*tCo3_5+TCv_3*tCo3_6))),IF(ScI=2,(TP-H_1-((TP-H_1-(H_1*hnh)-(TP*TCv_3*tCo3_1*VE))*H_2/(TP-H_1-(H_1*hnh)))-AP196-AQ196-AR196-AS196-(H_1*hnh)-((TP-H_1-(H_1*hnh)-(TP*TCv_3*tCo3_1*VE))*H_2*hnh/(TP-H_1-(H_1*hnh)))-AP198-AQ198-AR198-AS198-(TP*TCv_3*tCo3_1*VE)-(TP*TCv_3*tCo3_2*VE)-(TP*TCv_3*tCo3_3*VE)-(TP*TCv_3*tCo3_4*VE)-(TP*TCv_3*tCo3_5*VE)-(TP*TCv_3*tCo3_6*VE))*(H_7*hnh/(TP-H_1-H_2-H_3-H_4-H_5-H_6-(hnh*(H_1+H_2+H_3+H_4+H_5+H_6)))),0))</f>
        <v>#DIV/0!</v>
      </c>
      <c r="X197" s="86" t="e">
        <f>IF(ScI=1,(nh1_8/(TP-(nh1_1/hnh)-(nh1_2/hnh)-(nh1_3/hnh)-(nh1_4/hnh)-(nh1_5/hnh)-(nh1_6/hnh)-(nh1_7/hnh)-nh1_1-nh1_2-nh1_3-nh1_4-nh1_5-nh1_6-nh1_7))*(TP-(nh1_1/hnh)-(R197/hnh)-(S197/hnh)-(T197/hnh)-(U197/hnh)-(V197/hnh)-(W197/hnh)-nh1_1-R197-S197-T197-U197-V197-W197-(TP*VE*(TCv_3*tCo3_1+TCv_3*tCo3_2+TCv_3*tCo3_3+TCv_3*tCo3_4+TCv_3*tCo3_5+TCv_3*tCo3_6+TCv_3*tCo3_7))),IF(ScI=2,(TP-H_1-((TP-H_1-(H_1*hnh)-(TP*TCv_3*tCo3_1*VE))*H_2/(TP-H_1-(H_1*hnh)))-AP196-AQ196-AR196-AS196-AT196-(H_1*hnh)-((TP-H_1-(H_1*hnh)-(TP*TCv_3*tCo3_1*VE))*H_2*hnh/(TP-H_1-(H_1*hnh)))-AP198-AQ198-AR198-AS198-AT198-(TP*TCv_3*tCo3_1*VE)-(TP*TCv_3*tCo3_2*VE)-(TP*TCv_3*tCo3_3*VE)-(TP*TCv_3*tCo3_4*VE)-(TP*TCv_3*tCo3_5*VE)-(TP*TCv_3*tCo3_6*VE)-(TP*TCv_3*tCo3_7*VE))*(H_8*hnh/(TP-H_1-H_2-H_3-H_4-H_5-H_6-H_7-(hnh*(H_1+H_2+H_3+H_4+H_5+H_6+H_7)))),0))</f>
        <v>#DIV/0!</v>
      </c>
      <c r="Y197" s="86" t="e">
        <f>IF(ScI=1,(nh1_9/(TP-(nh1_1/hnh)-(nh1_2/hnh)-(nh1_3/hnh)-(nh1_4/hnh)-(nh1_5/hnh)-(nh1_6/hnh)-(nh1_7/hnh)-(nh1_8/hnh)-nh1_1-nh1_2-nh1_3-nh1_4-nh1_5-nh1_6-nh1_7-nh1_8))*(TP-(nh1_1/hnh)-(R197/hnh)-(S197/hnh)-(T197/hnh)-(U197/hnh)-(V197/hnh)-(W197/hnh)-(X197/hnh)-nh1_1-R197-S197-T197-U197-V197-W197-X197-(TP*VE*(TCv_3*tCo3_1+TCv_3*tCo3_2+TCv_3*tCo3_3+TCv_3*tCo3_4+TCv_3*tCo3_5+TCv_3*tCo3_6+TCv_3*tCo3_7+TCv_3*tCo3_8))),IF(ScI=2,(TP-H_1-((TP-H_1-(H_1*hnh)-(TP*TCv_3*tCo3_1*VE))*H_2/(TP-H_1-(H_1*hnh)))-AP196-AQ196-AR196-AS196-AT196-AU196-(H_1*hnh)-((TP-H_1-(H_1*hnh)-(TP*TCv_3*tCo3_1*VE))*H_2*hnh/(TP-H_1-(H_1*hnh)))-AP198-AQ198-AR198-AS198-AT198-AU198-(TP*TCv_3*tCo3_1*VE)-(TP*TCv_3*tCo3_2*VE)-(TP*TCv_3*tCo3_3*VE)-(TP*TCv_3*tCo3_4*VE)-(TP*TCv_3*tCo3_5*VE)-(TP*TCv_3*tCo3_6*VE)-(TP*TCv_3*tCo3_7*VE)-(TP*TCv_3*tCo3_8*VE))*(H_9*hnh/(TP-H_1-H_2-H_3-H_4-H_5-H_6-H_7-H_8-(hnh*(H_1+H_2+H_3+H_4+H_5+H_6+H_7+H_8)))),0))</f>
        <v>#DIV/0!</v>
      </c>
      <c r="Z197" s="86" t="e">
        <f>IF(ScI=1,(nh1_10/(TP-(nh1_1/hnh)-(nh1_2/hnh)-(nh1_3/hnh)-(nh1_4/hnh)-(nh1_5/hnh)-(nh1_6/hnh)-(nh1_7/hnh)-(nh1_8/hnh)-(nh1_9/hnh)-nh1_1-nh1_2-nh1_3-nh1_4-nh1_5-nh1_6-nh1_7-nh1_8-nh1_9))*(TP-(nh1_1/hnh)-(R197/hnh)-(S197/hnh)-(T197/hnh)-(U197/hnh)-(V197/hnh)-(W197/hnh)-(X197/hnh)-(Y197/hnh)-nh1_1-R197-S197-T197-U197-V197-W197-X197-Y197-(TP*VE*(TCv_3*tCo3_1+TCv_3*tCo3_2+TCv_3*tCo3_3+TCv_3*tCo3_4+TCv_3*tCo3_5+TCv_3*tCo3_6+TCv_3*tCo3_7+TCv_3*tCo3_8+TCv_3*tCo3_9))),IF(ScI=2,(TP-H_1-((TP-H_1-(H_1*hnh)-(TP*TCv_3*tCo3_1*VE))*H_2/(TP-H_1-(H_1*hnh)))-AP196-AQ196-AR196-AS196-AT196-AU196-AV196-(H_1*hnh)-((TP-H_1-(H_1*hnh)-(TP*TCv_3*tCo3_1*VE))*H_2*hnh/(TP-H_1-(H_1*hnh)))-AP198-AQ198-AR198-AS198-AT198-AU198-AV198-(TP*TCv_3*tCo3_1*VE)-(TP*TCv_3*tCo3_2*VE)-(TP*TCv_3*tCo3_3*VE)-(TP*TCv_3*tCo3_4*VE)-(TP*TCv_3*tCo3_5*VE)-(TP*TCv_3*tCo3_6*VE)-(TP*TCv_3*tCo3_7*VE)-(TP*TCv_3*tCo3_8*VE)-(TP*TCv_3*tCo3_9*VE))*(H_10*hnh/(TP-H_1-H_2-H_3-H_4-H_5-H_6-H_7-H_8-H_9-(hnh*(H_1+H_2+H_3+H_4+H_5+H_6+H_7+H_8+H_9)))),0))</f>
        <v>#DIV/0!</v>
      </c>
      <c r="AA197" s="86" t="e">
        <f>IF(ScI=1,(nh1_11/(TP-(nh1_1/hnh)-(nh1_2/hnh)-(nh1_3/hnh)-(nh1_4/hnh)-(nh1_5/hnh)-(nh1_6/hnh)-(nh1_7/hnh)-(nh1_8/hnh)-(nh1_9/hnh)-(nh1_10/hnh)-nh1_1-nh1_2-nh1_3-nh1_4-nh1_5-nh1_6-nh1_7-nh1_8-nh1_9-nh1_10))*(TP-(nh1_1/hnh)-(R197/hnh)-(S197/hnh)-(T197/hnh)-(U197/hnh)-(V197/hnh)-(W197/hnh)-(X197/hnh)-(Y197/hnh)-(Z197/hnh)-nh1_1-R197-S197-T197-U197-V197-W197-X197-Y197-Z197-(TP*VE*(TCv_3*tCo3_1+TCv_3*tCo3_2+TCv_3*tCo3_3+TCv_3*tCo3_4+TCv_3*tCo3_5+TCv_3*tCo3_6+TCv_3*tCo3_7+TCv_3*tCo3_8+TCv_3*tCo3_9+TCv_3*tCo3_10))),IF(ScI=2,(TP-H_1-((TP-H_1-(H_1*hnh)-(TP*TCv_3*tCo3_1*VE))*H_2/(TP-H_1-(H_1*hnh)))-AP196-AQ196-AR196-AS196-AT196-AU196-AV196-AW196-(H_1*hnh)-((TP-H_1-(H_1*hnh)-(TP*TCv_3*tCo3_1*VE))*H_2*hnh/(TP-H_1-(H_1*hnh)))-AP198-AQ198-AR198-AS198-AT198-AU198-AV198-AW198-(TP*TCv_3*tCo3_1*VE)-(TP*TCv_3*tCo3_2*VE)-(TP*TCv_3*tCo3_3*VE)-(TP*TCv_3*tCo3_4*VE)-(TP*TCv_3*tCo3_5*VE)-(TP*TCv_3*tCo3_6*VE)-(TP*TCv_3*tCo3_7*VE)-(TP*TCv_3*tCo3_8*VE)-(TP*TCv_3*tCo3_9*VE)-(TP*TCv_3*tCo3_10*VE))*(H_11*hnh/(TP-H_1-H_2-H_3-H_4-H_5-H_6-H_7-H_8-H_9-H_10-(hnh*(H_1+H_2+H_3+H_4+H_5+H_6+H_7+H_8+H_9+H_10)))),0))</f>
        <v>#DIV/0!</v>
      </c>
      <c r="AB197" s="86" t="e">
        <f>IF(ScI=1,(nh1_12/(TP-(nh1_1/hnh)-(nh1_2/hnh)-(nh1_3/hnh)-(nh1_4/hnh)-(nh1_5/hnh)-(nh1_6/hnh)-(nh1_7/hnh)-(nh1_8/hnh)-(nh1_9/hnh)-(nh1_10/hnh)-(nh1_11/hnh)-nh1_1-nh1_2-nh1_3-nh1_4-nh1_5-nh1_6-nh1_7-nh1_8-nh1_9-nh1_10-nh1_11))*(TP-(nh1_1/hnh)-(R197/hnh)-(S197/hnh)-(T197/hnh)-(U197/hnh)-(V197/hnh)-(W197/hnh)-(X197/hnh)-(Y197/hnh)-(Z197/hnh)-(AA197/hnh)-nh1_1-R197-S197-T197-U197-V197-W197-X197-Y197-Z197-AA197-(TP*VE*(TCv_3*tCo3_1+TCv_3*tCo3_2+TCv_3*tCo3_3+TCv_3*tCo3_4+TCv_3*tCo3_5+TCv_3*tCo3_6+TCv_3*tCo3_7+TCv_3*tCo3_8+TCv_3*tCo3_9+TCv_3*tCo3_10+TCv_3*tCo3_11))),IF(ScI=2,(TP-H_1-((TP-H_1-(H_1*hnh)-(TP*TCv_3*tCo3_1*VE))*H_2/(TP-H_1-(H_1*hnh)))-AP196-AQ196-AR196-AS196-AT196-AU196-AV196-AW196-AX196-(H_1*hnh)-((TP-H_1-(H_1*hnh)-(TP*TCv_3*tCo3_1*VE))*H_2*hnh/(TP-H_1-(H_1*hnh)))-AP198-AQ198-AR198-AS198-AT198-AU198-AV198-AW198-AX198-(TP*TCv_3*tCo3_1*VE)-(TP*TCv_3*tCo3_2*VE)-(TP*TCv_3*tCo3_3*VE)-(TP*TCv_3*tCo3_4*VE)-(TP*TCv_3*tCo3_5*VE)-(TP*TCv_3*tCo3_6*VE)-(TP*TCv_3*tCo3_7*VE)-(TP*TCv_3*tCo3_8*VE)-(TP*TCv_3*tCo3_9*VE)-(TP*TCv_3*tCo3_10*VE)-(TP*TCv_3*tCo3_11*VE))*(H_12*hnh/(TP-H_1-H_2-H_3-H_4-H_5-H_6-H_7-H_8-H_9-H_10-H_11-(hnh*(H_1+H_2+H_3+H_4+H_5+H_6+H_7+H_8+H_9+H_10+H_11)))),0))</f>
        <v>#DIV/0!</v>
      </c>
      <c r="AC197" s="88">
        <f>IF(ScI=1,H_1*hnh,IF(ScI=2,H_1*hnh,0))</f>
        <v>0</v>
      </c>
      <c r="AD197" s="88" t="e">
        <f>IF(ScI=1,(TP-H_1-(H_1*hnh))*H_2*hnh/(TP-H_1-(H_1*hnh)-(TP*TCv_3*tCo3_1*VE)),IF(ScI=2,H_2*hnh,0))</f>
        <v>#DIV/0!</v>
      </c>
      <c r="AE197" s="88" t="e">
        <f>IF(ScI=1,(TP-H_1-((TP-H_1-(H_1*hnh))*H_2/(TP-H_1-(H_1*hnh)-(TP*TCv_3*tCo3_1*VE)))-(H_1*hnh)-((TP-H_1-(H_1*hnh))*H_2*hnh/(TP-H_1-(H_1*hnh)-(TP*TCv_3*tCo3_1*VE))))*H_3*hnh/(TP-H_1-H_2-(hnh*(H_1+H_2))-(TP*VE*(TCv_3*tCo3_1+TCv_3*tCo3_2))),IF(ScI=2,H_3*hnh,0))</f>
        <v>#DIV/0!</v>
      </c>
      <c r="AF197" s="88" t="e">
        <f>IF(ScI=1,(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IF(ScI=2,H_4*hnh,0))</f>
        <v>#DIV/0!</v>
      </c>
      <c r="AG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H_5*hnh/(TP-H_1-H_2-H_3-H_4-(hnh*(H_1+H_2+H_3+H_4))-(TP*VE*(TCv_3*tCo3_1+TCv_3*tCo3_2+TCv_3*tCo3_3+TCv_3*tCo3_4))),IF(ScI=2,H_5*hnh,0))</f>
        <v>#DIV/0!</v>
      </c>
      <c r="AH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H_6*hnh/(TP-H_1-H_2-H_3-H_4-H_5-(hnh*(H_1+H_2+H_3+H_4+H_5))-(TP*VE*(TCv_3*tCo3_1+TCv_3*tCo3_2+TCv_3*tCo3_3+TCv_3*tCo3_4+TCv_3*tCo3_5))),IF(ScI=2,H_6*hnh,0))</f>
        <v>#DIV/0!</v>
      </c>
      <c r="AI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H_7*hnh/(TP-H_1-H_2-H_3-H_4-H_5-H_6-(hnh*(H_1+H_2+H_3+H_4+H_5+H_6))-(TP*VE*(TCv_3*tCo3_1+TCv_3*tCo3_2+TCv_3*tCo3_3+TCv_3*tCo3_4+TCv_3*tCo3_5+TCv_3*tCo3_6))),IF(ScI=2,H_7*hnh,0))</f>
        <v>#DIV/0!</v>
      </c>
      <c r="AJ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H_8*hnh/(TP-H_1-H_2-H_3-H_4-H_5-H_6-H_7-(hnh*(H_1+H_2+H_3+H_4+H_5+H_6+H_7))-(TP*VE*(TCv_3*tCo3_1+TCv_3*tCo3_2+TCv_3*tCo3_3+TCv_3*tCo3_4+TCv_3*tCo3_5+TCv_3*tCo3_6+TCv_3*tCo3_7))),IF(ScI=2,H_8*hnh,0))</f>
        <v>#DIV/0!</v>
      </c>
      <c r="AK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H_9*hnh/(TP-H_1-H_2-H_3-H_4-H_5-H_6-H_7-H_8-(hnh*(H_1+H_2+H_3+H_4+H_5+H_6+H_7+H_8))-(TP*VE*(TCv_3*tCo3_1+TCv_3*tCo3_2+TCv_3*tCo3_3+TCv_3*tCo3_4+TCv_3*tCo3_5+TCv_3*tCo3_6+TCv_3*tCo3_7+TCv_3*tCo3_8))),IF(ScI=2,H_9*hnh,0))</f>
        <v>#DIV/0!</v>
      </c>
      <c r="AL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H_10*hnh/(TP-H_1-H_2-H_3-H_4-H_5-H_6-H_7-H_8-H_9-(hnh*(H_1+H_2+H_3+H_4+H_5+H_6+H_7+H_8+H_9))-(TP*VE*(TCv_3*tCo3_1+TCv_3*tCo3_2+TCv_3*tCo3_3+TCv_3*tCo3_4+TCv_3*tCo3_5+TCv_3*tCo3_6+TCv_3*tCo3_7+TCv_3*tCo3_8+TCv_3*tCo3_9))),IF(ScI=2,H_10*hnh,0))</f>
        <v>#DIV/0!</v>
      </c>
      <c r="AM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H_11*hnh/(TP-H_1-H_2-H_3-H_4-H_5-H_6-H_7-H_8-H_9-H_10-(hnh*(H_1+H_2+H_3+H_4+H_5+H_6+H_7+H_8+H_9+H_10))-(TP*VE*(TCv_3*tCo3_1+TCv_3*tCo3_2+TCv_3*tCo3_3+TCv_3*tCo3_4+TCv_3*tCo3_5+TCv_3*tCo3_6+TCv_3*tCo3_7+TCv_3*tCo3_8+TCv_3*tCo3_9+TCv_3*tCo3_10))),IF(ScI=2,H_11*hnh,0))</f>
        <v>#DIV/0!</v>
      </c>
      <c r="AN197" s="88" t="e">
        <f>IF(ScI=1,(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BF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BF198)*H_12*hnh/(TP-H_1-H_2-H_3-H_4-H_5-H_6-H_7-H_8-H_9-H_10-H_11-(hnh*(H_1+H_2+H_3+H_4+H_5+H_6+H_7+H_8+H_9+H_10+H_11))-(TP*VE*(TCv_3*tCo3_1+TCv_3*tCo3_2+TCv_3*tCo3_3+TCv_3*tCo3_4+TCv_3*tCo3_5+TCv_3*tCo3_6+TCv_3*tCo3_7+TCv_3*tCo3_8+TCv_3*tCo3_9+TCv_3*tCo3_10+TCv_3*tCo3_11))),IF(ScI=2,H_12*hnh,0))</f>
        <v>#DIV/0!</v>
      </c>
      <c r="AP197" s="103" t="s">
        <v>82</v>
      </c>
      <c r="AQ197" s="103" t="s">
        <v>83</v>
      </c>
      <c r="AR197" s="103" t="s">
        <v>84</v>
      </c>
      <c r="AS197" s="103" t="s">
        <v>85</v>
      </c>
      <c r="AT197" s="103" t="s">
        <v>86</v>
      </c>
      <c r="AU197" s="103" t="s">
        <v>87</v>
      </c>
      <c r="AV197" s="103" t="s">
        <v>88</v>
      </c>
      <c r="AW197" s="103" t="s">
        <v>89</v>
      </c>
      <c r="AX197" s="103" t="s">
        <v>90</v>
      </c>
      <c r="AZ197" s="103" t="s">
        <v>106</v>
      </c>
      <c r="BA197" s="103" t="s">
        <v>92</v>
      </c>
      <c r="BB197" s="103" t="s">
        <v>98</v>
      </c>
      <c r="BC197" s="103" t="s">
        <v>99</v>
      </c>
      <c r="BD197" s="103" t="s">
        <v>100</v>
      </c>
      <c r="BE197" s="103" t="s">
        <v>101</v>
      </c>
      <c r="BF197" s="103" t="s">
        <v>102</v>
      </c>
    </row>
    <row r="198" spans="1:58" hidden="1" outlineLevel="1" x14ac:dyDescent="0.25">
      <c r="F198" s="113"/>
      <c r="G198" s="31"/>
      <c r="H198" s="31"/>
      <c r="I198" s="31"/>
      <c r="J198" s="31"/>
      <c r="K198" s="31"/>
      <c r="L198" s="31"/>
      <c r="M198" s="31"/>
      <c r="N198" s="31"/>
      <c r="Q198" s="31"/>
      <c r="R198" s="97"/>
      <c r="S198" s="97"/>
      <c r="T198" s="97"/>
      <c r="U198" s="97"/>
      <c r="V198" s="97"/>
      <c r="W198" s="97"/>
      <c r="X198" s="97"/>
      <c r="Y198" s="97"/>
      <c r="Z198" s="97"/>
      <c r="AA198" s="97"/>
      <c r="AB198" s="97"/>
      <c r="AC198" s="98"/>
      <c r="AD198" s="98"/>
      <c r="AE198" s="98"/>
      <c r="AF198" s="98"/>
      <c r="AG198" s="98"/>
      <c r="AH198" s="98"/>
      <c r="AI198" s="98"/>
      <c r="AJ198" s="98"/>
      <c r="AK198" s="98"/>
      <c r="AL198" s="98"/>
      <c r="AM198" s="98"/>
      <c r="AN198" s="98"/>
      <c r="AP198" s="103" t="e">
        <f>((TP-H_1-((TP-H_1-(H_1*hnh)-(TP*TCv_3*tCo3_1*VE))*H_2/(TP-H_1-(H_1*hnh)))-(H_1*hnh)-((TP-H_1-(H_1*hnh)-(TP*TCv_3*tCo3_1*VE))*H_2*hnh/(TP-H_1-(H_1*hnh)))-(TP*TCv_3*tCo3_1*VE)-(TP*TCv_3*tCo3_2*VE))*(H_3*hnh/(TP-H_1-H_2-(hnh*(H_1+H_2)))))</f>
        <v>#DIV/0!</v>
      </c>
      <c r="AQ198" s="103" t="e">
        <f>(TP-H_1-((TP-H_1-(H_1*hnh)-(TP*TCv_3*tCo3_1*VE))*H_2/(TP-H_1-(H_1*hnh)))-AP196-(H_1*hnh)-((TP-H_1-(H_1*hnh)-(TP*TCv_3*tCo3_1*VE))*H_2*hnh/(TP-H_1-(H_1*hnh)))-AP198-(TP*TCv_3*tCo3_1*VE)-(TP*TCv_3*tCo3_2*VE)-(TP*TCv_3*tCo3_3*VE))*(H_4*hnh/(TP-H_1-H_2-H_3-(hnh*(H_1+H_2+H_3))))</f>
        <v>#DIV/0!</v>
      </c>
      <c r="AR198" s="103" t="e">
        <f>(TP-H_1-((TP-H_1-(H_1*hnh)-(TP*TCv_3*tCo3_1*VE))*H_2/(TP-H_1-(H_1*hnh)))-AP196-AQ196-(H_1*hnh)-((TP-H_1-(H_1*hnh)-(TP*TCv_3*tCo3_1*VE))*H_2*hnh/(TP-H_1-(H_1*hnh)))-AP198-AQ198-(TP*TCv_3*tCo3_1*VE)-(TP*TCv_3*tCo3_2*VE)-(TP*TCv_3*tCo3_3*VE)-(TP*TCv_3*tCo3_4*VE))*(H_5*hnh/(TP-H_1-H_2-H_3-H_4-(hnh*(H_1+H_2+H_3+H_4))))</f>
        <v>#DIV/0!</v>
      </c>
      <c r="AS198" s="103" t="e">
        <f>(TP-H_1-((TP-H_1-(H_1*hnh)-(TP*TCv_3*tCo3_1*VE))*H_2/(TP-H_1-(H_1*hnh)))-AP196-AQ196-AR196-(H_1*hnh)-((TP-H_1-(H_1*hnh)-(TP*TCv_3*tCo3_1*VE))*H_2*hnh/(TP-H_1-(H_1*hnh)))-AP198-AQ198-AR198-(TP*TCv_3*tCo3_1*VE)-(TP*TCv_3*tCo3_2*VE)-(TP*TCv_3*tCo3_3*VE)-(TP*TCv_3*tCo3_4*VE)-(TP*TCv_3*tCo3_5*VE))*(H_6*hnh/(TP-H_1-H_2-H_3-H_4-H_5-(hnh*(H_1+H_2+H_3+H_4+H_5))))</f>
        <v>#DIV/0!</v>
      </c>
      <c r="AT198" s="103" t="e">
        <f>(TP-H_1-((TP-H_1-(H_1*hnh)-(TP*TCv_3*tCo3_1*VE))*H_2/(TP-H_1-(H_1*hnh)))-AP196-AQ196-AR196-AS196-(H_1*hnh)-((TP-H_1-(H_1*hnh)-(TP*TCv_3*tCo3_1*VE))*H_2*hnh/(TP-H_1-(H_1*hnh)))-AP198-AQ198-AR198-AS198-(TP*TCv_3*tCo3_1*VE)-(TP*TCv_3*tCo3_2*VE)-(TP*TCv_3*tCo3_3*VE)-(TP*TCv_3*tCo3_4*VE)-(TP*TCv_3*tCo3_5*VE)-(TP*TCv_3*tCo3_6*VE))*(H_7*hnh/(TP-H_1-H_2-H_3-H_4-H_5-H_6-(hnh*(H_1+H_2+H_3+H_4+H_5+H_6))))</f>
        <v>#DIV/0!</v>
      </c>
      <c r="AU198" s="103" t="e">
        <f>(TP-H_1-((TP-H_1-(H_1*hnh)-(TP*TCv_3*tCo3_1*VE))*H_2/(TP-H_1-(H_1*hnh)))-AP196-AQ196-AR196-AS196-AT196-(H_1*hnh)-((TP-H_1-(H_1*hnh)-(TP*TCv_3*tCo3_1*VE))*H_2*hnh/(TP-H_1-(H_1*hnh)))-AP198-AQ198-AR198-AS198-AT198-(TP*TCv_3*tCo3_1*VE)-(TP*TCv_3*tCo3_2*VE)-(TP*TCv_3*tCo3_3*VE)-(TP*TCv_3*tCo3_4*VE)-(TP*TCv_3*tCo3_5*VE)-(TP*TCv_3*tCo3_6*VE)-(TP*TCv_3*tCo3_7*VE))*(H_8*hnh/(TP-H_1-H_2-H_3-H_4-H_5-H_6-H_7-(hnh*(H_1+H_2+H_3+H_4+H_5+H_6+H_7))))</f>
        <v>#DIV/0!</v>
      </c>
      <c r="AV198" s="103" t="e">
        <f>(TP-H_1-((TP-H_1-(H_1*hnh)-(TP*TCv_3*tCo3_1*VE))*H_2/(TP-H_1-(H_1*hnh)))-AP196-AQ196-AR196-AS196-AT196-AU196-(H_1*hnh)-((TP-H_1-(H_1*hnh)-(TP*TCv_3*tCo3_1*VE))*H_2*hnh/(TP-H_1-(H_1*hnh)))-AP198-AQ198-AR198-AS198-AT198-AU198-(TP*TCv_3*tCo3_1*VE)-(TP*TCv_3*tCo3_2*VE)-(TP*TCv_3*tCo3_3*VE)-(TP*TCv_3*tCo3_4*VE)-(TP*TCv_3*tCo3_5*VE)-(TP*TCv_3*tCo3_6*VE)-(TP*TCv_3*tCo3_7*VE)-(TP*TCv_3*tCo3_8*VE))*(H_9*hnh/(TP-H_1-H_2-H_3-H_4-H_5-H_6-H_7-H_8-(hnh*(H_1+H_2+H_3+H_4+H_5+H_6+H_7+H_8))))</f>
        <v>#DIV/0!</v>
      </c>
      <c r="AW198" s="103" t="e">
        <f>(TP-H_1-((TP-H_1-(H_1*hnh)-(TP*TCv_3*tCo3_1*VE))*H_2/(TP-H_1-(H_1*hnh)))-AP196-AQ196-AR196-AS196-AT196-AU196-AV196-(H_1*hnh)-((TP-H_1-(H_1*hnh)-(TP*TCv_3*tCo3_1*VE))*H_2*hnh/(TP-H_1-(H_1*hnh)))-AP198-AQ198-AR198-AS198-AT198-AU198-AV198-(TP*TCv_3*tCo3_1*VE)-(TP*TCv_3*tCo3_2*VE)-(TP*TCv_3*tCo3_3*VE)-(TP*TCv_3*tCo3_4*VE)-(TP*TCv_3*tCo3_5*VE)-(TP*TCv_3*tCo3_6*VE)-(TP*TCv_3*tCo3_7*VE)-(TP*TCv_3*tCo3_8*VE)-(TP*TCv_3*tCo3_9*VE))*(H_10*hnh/(TP-H_1-H_2-H_3-H_4-H_5-H_6-H_7-H_8-H_9-(hnh*(H_1+H_2+H_3+H_4+H_5+H_6+H_7+H_8+H_9))))</f>
        <v>#DIV/0!</v>
      </c>
      <c r="AX198" s="103" t="e">
        <f>(TP-H_1-((TP-H_1-(H_1*hnh)-(TP*TCv_3*tCo3_1*VE))*H_2/(TP-H_1-(H_1*hnh)))-AP196-AQ196-AR196-AS196-AT196-AU196-AV196-AW196-(H_1*hnh)-((TP-H_1-(H_1*hnh)-(TP*TCv_3*tCo3_1*VE))*H_2*hnh/(TP-H_1-(H_1*hnh)))-AP198-AQ198-AR198-AS198-AT198-AU198-AV198-AW198-(TP*TCv_3*tCo3_1*VE)-(TP*TCv_3*tCo3_2*VE)-(TP*TCv_3*tCo3_3*VE)-(TP*TCv_3*tCo3_4*VE)-(TP*TCv_3*tCo3_5*VE)-(TP*TCv_3*tCo3_6*VE)-(TP*TCv_3*tCo3_7*VE)-(TP*TCv_3*tCo3_8*VE)-(TP*TCv_3*tCo3_9*VE)-(TP*TCv_3*tCo3_10*VE))*(H_11*hnh/(TP-H_1-H_2-H_3-H_4-H_5-H_6-H_7-H_8-H_9-H_10-(hnh*(H_1+H_2+H_3+H_4+H_5+H_6+H_7+H_8+H_9+H_10))))</f>
        <v>#DIV/0!</v>
      </c>
      <c r="AZ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H_5*hnh/(TP-H_1-H_2-H_3-H_4-(hnh*(H_1+H_2+H_3+H_4))-(TP*VE*(TCv_3*tCo3_1+TCv_3*tCo3_2+TCv_3*tCo3_3+TCv_3*tCo3_4)))</f>
        <v>#DIV/0!</v>
      </c>
      <c r="BA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H_6*hnh/(TP-H_1-H_2-H_3-H_4-H_5-(hnh*(H_1+H_2+H_3+H_4+H_5))-(TP*VE*(TCv_3*tCo3_1+TCv_3*tCo3_2+TCv_3*tCo3_3+TCv_3*tCo3_4+TCv_3*tCo3_5)))</f>
        <v>#DIV/0!</v>
      </c>
      <c r="BB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H_7*hnh/(TP-H_1-H_2-H_3-H_4-H_5-H_6-(hnh*(H_1+H_2+H_3+H_4+H_5+H_6))-(TP*VE*(TCv_3*tCo3_1+TCv_3*tCo3_2+TCv_3*tCo3_3+TCv_3*tCo3_4+TCv_3*tCo3_5+TCv_3*tCo3_6)))</f>
        <v>#DIV/0!</v>
      </c>
      <c r="BC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H_8*hnh/(TP-H_1-H_2-H_3-H_4-H_5-H_6-H_7-(hnh*(H_1+H_2+H_3+H_4+H_5+H_6+H_7))-(TP*VE*(TCv_3*tCo3_1+TCv_3*tCo3_2+TCv_3*tCo3_3+TCv_3*tCo3_4+TCv_3*tCo3_5+TCv_3*tCo3_6+TCv_3*tCo3_7)))</f>
        <v>#DIV/0!</v>
      </c>
      <c r="BD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H_9*hnh/(TP-H_1-H_2-H_3-H_4-H_5-H_6-H_7-H_8-(hnh*(H_1+H_2+H_3+H_4+H_5+H_6+H_7+H_8))-(TP*VE*(TCv_3*tCo3_1+TCv_3*tCo3_2+TCv_3*tCo3_3+TCv_3*tCo3_4+TCv_3*tCo3_5+TCv_3*tCo3_6+TCv_3*tCo3_7+TCv_3*tCo3_8)))</f>
        <v>#DIV/0!</v>
      </c>
      <c r="BE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H_10*hnh/(TP-H_1-H_2-H_3-H_4-H_5-H_6-H_7-H_8-H_9-(hnh*(H_1+H_2+H_3+H_4+H_5+H_6+H_7+H_8+H_9))-(TP*VE*(TCv_3*tCo3_1+TCv_3*tCo3_2+TCv_3*tCo3_3+TCv_3*tCo3_4+TCv_3*tCo3_5+TCv_3*tCo3_6+TCv_3*tCo3_7+TCv_3*tCo3_8+TCv_3*tCo3_9)))</f>
        <v>#DIV/0!</v>
      </c>
      <c r="BF198" s="103" t="e">
        <f>(TP-H_1-((TP-H_1-(H_1*hnh))*H_2/(TP-H_1-(H_1*hnh)-(TP*TCv_3*tCo3_1*VE)))-((TP-H_1-((TP-H_1-(H_1*hnh))*H_2/(TP-H_1-(H_1*hnh)-(TP*TCv_3*tCo3_1*VE)))-(H_1*hnh)-((TP-H_1-(H_1*hnh))*H_2*hnh/(TP-H_1-(H_1*hnh)-(TP*TCv_3*tCo3_1*VE))))*H_3/(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TP-H_1-H_2-H_3-(hnh*(H_1+H_2+H_3))-(TP*VE*(TCv_3*tCo3_1+TCv_3*tCo3_2+TCv_3*tCo3_3))))-AZ196-BA196-BB196-BC196-BD196-BE196-(H_1*hnh)-((TP-H_1-(H_1*hnh))*H_2*hnh/(TP-H_1-(H_1*hnh)-(TP*TCv_3*tCo3_1*VE)))-((TP-H_1-((TP-H_1-(H_1*hnh))*H_2/(TP-H_1-(H_1*hnh)-(TP*TCv_3*tCo3_1*VE)))-(H_1*hnh)-((TP-H_1-(H_1*hnh))*H_2*hnh/(TP-H_1-(H_1*hnh)-(TP*TCv_3*tCo3_1*VE))))*H_3*hnh/(TP-H_1-H_2-(hnh*(H_1+H_2))-(TP*VE*(TCv_3*tCo3_1+TCv_3*tCo3_2))))-((TP-H_1-((TP-H_1-(H_1*hnh))*H_2/(TP-H_1-(H_1*hnh)-(TP*TCv_3*tCo3_1*VE)))-((TP-H_1-((TP-H_1-(H_1*hnh))*H_2/(TP-H_1-(H_1*hnh)-(TP*TCv_3*tCo3_1*VE)))-(H_1*hnh)-((TP-H_1-(H_1*hnh))*H_2*hnh/(TP-H_1-(H_1*hnh)-(TP*TCv_3*tCo3_1*VE))))*H_3/(TP-H_1-H_2-(hnh*(H_1+H_2))-(TP*VE*(TCv_3*tCo3_1+TCv_3*tCo3_2))))-(H_1*hnh)-((TP-H_1-(H_1*hnh))*H_2*hnh/(TP-H_1-(H_1*hnh)-(TP*TCv_3*tCo3_1*VE)))-((TP-H_1-((TP-H_1-(H_1*hnh))*H_2/(TP-H_1-(H_1*hnh)-(TP*TCv_3*tCo3_1*VE)))-(H_1*hnh)-((TP-H_1-(H_1*hnh))*H_2*hnh/(TP-H_1-(H_1*hnh)-(TP*TCv_3*tCo3_1*VE))))*H_3*hnh/(TP-H_1-H_2-(hnh*(H_1+H_2))-(TP*VE*(TCv_3*tCo3_1+TCv_3*tCo3_2)))))*H_4*hnh/(TP-H_1-H_2-H_3-(hnh*(H_1+H_2+H_3))-(TP*VE*(TCv_3*tCo3_1+TCv_3*tCo3_2+TCv_3*tCo3_3))))-AZ198-BA198-BB198-BC198-BD198-BE198)*H_11*hnh/(TP-H_1-H_2-H_3-H_4-H_5-H_6-H_7-H_8-H_9-H_10-(hnh*(H_1+H_2+H_3+H_4+H_5+H_6+H_7+H_8+H_9+H_10))-(TP*VE*(TCv_3*tCo3_1+TCv_3*tCo3_2+TCv_3*tCo3_3+TCv_3*tCo3_4+TCv_3*tCo3_5+TCv_3*tCo3_6+TCv_3*tCo3_7+TCv_3*tCo3_8+TCv_3*tCo3_9+TCv_3*tCo3_10)))</f>
        <v>#DIV/0!</v>
      </c>
    </row>
    <row r="199" spans="1:58" hidden="1" outlineLevel="1" x14ac:dyDescent="0.25">
      <c r="F199" s="112"/>
    </row>
    <row r="200" spans="1:58" hidden="1" outlineLevel="1" x14ac:dyDescent="0.25"/>
    <row r="201" spans="1:58" collapsed="1" x14ac:dyDescent="0.25"/>
    <row r="202" spans="1:58" s="105" customFormat="1" x14ac:dyDescent="0.25">
      <c r="A202" s="104" t="s">
        <v>307</v>
      </c>
      <c r="B202" s="104"/>
    </row>
    <row r="203" spans="1:58" hidden="1" outlineLevel="1" x14ac:dyDescent="0.25">
      <c r="Q203" s="102" t="s">
        <v>72</v>
      </c>
      <c r="R203" s="102"/>
      <c r="S203" s="102"/>
      <c r="T203" s="102"/>
      <c r="U203" s="102"/>
      <c r="V203" s="102"/>
      <c r="W203" s="102"/>
      <c r="X203" s="102"/>
      <c r="Y203" s="102"/>
      <c r="Z203" s="102"/>
      <c r="AA203" s="102"/>
      <c r="AB203" s="102"/>
      <c r="AC203" s="101" t="s">
        <v>104</v>
      </c>
      <c r="AD203" s="101"/>
      <c r="AE203" s="101"/>
      <c r="AF203" s="101"/>
      <c r="AG203" s="101"/>
      <c r="AH203" s="101"/>
      <c r="AI203" s="101"/>
      <c r="AJ203" s="101"/>
      <c r="AK203" s="101"/>
      <c r="AL203" s="101"/>
      <c r="AM203" s="101"/>
      <c r="AN203" s="101"/>
      <c r="AP203" s="103">
        <v>3</v>
      </c>
      <c r="AQ203" s="103">
        <v>4</v>
      </c>
      <c r="AR203" s="103">
        <v>5</v>
      </c>
      <c r="AS203" s="103">
        <v>6</v>
      </c>
      <c r="AT203" s="103">
        <v>7</v>
      </c>
      <c r="AU203" s="103">
        <v>8</v>
      </c>
      <c r="AV203" s="103">
        <v>9</v>
      </c>
      <c r="AW203" s="103">
        <v>10</v>
      </c>
      <c r="AX203" s="103">
        <v>11</v>
      </c>
      <c r="AZ203" s="103">
        <v>5</v>
      </c>
      <c r="BA203" s="103">
        <v>6</v>
      </c>
      <c r="BB203" s="103">
        <v>7</v>
      </c>
      <c r="BC203" s="103">
        <v>8</v>
      </c>
      <c r="BD203" s="103">
        <v>9</v>
      </c>
      <c r="BE203" s="103">
        <v>10</v>
      </c>
      <c r="BF203" s="103">
        <v>11</v>
      </c>
    </row>
    <row r="204" spans="1:58" ht="28.7" hidden="1" customHeight="1" outlineLevel="1" x14ac:dyDescent="0.25">
      <c r="A204" s="11" t="s">
        <v>47</v>
      </c>
      <c r="B204" s="11"/>
      <c r="C204" s="11"/>
      <c r="D204" s="11"/>
      <c r="E204" s="11"/>
      <c r="F204" s="11"/>
      <c r="G204" s="109" t="s">
        <v>50</v>
      </c>
      <c r="H204" s="109"/>
      <c r="I204" s="110" t="s">
        <v>44</v>
      </c>
      <c r="J204" s="110"/>
      <c r="K204" s="101" t="s">
        <v>58</v>
      </c>
      <c r="L204" s="101"/>
      <c r="M204" s="110" t="s">
        <v>45</v>
      </c>
      <c r="N204" s="110"/>
      <c r="Q204" s="102" t="s">
        <v>1</v>
      </c>
      <c r="R204" s="102"/>
      <c r="S204" s="102"/>
      <c r="T204" s="102"/>
      <c r="U204" s="102"/>
      <c r="V204" s="102"/>
      <c r="W204" s="102"/>
      <c r="X204" s="102"/>
      <c r="Y204" s="102"/>
      <c r="Z204" s="102"/>
      <c r="AA204" s="102"/>
      <c r="AB204" s="102"/>
      <c r="AC204" s="101" t="s">
        <v>71</v>
      </c>
      <c r="AD204" s="101"/>
      <c r="AE204" s="101"/>
      <c r="AF204" s="101"/>
      <c r="AG204" s="101"/>
      <c r="AH204" s="101"/>
      <c r="AI204" s="101"/>
      <c r="AJ204" s="101"/>
      <c r="AK204" s="101"/>
      <c r="AL204" s="101"/>
      <c r="AM204" s="101"/>
      <c r="AN204" s="101"/>
      <c r="AP204" s="103" t="s">
        <v>73</v>
      </c>
      <c r="AQ204" s="103" t="s">
        <v>74</v>
      </c>
      <c r="AR204" s="103" t="s">
        <v>75</v>
      </c>
      <c r="AS204" s="103" t="s">
        <v>76</v>
      </c>
      <c r="AT204" s="103" t="s">
        <v>77</v>
      </c>
      <c r="AU204" s="103" t="s">
        <v>78</v>
      </c>
      <c r="AV204" s="103" t="s">
        <v>79</v>
      </c>
      <c r="AW204" s="103" t="s">
        <v>80</v>
      </c>
      <c r="AX204" s="103" t="s">
        <v>81</v>
      </c>
      <c r="AZ204" s="103" t="s">
        <v>105</v>
      </c>
      <c r="BA204" s="103" t="s">
        <v>91</v>
      </c>
      <c r="BB204" s="103" t="s">
        <v>93</v>
      </c>
      <c r="BC204" s="103" t="s">
        <v>94</v>
      </c>
      <c r="BD204" s="103" t="s">
        <v>95</v>
      </c>
      <c r="BE204" s="103" t="s">
        <v>96</v>
      </c>
      <c r="BF204" s="103" t="s">
        <v>97</v>
      </c>
    </row>
    <row r="205" spans="1:58" ht="45" hidden="1" outlineLevel="1" x14ac:dyDescent="0.25">
      <c r="A205" s="70" t="s">
        <v>40</v>
      </c>
      <c r="B205" s="70" t="s">
        <v>41</v>
      </c>
      <c r="C205" s="70" t="s">
        <v>53</v>
      </c>
      <c r="D205" s="70" t="s">
        <v>48</v>
      </c>
      <c r="E205" s="70" t="s">
        <v>42</v>
      </c>
      <c r="F205" s="76" t="s">
        <v>49</v>
      </c>
      <c r="G205" s="71" t="s">
        <v>51</v>
      </c>
      <c r="H205" s="71" t="s">
        <v>52</v>
      </c>
      <c r="I205" s="72" t="s">
        <v>51</v>
      </c>
      <c r="J205" s="72" t="s">
        <v>52</v>
      </c>
      <c r="K205" s="77" t="s">
        <v>51</v>
      </c>
      <c r="L205" s="77" t="s">
        <v>52</v>
      </c>
      <c r="M205" s="72" t="s">
        <v>51</v>
      </c>
      <c r="N205" s="72" t="s">
        <v>52</v>
      </c>
      <c r="Q205" s="102">
        <v>1</v>
      </c>
      <c r="R205" s="102">
        <v>2</v>
      </c>
      <c r="S205" s="102">
        <v>3</v>
      </c>
      <c r="T205" s="102">
        <v>4</v>
      </c>
      <c r="U205" s="102">
        <v>5</v>
      </c>
      <c r="V205" s="102">
        <v>6</v>
      </c>
      <c r="W205" s="102">
        <v>7</v>
      </c>
      <c r="X205" s="102">
        <v>8</v>
      </c>
      <c r="Y205" s="102">
        <v>9</v>
      </c>
      <c r="Z205" s="102">
        <v>10</v>
      </c>
      <c r="AA205" s="102">
        <v>11</v>
      </c>
      <c r="AB205" s="102">
        <v>12</v>
      </c>
      <c r="AC205" s="101">
        <v>1</v>
      </c>
      <c r="AD205" s="101">
        <v>2</v>
      </c>
      <c r="AE205" s="101">
        <v>3</v>
      </c>
      <c r="AF205" s="101">
        <v>4</v>
      </c>
      <c r="AG205" s="101">
        <v>5</v>
      </c>
      <c r="AH205" s="101">
        <v>6</v>
      </c>
      <c r="AI205" s="101">
        <v>7</v>
      </c>
      <c r="AJ205" s="101">
        <v>8</v>
      </c>
      <c r="AK205" s="101">
        <v>9</v>
      </c>
      <c r="AL205" s="101">
        <v>10</v>
      </c>
      <c r="AM205" s="101">
        <v>11</v>
      </c>
      <c r="AN205" s="101">
        <v>12</v>
      </c>
      <c r="AP205" s="103" t="e">
        <f>((TP-H_1-((TP-H_1-(H_1*hnh)-(TP*TCv_4*tCo3_1*VE))*H_2/(TP-H_1-(H_1*hnh)))-(H_1*hnh)-((TP-H_1-(H_1*hnh)-(TP*TCv_4*tCo3_1*VE))*H_2*hnh/(TP-H_1-(H_1*hnh)))-(TP*TCv_4*tCo3_1*VE)-(TP*TCv_4*tCo3_2*VE))*(H_3/(TP-H_1-H_2-(hnh*(H_1+H_2)))))</f>
        <v>#DIV/0!</v>
      </c>
      <c r="AQ205" s="103" t="e">
        <f>(TP-H_1-((TP-H_1-(H_1*hnh)-(TP*TCv_4*tCo3_1*VE))*H_2/(TP-H_1-(H_1*hnh)))-AP205-(H_1*hnh)-((TP-H_1-(H_1*hnh)-(TP*TCv_4*tCo3_1*VE))*H_2*hnh/(TP-H_1-(H_1*hnh)))-AP207-(TP*TCv_4*tCo3_1*VE)-(TP*TCv_4*tCo3_2*VE)-(TP*TCv_4*tCo3_3*VE))*(H_4/(TP-H_1-H_2-H_3-(hnh*(H_1+H_2+H_3))))</f>
        <v>#DIV/0!</v>
      </c>
      <c r="AR205" s="103" t="e">
        <f>(TP-H_1-((TP-H_1-(H_1*hnh)-(TP*TCv_4*tCo3_1*VE))*H_2/(TP-H_1-(H_1*hnh)))-AP205-AQ205-(H_1*hnh)-((TP-H_1-(H_1*hnh)-(TP*TCv_4*tCo3_1*VE))*H_2*hnh/(TP-H_1-(H_1*hnh)))-AP207-AQ207-(TP*TCv_4*tCo3_1*VE)-(TP*TCv_4*tCo3_2*VE)-(TP*TCv_4*tCo3_3*VE)-(TP*TCv_4*tCo3_4*VE))*(H_5/(TP-H_1-H_2-H_3-H_4-(hnh*(H_1+H_2+H_3+H_4))))</f>
        <v>#DIV/0!</v>
      </c>
      <c r="AS205" s="103" t="e">
        <f>(TP-H_1-((TP-H_1-(H_1*hnh)-(TP*TCv_4*tCo3_1*VE))*H_2/(TP-H_1-(H_1*hnh)))-AP205-AQ205-AR205-(H_1*hnh)-((TP-H_1-(H_1*hnh)-(TP*TCv_4*tCo3_1*VE))*H_2*hnh/(TP-H_1-(H_1*hnh)))-AP207-AQ207-AR207-(TP*TCv_4*tCo3_1*VE)-(TP*TCv_4*tCo3_2*VE)-(TP*TCv_4*tCo3_3*VE)-(TP*TCv_4*tCo3_4*VE)-(TP*TCv_4*tCo3_5*VE))*(H_6/(TP-H_1-H_2-H_3-H_4-H_5-(hnh*(H_1+H_2+H_3+H_4+H_5))))</f>
        <v>#DIV/0!</v>
      </c>
      <c r="AT205" s="103" t="e">
        <f>(TP-H_1-((TP-H_1-(H_1*hnh)-(TP*TCv_4*tCo3_1*VE))*H_2/(TP-H_1-(H_1*hnh)))-AP205-AQ205-AR205-AS205-(H_1*hnh)-((TP-H_1-(H_1*hnh)-(TP*TCv_4*tCo3_1*VE))*H_2*hnh/(TP-H_1-(H_1*hnh)))-AP207-AQ207-AR207-AS207-(TP*TCv_4*tCo3_1*VE)-(TP*TCv_4*tCo3_2*VE)-(TP*TCv_4*tCo3_3*VE)-(TP*TCv_4*tCo3_4*VE)-(TP*TCv_4*tCo3_5*VE)-(TP*TCv_4*tCo3_6*VE))*(H_7/(TP-H_1-H_2-H_3-H_4-H_5-H_6-(hnh*(H_1+H_2+H_3+H_4+H_5+H_6))))</f>
        <v>#DIV/0!</v>
      </c>
      <c r="AU205" s="103" t="e">
        <f>(TP-H_1-((TP-H_1-(H_1*hnh)-(TP*TCv_4*tCo3_1*VE))*H_2/(TP-H_1-(H_1*hnh)))-AP205-AQ205-AR205-AS205-AT205-(H_1*hnh)-((TP-H_1-(H_1*hnh)-(TP*TCv_4*tCo3_1*VE))*H_2*hnh/(TP-H_1-(H_1*hnh)))-AP207-AQ207-AR207-AS207-AT207-(TP*TCv_4*tCo3_1*VE)-(TP*TCv_4*tCo3_2*VE)-(TP*TCv_4*tCo3_3*VE)-(TP*TCv_4*tCo3_4*VE)-(TP*TCv_4*tCo3_5*VE)-(TP*TCv_4*tCo3_6*VE)-(TP*TCv_4*tCo3_7*VE))*(H_8/(TP-H_1-H_2-H_3-H_4-H_5-H_6-H_7-(hnh*(H_1+H_2+H_3+H_4+H_5+H_6+H_7))))</f>
        <v>#DIV/0!</v>
      </c>
      <c r="AV205" s="103" t="e">
        <f>(TP-H_1-((TP-H_1-(H_1*hnh)-(TP*TCv_4*tCo3_1*VE))*H_2/(TP-H_1-(H_1*hnh)))-AP205-AQ205-AR205-AS205-AT205-AU205-(H_1*hnh)-((TP-H_1-(H_1*hnh)-(TP*TCv_4*tCo3_1*VE))*H_2*hnh/(TP-H_1-(H_1*hnh)))-AP207-AQ207-AR207-AS207-AT207-AU207-(TP*TCv_4*tCo3_1*VE)-(TP*TCv_4*tCo3_2*VE)-(TP*TCv_4*tCo3_3*VE)-(TP*TCv_4*tCo3_4*VE)-(TP*TCv_4*tCo3_5*VE)-(TP*TCv_4*tCo3_6*VE)-(TP*TCv_4*tCo3_7*VE)-(TP*TCv_4*tCo3_8*VE))*(H_9/(TP-H_1-H_2-H_3-H_4-H_5-H_6-H_7-H_8-(hnh*(H_1+H_2+H_3+H_4+H_5+H_6+H_7+H_8))))</f>
        <v>#DIV/0!</v>
      </c>
      <c r="AW205" s="103" t="e">
        <f>(TP-H_1-((TP-H_1-(H_1*hnh)-(TP*TCv_4*tCo3_1*VE))*H_2/(TP-H_1-(H_1*hnh)))-AP205-AQ205-AR205-AS205-AT205-AU205-AV205-(H_1*hnh)-((TP-H_1-(H_1*hnh)-(TP*TCv_4*tCo3_1*VE))*H_2*hnh/(TP-H_1-(H_1*hnh)))-AP207-AQ207-AR207-AS207-AT207-AU207-AV207-(TP*TCv_4*tCo3_1*VE)-(TP*TCv_4*tCo3_2*VE)-(TP*TCv_4*tCo3_3*VE)-(TP*TCv_4*tCo3_4*VE)-(TP*TCv_4*tCo3_5*VE)-(TP*TCv_4*tCo3_6*VE)-(TP*TCv_4*tCo3_7*VE)-(TP*TCv_4*tCo3_8*VE)-(TP*TCv_4*tCo3_9*VE))*(H_10/(TP-H_1-H_2-H_3-H_4-H_5-H_6-H_7-H_8-H_9-(hnh*(H_1+H_2+H_3+H_4+H_5+H_6+H_7+H_8+H_9))))</f>
        <v>#DIV/0!</v>
      </c>
      <c r="AX205" s="103" t="e">
        <f>(TP-H_1-((TP-H_1-(H_1*hnh)-(TP*TCv_4*tCo3_1*VE))*H_2/(TP-H_1-(H_1*hnh)))-AP205-AQ205-AR205-AS205-AT205-AU205-AV205-AW205-(H_1*hnh)-((TP-H_1-(H_1*hnh)-(TP*TCv_4*tCo3_1*VE))*H_2*hnh/(TP-H_1-(H_1*hnh)))-AP207-AQ207-AR207-AS207-AT207-AU207-AV207-AW207-(TP*TCv_4*tCo3_1*VE)-(TP*TCv_4*tCo3_2*VE)-(TP*TCv_4*tCo3_3*VE)-(TP*TCv_4*tCo3_4*VE)-(TP*TCv_4*tCo3_5*VE)-(TP*TCv_4*tCo3_6*VE)-(TP*TCv_4*tCo3_7*VE)-(TP*TCv_4*tCo3_8*VE)-(TP*TCv_4*tCo3_9*VE)-(TP*TCv_4*tCo3_10*VE))*(H_11/(TP-H_1-H_2-H_3-H_4-H_5-H_6-H_7-H_8-H_9-H_10-(hnh*(H_1+H_2+H_3+H_4+H_5+H_6+H_7+H_8+H_9+H_10))))</f>
        <v>#DIV/0!</v>
      </c>
      <c r="AZ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H_5/(TP-H_1-H_2-H_3-H_4-(hnh*(H_1+H_2+H_3+H_4))-(TP*VE*(TCv_4*tCo3_1+TCv_4*tCo3_2+TCv_4*tCo3_3+TCv_4*tCo3_4)))</f>
        <v>#DIV/0!</v>
      </c>
      <c r="BA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H_6/(TP-H_1-H_2-H_3-H_4-H_5-(hnh*(H_1+H_2+H_3+H_4+H_5))-(TP*VE*(TCv_4*tCo3_1+TCv_4*tCo3_2+TCv_4*tCo3_3+TCv_4*tCo3_4+TCv_4*tCo3_5)))</f>
        <v>#DIV/0!</v>
      </c>
      <c r="BB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H_7/(TP-H_1-H_2-H_3-H_4-H_5-H_6-(hnh*(H_1+H_2+H_3+H_4+H_5+H_6))-(TP*VE*(TCv_4*tCo3_1+TCv_4*tCo3_2+TCv_4*tCo3_3+TCv_4*tCo3_4+TCv_4*tCo3_5+TCv_4*tCo3_6)))</f>
        <v>#DIV/0!</v>
      </c>
      <c r="BC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H_8/(TP-H_1-H_2-H_3-H_4-H_5-H_6-H_7-(hnh*(H_1+H_2+H_3+H_4+H_5+H_6+H_7))-(TP*VE*(TCv_4*tCo3_1+TCv_4*tCo3_2+TCv_4*tCo3_3+TCv_4*tCo3_4+TCv_4*tCo3_5+TCv_4*tCo3_6+TCv_4*tCo3_7)))</f>
        <v>#DIV/0!</v>
      </c>
      <c r="BD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H_9/(TP-H_1-H_2-H_3-H_4-H_5-H_6-H_7-H_8-(hnh*(H_1+H_2+H_3+H_4+H_5+H_6+H_7+H_8))-(TP*VE*(TCv_4*tCo3_1+TCv_4*tCo3_2+TCv_4*tCo3_3+TCv_4*tCo3_4+TCv_4*tCo3_5+TCv_4*tCo3_6+TCv_4*tCo3_7+TCv_4*tCo3_8)))</f>
        <v>#DIV/0!</v>
      </c>
      <c r="BE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H_10/(TP-H_1-H_2-H_3-H_4-H_5-H_6-H_7-H_8-H_9-(hnh*(H_1+H_2+H_3+H_4+H_5+H_6+H_7+H_8+H_9))-(TP*VE*(TCv_4*tCo3_1+TCv_4*tCo3_2+TCv_4*tCo3_3+TCv_4*tCo3_4+TCv_4*tCo3_5+TCv_4*tCo3_6+TCv_4*tCo3_7+TCv_4*tCo3_8+TCv_4*tCo3_9)))</f>
        <v>#DIV/0!</v>
      </c>
      <c r="BF205"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H_11/(TP-H_1-H_2-H_3-H_4-H_5-H_6-H_7-H_8-H_9-H_10-(hnh*(H_1+H_2+H_3+H_4+H_5+H_6+H_7+H_8+H_9+H_10))-(TP*VE*(TCv_4*tCo3_1+TCv_4*tCo3_2+TCv_4*tCo3_3+TCv_4*tCo3_4+TCv_4*tCo3_5+TCv_4*tCo3_6+TCv_4*tCo3_7+TCv_4*tCo3_8+TCv_4*tCo3_9+TCv_4*tCo3_10)))</f>
        <v>#DIV/0!</v>
      </c>
    </row>
    <row r="206" spans="1:58" hidden="1" outlineLevel="1" x14ac:dyDescent="0.25">
      <c r="A206" s="73">
        <f>season</f>
        <v>0</v>
      </c>
      <c r="B206" s="73">
        <f>TG</f>
        <v>0</v>
      </c>
      <c r="C206" s="73">
        <f>TP</f>
        <v>0</v>
      </c>
      <c r="D206" s="74">
        <f>TCv</f>
        <v>0</v>
      </c>
      <c r="E206" s="75">
        <f>VE</f>
        <v>0</v>
      </c>
      <c r="F206" s="78" t="e">
        <f>G206/IF(mb=1,SUM(AC206:AN206),IF(mb=2,SUM(AD206:AN206),IF(mb=3,SUM(AE206:AN206),IF(mb=4,SUM(AF206:AN206),IF(mb=5,SUM(AG206:AN206),IF(mb=6,SUM(AH206:AN206),IF(mb=7,SUM(AI206:AN206),IF(mb=8,SUM(AJ206:AN206),0))))))))</f>
        <v>#DIV/0!</v>
      </c>
      <c r="G206" s="42">
        <f>IF(mb=1,SUM(AC206:AN206)-SUM(Q206:AB206),IF(mb=2,SUM(AD206:AN206)-SUM(R206:AB206),IF(mb=3,SUM(AE206:AN206)-SUM(S206:AB206),IF(mb=4,SUM(AF206:AN206)-SUM(T206:AB206),IF(mb=5,SUM(AG206:AN206)-SUM(U206:AB206),IF(mb=6,SUM(AH206:AN206)-SUM(V206:AB206),IF(mb=7,SUM(AI206:AN206)-SUM(W206:AB206),IF(mb=8,SUM(AJ206:AN206)-SUM(X206:AB206),0))))))))</f>
        <v>0</v>
      </c>
      <c r="H206" s="96" t="e">
        <f>1/(VE*IF(mb=1,SUM(AC206:AN206),IF(mb=2,SUM(AD206:AN206),IF(mb=3,SUM(AE206:AN206),IF(mb=4,SUM(AF206:AN206),IF(mb=5,SUM(AG206:AN206),IF(mb=6,SUM(AH206:AN206),IF(mb=7,SUM(AI206:AN206),IF(mb=8,SUM(AJ206:AN206),0))))))))/TP)</f>
        <v>#DIV/0!</v>
      </c>
      <c r="I206" s="93" t="e">
        <f>G206/hnh</f>
        <v>#DIV/0!</v>
      </c>
      <c r="J206" s="42" t="e">
        <f>1/(VE*IF(mb=1,SUM(AC206:AN206),IF(mb=2,SUM(AD206:AN206),IF(mb=3,SUM(AE206:AN206),IF(mb=4,SUM(AF206:AN206),IF(mb=5,SUM(AG206:AN206),IF(mb=6,SUM(AH206:AN206),IF(mb=7,SUM(AI206:AN206),IF(mb=8,SUM(AJ206:AN206),0))))))))/(TP*hnh))</f>
        <v>#DIV/0!</v>
      </c>
      <c r="K206" s="42" t="e">
        <f>M206*mai</f>
        <v>#DIV/0!</v>
      </c>
      <c r="L206" s="42" t="e">
        <f>1/(VE*((IF(mb=1,SUM(AC206:AN206),IF(mb=2,SUM(AD206:AN206),IF(mb=3,SUM(AE206:AN206),IF(mb=4,SUM(AF206:AN206),IF(mb=5,SUM(AG206:AN206),IF(mb=6,SUM(AH206:AN206),IF(mb=7,SUM(AI206:AN206),IF(mb=8,SUM(AJ206:AN206),0))))))))+(IF(mb=1,SUM(AC206:AN206),IF(mb=2,SUM(AD206:AN206),IF(mb=3,SUM(AE206:AN206),IF(mb=4,SUM(AF206:AN206),IF(mb=5,SUM(AG206:AN206),IF(mb=6,SUM(AH206:AN206),IF(mb=7,SUM(AI206:AN206),IF(mb=8,SUM(AJ206:AN206),0)))))))))/hnh)*mai)/TP)</f>
        <v>#DIV/0!</v>
      </c>
      <c r="M206" s="42" t="e">
        <f>G206+I206</f>
        <v>#DIV/0!</v>
      </c>
      <c r="N206" s="42" t="e">
        <f>1/(VE*(IF(mb=1,SUM(AC206:AN206),IF(mb=2,SUM(AD206:AN206),IF(mb=3,SUM(AE206:AN206),IF(mb=4,SUM(AF206:AN206),IF(mb=5,SUM(AG206:AN206),IF(mb=6,SUM(AH206:AN206),IF(mb=7,SUM(AI206:AN206),IF(mb=8,SUM(AJ206:AN206),0))))))))+(IF(mb=1,SUM(AC206:AN206),IF(mb=2,SUM(AD206:AN206),IF(mb=3,SUM(AE206:AN206),IF(mb=4,SUM(AF206:AN206),IF(mb=5,SUM(AG206:AN206),IF(mb=6,SUM(AH206:AN206),IF(mb=7,SUM(AI206:AN206),IF(mb=8,SUM(AJ206:AN206),0)))))))))/hnh)/TP)</f>
        <v>#DIV/0!</v>
      </c>
      <c r="Q206" s="86" t="e">
        <f>IF(ISc=1,nh1_1,IF(ISc=2,H_1*hnh,0))</f>
        <v>#DIV/0!</v>
      </c>
      <c r="R206" s="111" t="e">
        <f>IF(ScI=1,((nh1_2/(TP-(nh1_1/hnh)-nh1_1))*(TP-(nh1_1/hnh)-nh1_1-(TP*TCv_4*tCo3_1*VE))),IF(ScI=2,(TP-H_1-(H_1*hnh)-(TP*TCv_4*tCo3_1*VE))*(H_2*hnh/(TP-H_1-(H_1*hnh))),"fal"))</f>
        <v>#DIV/0!</v>
      </c>
      <c r="S206" s="137" t="e">
        <f>IF(ScI=1,(nh1_3/(TP-((nh1_1+nh1_2)/hnh)-nh1_1-nh1_2))*(TP-(nh1_1/hnh)-(R206/hnh)-nh1_1-R206-(TP*VE*(TCv_4*tCo3_1+TCv_4*tCo3_2))),IF(ScI=2,(TP-H_1-((TP-H_1-(H_1*hnh)-(TP*TCv_4*tCo3_1*VE))*H_2/(TP-H_1-(H_1*hnh)))-(H_1*hnh)-((TP-H_1-(H_1*hnh)-(TP*TCv_4*tCo3_1*VE))*H_2*hnh/(TP-H_1-(H_1*hnh)))-(TP*TCv_4*tCo3_1*VE)-(TP*TCv_4*tCo3_2*VE))*(H_3*hnh/(TP-H_1-H_2-(hnh*(H_1+H_2)))),0))</f>
        <v>#DIV/0!</v>
      </c>
      <c r="T206" s="86" t="e">
        <f>IF(ScI=1,(nh1_4/(TP-(nh1_1/hnh)-(nh1_2/hnh)-(nh1_3/hnh)-nh1_1-nh1_2-nh1_3))*(TP-(nh1_1/hnh)-(R206/hnh)-(S206/hnh)-nh1_1-R206-S206-(TP*VE*(TCv_4*tCo3_1+TCv_4*tCo3_2+TCv_4*tCo3_3))),IF(ScI=2,(TP-H_1-((TP-H_1-(H_1*hnh)-(TP*TCv_4*tCo3_1*VE))*H_2/(TP-H_1-(H_1*hnh)))-((TP-H_1-(((TP-H_1-(H_1*hnh)-(TP*TCv_4*tCo3_1*VE))*H_2/(TP-H_1-(H_1*hnh))))-(H_1*hnh)-((TP-H_1-(H_1*hnh)-(TP*TCv_4*tCo3_1*VE))*H_2*hnh/(TP-H_1-(H_1*hnh)))-(TP*TCv_4*tCo3_1*VE)-(TP*TCv_4*tCo3_2*VE))*(H_3/(TP-H_1-H_2-(hnh*(H_1+H_2)))))-(H_1*hnh)-((TP-H_1-(H_1*hnh)-(TP*TCv_4*tCo3_1*VE))*H_2*hnh/(TP-H_1-(H_1*hnh)))-((TP-H_1-(((TP-H_1-(H_1*hnh)-(TP*TCv_4*tCo3_1*VE))*H_2/(TP-H_1-(H_1*hnh))))-(H_1*hnh)-(((TP-H_1-(H_1*hnh)-(TP*TCv_4*tCo3_1*VE))*H_2*hnh/(TP-H_1-(H_1*hnh))))-(TP*TCv_4*tCo3_1*VE)-(TP*TCv_4*tCo3_2*VE))*(H_3*hnh/(TP-H_1-H_2-(hnh*(H_1+H_2)))))-(TP*TCv_4*tCo3_1*VE)-(TP*TCv_4*tCo3_2*VE)-(TP*TCv_4*tCo3_3*VE))*(H_4*hnh/(TP-H_1-H_2-H_3-(hnh*(H_1+H_2+H_3)))),0))</f>
        <v>#DIV/0!</v>
      </c>
      <c r="U206" s="86" t="e">
        <f>IF(ScI=1,(nh1_5/(TP-(nh1_1/hnh)-(nh1_2/hnh)-(nh1_3/hnh)-(nh1_4/hnh)-nh1_1-nh1_2-nh1_3-nh1_4))*(TP-(nh1_1/hnh)-(R206/hnh)-(S206/hnh)-(T206/hnh)-nh1_1-R206-S206-T206-(TP*VE*(TCv_4*tCo3_1+TCv_4*tCo3_2+TCv_4*tCo3_3+TCv_4*tCo3_4))),IF(ScI=2,(TP-H_1-(((TP-H_1-(H_1*hnh)-(TP*TCv_4*tCo3_1*VE))*H_2/(TP-H_1-(H_1*hnh))))-AP205-AQ205-(H_1*hnh)-((TP-H_1-(H_1*hnh)-(TP*TCv_4*tCo3_1*VE))*H_2*hnh/(TP-H_1-(H_1*hnh)))-AP207-AQ207-(TP*TCv_4*tCo3_1*VE)-(TP*TCv_4*tCo3_2*VE)-(TP*TCv_4*tCo3_3*VE)-(TP*TCv_4*tCo3_4*VE))*(H_5*hnh/(TP-H_1-H_2-H_3-H_4-(hnh*(H_1+H_2+H_3+H_4)))),0))</f>
        <v>#DIV/0!</v>
      </c>
      <c r="V206" s="86" t="e">
        <f>IF(ScI=1,(nh1_6/(TP-(nh1_1/hnh)-(nh1_2/hnh)-(nh1_3/hnh)-(nh1_4/hnh)-(nh1_5/hnh)-nh1_1-nh1_2-nh1_3-nh1_4-nh1_5))*(TP-(nh1_1/hnh)-(R206/hnh)-(S206/hnh)-(T206/hnh)-(U206/hnh)-nh1_1-R206-S206-T206-U206-(TP*VE*(TCv_4*tCo3_1+TCv_4*tCo3_2+TCv_4*tCo3_3+TCv_4*tCo3_4+TCv_4*tCo3_5))),IF(ScI=2,(TP-H_1-((TP-H_1-(H_1*hnh)-(TP*TCv_4*tCo3_1*VE))*H_2/(TP-H_1-(H_1*hnh)))-AP205-AQ205-AR205-(H_1*hnh)-((TP-H_1-(H_1*hnh)-(TP*TCv_4*tCo3_1*VE))*H_2*hnh/(TP-H_1-(H_1*hnh)))-AP207-AQ207-AR207-(TP*TCv_4*tCo3_1*VE)-(TP*TCv_4*tCo3_2*VE)-(TP*TCv_4*tCo3_3*VE)-(TP*TCv_4*tCo3_4*VE)-(TP*TCv_4*tCo3_5*VE))*(H_6*hnh/(TP-H_1-H_2-H_3-H_4-H_5-(hnh*(H_1+H_2+H_3+H_4+H_5)))),0))</f>
        <v>#DIV/0!</v>
      </c>
      <c r="W206" s="86" t="e">
        <f>IF(ScI=1,(nh1_7/(TP-(nh1_1/hnh)-(nh1_2/hnh)-(nh1_3/hnh)-(nh1_4/hnh)-(nh1_5/hnh)-(nh1_6/hnh)-nh1_1-nh1_2-nh1_3-nh1_4-nh1_5-nh1_6))*(TP-(nh1_1/hnh)-(R206/hnh)-(S206/hnh)-(T206/hnh)-(U206/hnh)-(V206/hnh)-nh1_1-R206-S206-T206-U206-V206-(TP*VE*(TCv_4*tCo3_1+TCv_4*tCo3_2+TCv_4*tCo3_3+TCv_4*tCo3_4+TCv_4*tCo3_5+TCv_4*tCo3_6))),IF(ScI=2,(TP-H_1-((TP-H_1-(H_1*hnh)-(TP*TCv_4*tCo3_1*VE))*H_2/(TP-H_1-(H_1*hnh)))-AP205-AQ205-AR205-AS205-(H_1*hnh)-((TP-H_1-(H_1*hnh)-(TP*TCv_4*tCo3_1*VE))*H_2*hnh/(TP-H_1-(H_1*hnh)))-AP207-AQ207-AR207-AS207-(TP*TCv_4*tCo3_1*VE)-(TP*TCv_4*tCo3_2*VE)-(TP*TCv_4*tCo3_3*VE)-(TP*TCv_4*tCo3_4*VE)-(TP*TCv_4*tCo3_5*VE)-(TP*TCv_4*tCo3_6*VE))*(H_7*hnh/(TP-H_1-H_2-H_3-H_4-H_5-H_6-(hnh*(H_1+H_2+H_3+H_4+H_5+H_6)))),0))</f>
        <v>#DIV/0!</v>
      </c>
      <c r="X206" s="86" t="e">
        <f>IF(ScI=1,(nh1_8/(TP-(nh1_1/hnh)-(nh1_2/hnh)-(nh1_3/hnh)-(nh1_4/hnh)-(nh1_5/hnh)-(nh1_6/hnh)-(nh1_7/hnh)-nh1_1-nh1_2-nh1_3-nh1_4-nh1_5-nh1_6-nh1_7))*(TP-(nh1_1/hnh)-(R206/hnh)-(S206/hnh)-(T206/hnh)-(U206/hnh)-(V206/hnh)-(W206/hnh)-nh1_1-R206-S206-T206-U206-V206-W206-(TP*VE*(TCv_4*tCo3_1+TCv_4*tCo3_2+TCv_4*tCo3_3+TCv_4*tCo3_4+TCv_4*tCo3_5+TCv_4*tCo3_6+TCv_4*tCo3_7))),IF(ScI=2,(TP-H_1-((TP-H_1-(H_1*hnh)-(TP*TCv_4*tCo3_1*VE))*H_2/(TP-H_1-(H_1*hnh)))-AP205-AQ205-AR205-AS205-AT205-(H_1*hnh)-((TP-H_1-(H_1*hnh)-(TP*TCv_4*tCo3_1*VE))*H_2*hnh/(TP-H_1-(H_1*hnh)))-AP207-AQ207-AR207-AS207-AT207-(TP*TCv_4*tCo3_1*VE)-(TP*TCv_4*tCo3_2*VE)-(TP*TCv_4*tCo3_3*VE)-(TP*TCv_4*tCo3_4*VE)-(TP*TCv_4*tCo3_5*VE)-(TP*TCv_4*tCo3_6*VE)-(TP*TCv_4*tCo3_7*VE))*(H_8*hnh/(TP-H_1-H_2-H_3-H_4-H_5-H_6-H_7-(hnh*(H_1+H_2+H_3+H_4+H_5+H_6+H_7)))),0))</f>
        <v>#DIV/0!</v>
      </c>
      <c r="Y206" s="86" t="e">
        <f>IF(ScI=1,(nh1_9/(TP-(nh1_1/hnh)-(nh1_2/hnh)-(nh1_3/hnh)-(nh1_4/hnh)-(nh1_5/hnh)-(nh1_6/hnh)-(nh1_7/hnh)-(nh1_8/hnh)-nh1_1-nh1_2-nh1_3-nh1_4-nh1_5-nh1_6-nh1_7-nh1_8))*(TP-(nh1_1/hnh)-(R206/hnh)-(S206/hnh)-(T206/hnh)-(U206/hnh)-(V206/hnh)-(W206/hnh)-(X206/hnh)-nh1_1-R206-S206-T206-U206-V206-W206-X206-(TP*VE*(TCv_4*tCo3_1+TCv_4*tCo3_2+TCv_4*tCo3_3+TCv_4*tCo3_4+TCv_4*tCo3_5+TCv_4*tCo3_6+TCv_4*tCo3_7+TCv_4*tCo3_8))),IF(ScI=2,(TP-H_1-((TP-H_1-(H_1*hnh)-(TP*TCv_4*tCo3_1*VE))*H_2/(TP-H_1-(H_1*hnh)))-AP205-AQ205-AR205-AS205-AT205-AU205-(H_1*hnh)-((TP-H_1-(H_1*hnh)-(TP*TCv_4*tCo3_1*VE))*H_2*hnh/(TP-H_1-(H_1*hnh)))-AP207-AQ207-AR207-AS207-AT207-AU207-(TP*TCv_4*tCo3_1*VE)-(TP*TCv_4*tCo3_2*VE)-(TP*TCv_4*tCo3_3*VE)-(TP*TCv_4*tCo3_4*VE)-(TP*TCv_4*tCo3_5*VE)-(TP*TCv_4*tCo3_6*VE)-(TP*TCv_4*tCo3_7*VE)-(TP*TCv_4*tCo3_8*VE))*(H_9*hnh/(TP-H_1-H_2-H_3-H_4-H_5-H_6-H_7-H_8-(hnh*(H_1+H_2+H_3+H_4+H_5+H_6+H_7+H_8)))),0))</f>
        <v>#DIV/0!</v>
      </c>
      <c r="Z206" s="86" t="e">
        <f>IF(ScI=1,(nh1_10/(TP-(nh1_1/hnh)-(nh1_2/hnh)-(nh1_3/hnh)-(nh1_4/hnh)-(nh1_5/hnh)-(nh1_6/hnh)-(nh1_7/hnh)-(nh1_8/hnh)-(nh1_9/hnh)-nh1_1-nh1_2-nh1_3-nh1_4-nh1_5-nh1_6-nh1_7-nh1_8-nh1_9))*(TP-(nh1_1/hnh)-(R206/hnh)-(S206/hnh)-(T206/hnh)-(U206/hnh)-(V206/hnh)-(W206/hnh)-(X206/hnh)-(Y206/hnh)-nh1_1-R206-S206-T206-U206-V206-W206-X206-Y206-(TP*VE*(TCv_4*tCo3_1+TCv_4*tCo3_2+TCv_4*tCo3_3+TCv_4*tCo3_4+TCv_4*tCo3_5+TCv_4*tCo3_6+TCv_4*tCo3_7+TCv_4*tCo3_8+TCv_4*tCo3_9))),IF(ScI=2,(TP-H_1-((TP-H_1-(H_1*hnh)-(TP*TCv_4*tCo3_1*VE))*H_2/(TP-H_1-(H_1*hnh)))-AP205-AQ205-AR205-AS205-AT205-AU205-AV205-(H_1*hnh)-((TP-H_1-(H_1*hnh)-(TP*TCv_4*tCo3_1*VE))*H_2*hnh/(TP-H_1-(H_1*hnh)))-AP207-AQ207-AR207-AS207-AT207-AU207-AV207-(TP*TCv_4*tCo3_1*VE)-(TP*TCv_4*tCo3_2*VE)-(TP*TCv_4*tCo3_3*VE)-(TP*TCv_4*tCo3_4*VE)-(TP*TCv_4*tCo3_5*VE)-(TP*TCv_4*tCo3_6*VE)-(TP*TCv_4*tCo3_7*VE)-(TP*TCv_4*tCo3_8*VE)-(TP*TCv_4*tCo3_9*VE))*(H_10*hnh/(TP-H_1-H_2-H_3-H_4-H_5-H_6-H_7-H_8-H_9-(hnh*(H_1+H_2+H_3+H_4+H_5+H_6+H_7+H_8+H_9)))),0))</f>
        <v>#DIV/0!</v>
      </c>
      <c r="AA206" s="86" t="e">
        <f>IF(ScI=1,(nh1_11/(TP-(nh1_1/hnh)-(nh1_2/hnh)-(nh1_3/hnh)-(nh1_4/hnh)-(nh1_5/hnh)-(nh1_6/hnh)-(nh1_7/hnh)-(nh1_8/hnh)-(nh1_9/hnh)-(nh1_10/hnh)-nh1_1-nh1_2-nh1_3-nh1_4-nh1_5-nh1_6-nh1_7-nh1_8-nh1_9-nh1_10))*(TP-(nh1_1/hnh)-(R206/hnh)-(S206/hnh)-(T206/hnh)-(U206/hnh)-(V206/hnh)-(W206/hnh)-(X206/hnh)-(Y206/hnh)-(Z206/hnh)-nh1_1-R206-S206-T206-U206-V206-W206-X206-Y206-Z206-(TP*VE*(TCv_4*tCo3_1+TCv_4*tCo3_2+TCv_4*tCo3_3+TCv_4*tCo3_4+TCv_4*tCo3_5+TCv_4*tCo3_6+TCv_4*tCo3_7+TCv_4*tCo3_8+TCv_4*tCo3_9+TCv_4*tCo3_10))),IF(ScI=2,(TP-H_1-((TP-H_1-(H_1*hnh)-(TP*TCv_4*tCo3_1*VE))*H_2/(TP-H_1-(H_1*hnh)))-AP205-AQ205-AR205-AS205-AT205-AU205-AV205-AW205-(H_1*hnh)-((TP-H_1-(H_1*hnh)-(TP*TCv_4*tCo3_1*VE))*H_2*hnh/(TP-H_1-(H_1*hnh)))-AP207-AQ207-AR207-AS207-AT207-AU207-AV207-AW207-(TP*TCv_4*tCo3_1*VE)-(TP*TCv_4*tCo3_2*VE)-(TP*TCv_4*tCo3_3*VE)-(TP*TCv_4*tCo3_4*VE)-(TP*TCv_4*tCo3_5*VE)-(TP*TCv_4*tCo3_6*VE)-(TP*TCv_4*tCo3_7*VE)-(TP*TCv_4*tCo3_8*VE)-(TP*TCv_4*tCo3_9*VE)-(TP*TCv_4*tCo3_10*VE))*(H_11*hnh/(TP-H_1-H_2-H_3-H_4-H_5-H_6-H_7-H_8-H_9-H_10-(hnh*(H_1+H_2+H_3+H_4+H_5+H_6+H_7+H_8+H_9+H_10)))),0))</f>
        <v>#DIV/0!</v>
      </c>
      <c r="AB206" s="86" t="e">
        <f>IF(ScI=1,(nh1_12/(TP-(nh1_1/hnh)-(nh1_2/hnh)-(nh1_3/hnh)-(nh1_4/hnh)-(nh1_5/hnh)-(nh1_6/hnh)-(nh1_7/hnh)-(nh1_8/hnh)-(nh1_9/hnh)-(nh1_10/hnh)-(nh1_11/hnh)-nh1_1-nh1_2-nh1_3-nh1_4-nh1_5-nh1_6-nh1_7-nh1_8-nh1_9-nh1_10-nh1_11))*(TP-(nh1_1/hnh)-(R206/hnh)-(S206/hnh)-(T206/hnh)-(U206/hnh)-(V206/hnh)-(W206/hnh)-(X206/hnh)-(Y206/hnh)-(Z206/hnh)-(AA206/hnh)-nh1_1-R206-S206-T206-U206-V206-W206-X206-Y206-Z206-AA206-(TP*VE*(TCv_4*tCo3_1+TCv_4*tCo3_2+TCv_4*tCo3_3+TCv_4*tCo3_4+TCv_4*tCo3_5+TCv_4*tCo3_6+TCv_4*tCo3_7+TCv_4*tCo3_8+TCv_4*tCo3_9+TCv_4*tCo3_10+TCv_4*tCo3_11))),IF(ScI=2,(TP-H_1-((TP-H_1-(H_1*hnh)-(TP*TCv_4*tCo3_1*VE))*H_2/(TP-H_1-(H_1*hnh)))-AP205-AQ205-AR205-AS205-AT205-AU205-AV205-AW205-AX205-(H_1*hnh)-((TP-H_1-(H_1*hnh)-(TP*TCv_4*tCo3_1*VE))*H_2*hnh/(TP-H_1-(H_1*hnh)))-AP207-AQ207-AR207-AS207-AT207-AU207-AV207-AW207-AX207-(TP*TCv_4*tCo3_1*VE)-(TP*TCv_4*tCo3_2*VE)-(TP*TCv_4*tCo3_3*VE)-(TP*TCv_4*tCo3_4*VE)-(TP*TCv_4*tCo3_5*VE)-(TP*TCv_4*tCo3_6*VE)-(TP*TCv_4*tCo3_7*VE)-(TP*TCv_4*tCo3_8*VE)-(TP*TCv_4*tCo3_9*VE)-(TP*TCv_4*tCo3_10*VE)-(TP*TCv_4*tCo3_11*VE))*(H_12*hnh/(TP-H_1-H_2-H_3-H_4-H_5-H_6-H_7-H_8-H_9-H_10-H_11-(hnh*(H_1+H_2+H_3+H_4+H_5+H_6+H_7+H_8+H_9+H_10+H_11)))),0))</f>
        <v>#DIV/0!</v>
      </c>
      <c r="AC206" s="88">
        <f>IF(ScI=1,H_1*hnh,IF(ScI=2,H_1*hnh,0))</f>
        <v>0</v>
      </c>
      <c r="AD206" s="88" t="e">
        <f>IF(ScI=1,(TP-H_1-(H_1*hnh))*H_2*hnh/(TP-H_1-(H_1*hnh)-(TP*TCv_4*tCo3_1*VE)),IF(ScI=2,H_2*hnh,0))</f>
        <v>#DIV/0!</v>
      </c>
      <c r="AE206" s="88" t="e">
        <f>IF(ScI=1,(TP-H_1-((TP-H_1-(H_1*hnh))*H_2/(TP-H_1-(H_1*hnh)-(TP*TCv_4*tCo3_1*VE)))-(H_1*hnh)-((TP-H_1-(H_1*hnh))*H_2*hnh/(TP-H_1-(H_1*hnh)-(TP*TCv_4*tCo3_1*VE))))*H_3*hnh/(TP-H_1-H_2-(hnh*(H_1+H_2))-(TP*VE*(TCv_4*tCo3_1+TCv_4*tCo3_2))),IF(ScI=2,H_3*hnh,0))</f>
        <v>#DIV/0!</v>
      </c>
      <c r="AF206" s="88" t="e">
        <f>IF(ScI=1,(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IF(ScI=2,H_4*hnh,0))</f>
        <v>#DIV/0!</v>
      </c>
      <c r="AG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H_5*hnh/(TP-H_1-H_2-H_3-H_4-(hnh*(H_1+H_2+H_3+H_4))-(TP*VE*(TCv_4*tCo3_1+TCv_4*tCo3_2+TCv_4*tCo3_3+TCv_4*tCo3_4))),IF(ScI=2,H_5*hnh,0))</f>
        <v>#DIV/0!</v>
      </c>
      <c r="AH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H_6*hnh/(TP-H_1-H_2-H_3-H_4-H_5-(hnh*(H_1+H_2+H_3+H_4+H_5))-(TP*VE*(TCv_4*tCo3_1+TCv_4*tCo3_2+TCv_4*tCo3_3+TCv_4*tCo3_4+TCv_4*tCo3_5))),IF(ScI=2,H_6*hnh,0))</f>
        <v>#DIV/0!</v>
      </c>
      <c r="AI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H_7*hnh/(TP-H_1-H_2-H_3-H_4-H_5-H_6-(hnh*(H_1+H_2+H_3+H_4+H_5+H_6))-(TP*VE*(TCv_4*tCo3_1+TCv_4*tCo3_2+TCv_4*tCo3_3+TCv_4*tCo3_4+TCv_4*tCo3_5+TCv_4*tCo3_6))),IF(ScI=2,H_7*hnh,0))</f>
        <v>#DIV/0!</v>
      </c>
      <c r="AJ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H_8*hnh/(TP-H_1-H_2-H_3-H_4-H_5-H_6-H_7-(hnh*(H_1+H_2+H_3+H_4+H_5+H_6+H_7))-(TP*VE*(TCv_4*tCo3_1+TCv_4*tCo3_2+TCv_4*tCo3_3+TCv_4*tCo3_4+TCv_4*tCo3_5+TCv_4*tCo3_6+TCv_4*tCo3_7))),IF(ScI=2,H_8*hnh,0))</f>
        <v>#DIV/0!</v>
      </c>
      <c r="AK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H_9*hnh/(TP-H_1-H_2-H_3-H_4-H_5-H_6-H_7-H_8-(hnh*(H_1+H_2+H_3+H_4+H_5+H_6+H_7+H_8))-(TP*VE*(TCv_4*tCo3_1+TCv_4*tCo3_2+TCv_4*tCo3_3+TCv_4*tCo3_4+TCv_4*tCo3_5+TCv_4*tCo3_6+TCv_4*tCo3_7+TCv_4*tCo3_8))),IF(ScI=2,H_9*hnh,0))</f>
        <v>#DIV/0!</v>
      </c>
      <c r="AL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H_10*hnh/(TP-H_1-H_2-H_3-H_4-H_5-H_6-H_7-H_8-H_9-(hnh*(H_1+H_2+H_3+H_4+H_5+H_6+H_7+H_8+H_9))-(TP*VE*(TCv_4*tCo3_1+TCv_4*tCo3_2+TCv_4*tCo3_3+TCv_4*tCo3_4+TCv_4*tCo3_5+TCv_4*tCo3_6+TCv_4*tCo3_7+TCv_4*tCo3_8+TCv_4*tCo3_9))),IF(ScI=2,H_10*hnh,0))</f>
        <v>#DIV/0!</v>
      </c>
      <c r="AM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H_11*hnh/(TP-H_1-H_2-H_3-H_4-H_5-H_6-H_7-H_8-H_9-H_10-(hnh*(H_1+H_2+H_3+H_4+H_5+H_6+H_7+H_8+H_9+H_10))-(TP*VE*(TCv_4*tCo3_1+TCv_4*tCo3_2+TCv_4*tCo3_3+TCv_4*tCo3_4+TCv_4*tCo3_5+TCv_4*tCo3_6+TCv_4*tCo3_7+TCv_4*tCo3_8+TCv_4*tCo3_9+TCv_4*tCo3_10))),IF(ScI=2,H_11*hnh,0))</f>
        <v>#DIV/0!</v>
      </c>
      <c r="AN206" s="88" t="e">
        <f>IF(ScI=1,(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BF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BF207)*H_12*hnh/(TP-H_1-H_2-H_3-H_4-H_5-H_6-H_7-H_8-H_9-H_10-H_11-(hnh*(H_1+H_2+H_3+H_4+H_5+H_6+H_7+H_8+H_9+H_10+H_11))-(TP*VE*(TCv_4*tCo3_1+TCv_4*tCo3_2+TCv_4*tCo3_3+TCv_4*tCo3_4+TCv_4*tCo3_5+TCv_4*tCo3_6+TCv_4*tCo3_7+TCv_4*tCo3_8+TCv_4*tCo3_9+TCv_4*tCo3_10+TCv_4*tCo3_11))),IF(ScI=2,H_12*hnh,0))</f>
        <v>#DIV/0!</v>
      </c>
      <c r="AP206" s="103" t="s">
        <v>82</v>
      </c>
      <c r="AQ206" s="103" t="s">
        <v>83</v>
      </c>
      <c r="AR206" s="103" t="s">
        <v>84</v>
      </c>
      <c r="AS206" s="103" t="s">
        <v>85</v>
      </c>
      <c r="AT206" s="103" t="s">
        <v>86</v>
      </c>
      <c r="AU206" s="103" t="s">
        <v>87</v>
      </c>
      <c r="AV206" s="103" t="s">
        <v>88</v>
      </c>
      <c r="AW206" s="103" t="s">
        <v>89</v>
      </c>
      <c r="AX206" s="103" t="s">
        <v>90</v>
      </c>
      <c r="AZ206" s="103" t="s">
        <v>106</v>
      </c>
      <c r="BA206" s="103" t="s">
        <v>92</v>
      </c>
      <c r="BB206" s="103" t="s">
        <v>98</v>
      </c>
      <c r="BC206" s="103" t="s">
        <v>99</v>
      </c>
      <c r="BD206" s="103" t="s">
        <v>100</v>
      </c>
      <c r="BE206" s="103" t="s">
        <v>101</v>
      </c>
      <c r="BF206" s="103" t="s">
        <v>102</v>
      </c>
    </row>
    <row r="207" spans="1:58" hidden="1" outlineLevel="1" x14ac:dyDescent="0.25">
      <c r="F207" s="113"/>
      <c r="G207" s="31"/>
      <c r="H207" s="31"/>
      <c r="I207" s="31"/>
      <c r="J207" s="31"/>
      <c r="K207" s="31"/>
      <c r="L207" s="31"/>
      <c r="M207" s="31"/>
      <c r="N207" s="31"/>
      <c r="Q207" s="31"/>
      <c r="R207" s="97"/>
      <c r="S207" s="97"/>
      <c r="T207" s="97"/>
      <c r="U207" s="97"/>
      <c r="V207" s="97"/>
      <c r="W207" s="97"/>
      <c r="X207" s="97"/>
      <c r="Y207" s="97"/>
      <c r="Z207" s="97"/>
      <c r="AA207" s="97"/>
      <c r="AB207" s="97"/>
      <c r="AC207" s="98"/>
      <c r="AD207" s="98"/>
      <c r="AE207" s="98"/>
      <c r="AF207" s="98"/>
      <c r="AG207" s="98"/>
      <c r="AH207" s="98"/>
      <c r="AI207" s="98"/>
      <c r="AJ207" s="98"/>
      <c r="AK207" s="98"/>
      <c r="AL207" s="98"/>
      <c r="AM207" s="98"/>
      <c r="AN207" s="98"/>
      <c r="AP207" s="103" t="e">
        <f>((TP-H_1-((TP-H_1-(H_1*hnh)-(TP*TCv_4*tCo3_1*VE))*H_2/(TP-H_1-(H_1*hnh)))-(H_1*hnh)-((TP-H_1-(H_1*hnh)-(TP*TCv_4*tCo3_1*VE))*H_2*hnh/(TP-H_1-(H_1*hnh)))-(TP*TCv_4*tCo3_1*VE)-(TP*TCv_4*tCo3_2*VE))*(H_3*hnh/(TP-H_1-H_2-(hnh*(H_1+H_2)))))</f>
        <v>#DIV/0!</v>
      </c>
      <c r="AQ207" s="103" t="e">
        <f>(TP-H_1-((TP-H_1-(H_1*hnh)-(TP*TCv_4*tCo3_1*VE))*H_2/(TP-H_1-(H_1*hnh)))-AP205-(H_1*hnh)-((TP-H_1-(H_1*hnh)-(TP*TCv_4*tCo3_1*VE))*H_2*hnh/(TP-H_1-(H_1*hnh)))-AP207-(TP*TCv_4*tCo3_1*VE)-(TP*TCv_4*tCo3_2*VE)-(TP*TCv_4*tCo3_3*VE))*(H_4*hnh/(TP-H_1-H_2-H_3-(hnh*(H_1+H_2+H_3))))</f>
        <v>#DIV/0!</v>
      </c>
      <c r="AR207" s="103" t="e">
        <f>(TP-H_1-((TP-H_1-(H_1*hnh)-(TP*TCv_4*tCo3_1*VE))*H_2/(TP-H_1-(H_1*hnh)))-AP205-AQ205-(H_1*hnh)-((TP-H_1-(H_1*hnh)-(TP*TCv_4*tCo3_1*VE))*H_2*hnh/(TP-H_1-(H_1*hnh)))-AP207-AQ207-(TP*TCv_4*tCo3_1*VE)-(TP*TCv_4*tCo3_2*VE)-(TP*TCv_4*tCo3_3*VE)-(TP*TCv_4*tCo3_4*VE))*(H_5*hnh/(TP-H_1-H_2-H_3-H_4-(hnh*(H_1+H_2+H_3+H_4))))</f>
        <v>#DIV/0!</v>
      </c>
      <c r="AS207" s="103" t="e">
        <f>(TP-H_1-((TP-H_1-(H_1*hnh)-(TP*TCv_4*tCo3_1*VE))*H_2/(TP-H_1-(H_1*hnh)))-AP205-AQ205-AR205-(H_1*hnh)-((TP-H_1-(H_1*hnh)-(TP*TCv_4*tCo3_1*VE))*H_2*hnh/(TP-H_1-(H_1*hnh)))-AP207-AQ207-AR207-(TP*TCv_4*tCo3_1*VE)-(TP*TCv_4*tCo3_2*VE)-(TP*TCv_4*tCo3_3*VE)-(TP*TCv_4*tCo3_4*VE)-(TP*TCv_4*tCo3_5*VE))*(H_6*hnh/(TP-H_1-H_2-H_3-H_4-H_5-(hnh*(H_1+H_2+H_3+H_4+H_5))))</f>
        <v>#DIV/0!</v>
      </c>
      <c r="AT207" s="103" t="e">
        <f>(TP-H_1-((TP-H_1-(H_1*hnh)-(TP*TCv_4*tCo3_1*VE))*H_2/(TP-H_1-(H_1*hnh)))-AP205-AQ205-AR205-AS205-(H_1*hnh)-((TP-H_1-(H_1*hnh)-(TP*TCv_4*tCo3_1*VE))*H_2*hnh/(TP-H_1-(H_1*hnh)))-AP207-AQ207-AR207-AS207-(TP*TCv_4*tCo3_1*VE)-(TP*TCv_4*tCo3_2*VE)-(TP*TCv_4*tCo3_3*VE)-(TP*TCv_4*tCo3_4*VE)-(TP*TCv_4*tCo3_5*VE)-(TP*TCv_4*tCo3_6*VE))*(H_7*hnh/(TP-H_1-H_2-H_3-H_4-H_5-H_6-(hnh*(H_1+H_2+H_3+H_4+H_5+H_6))))</f>
        <v>#DIV/0!</v>
      </c>
      <c r="AU207" s="103" t="e">
        <f>(TP-H_1-((TP-H_1-(H_1*hnh)-(TP*TCv_4*tCo3_1*VE))*H_2/(TP-H_1-(H_1*hnh)))-AP205-AQ205-AR205-AS205-AT205-(H_1*hnh)-((TP-H_1-(H_1*hnh)-(TP*TCv_4*tCo3_1*VE))*H_2*hnh/(TP-H_1-(H_1*hnh)))-AP207-AQ207-AR207-AS207-AT207-(TP*TCv_4*tCo3_1*VE)-(TP*TCv_4*tCo3_2*VE)-(TP*TCv_4*tCo3_3*VE)-(TP*TCv_4*tCo3_4*VE)-(TP*TCv_4*tCo3_5*VE)-(TP*TCv_4*tCo3_6*VE)-(TP*TCv_4*tCo3_7*VE))*(H_8*hnh/(TP-H_1-H_2-H_3-H_4-H_5-H_6-H_7-(hnh*(H_1+H_2+H_3+H_4+H_5+H_6+H_7))))</f>
        <v>#DIV/0!</v>
      </c>
      <c r="AV207" s="103" t="e">
        <f>(TP-H_1-((TP-H_1-(H_1*hnh)-(TP*TCv_4*tCo3_1*VE))*H_2/(TP-H_1-(H_1*hnh)))-AP205-AQ205-AR205-AS205-AT205-AU205-(H_1*hnh)-((TP-H_1-(H_1*hnh)-(TP*TCv_4*tCo3_1*VE))*H_2*hnh/(TP-H_1-(H_1*hnh)))-AP207-AQ207-AR207-AS207-AT207-AU207-(TP*TCv_4*tCo3_1*VE)-(TP*TCv_4*tCo3_2*VE)-(TP*TCv_4*tCo3_3*VE)-(TP*TCv_4*tCo3_4*VE)-(TP*TCv_4*tCo3_5*VE)-(TP*TCv_4*tCo3_6*VE)-(TP*TCv_4*tCo3_7*VE)-(TP*TCv_4*tCo3_8*VE))*(H_9*hnh/(TP-H_1-H_2-H_3-H_4-H_5-H_6-H_7-H_8-(hnh*(H_1+H_2+H_3+H_4+H_5+H_6+H_7+H_8))))</f>
        <v>#DIV/0!</v>
      </c>
      <c r="AW207" s="103" t="e">
        <f>(TP-H_1-((TP-H_1-(H_1*hnh)-(TP*TCv_4*tCo3_1*VE))*H_2/(TP-H_1-(H_1*hnh)))-AP205-AQ205-AR205-AS205-AT205-AU205-AV205-(H_1*hnh)-((TP-H_1-(H_1*hnh)-(TP*TCv_4*tCo3_1*VE))*H_2*hnh/(TP-H_1-(H_1*hnh)))-AP207-AQ207-AR207-AS207-AT207-AU207-AV207-(TP*TCv_4*tCo3_1*VE)-(TP*TCv_4*tCo3_2*VE)-(TP*TCv_4*tCo3_3*VE)-(TP*TCv_4*tCo3_4*VE)-(TP*TCv_4*tCo3_5*VE)-(TP*TCv_4*tCo3_6*VE)-(TP*TCv_4*tCo3_7*VE)-(TP*TCv_4*tCo3_8*VE)-(TP*TCv_4*tCo3_9*VE))*(H_10*hnh/(TP-H_1-H_2-H_3-H_4-H_5-H_6-H_7-H_8-H_9-(hnh*(H_1+H_2+H_3+H_4+H_5+H_6+H_7+H_8+H_9))))</f>
        <v>#DIV/0!</v>
      </c>
      <c r="AX207" s="103" t="e">
        <f>(TP-H_1-((TP-H_1-(H_1*hnh)-(TP*TCv_4*tCo3_1*VE))*H_2/(TP-H_1-(H_1*hnh)))-AP205-AQ205-AR205-AS205-AT205-AU205-AV205-AW205-(H_1*hnh)-((TP-H_1-(H_1*hnh)-(TP*TCv_4*tCo3_1*VE))*H_2*hnh/(TP-H_1-(H_1*hnh)))-AP207-AQ207-AR207-AS207-AT207-AU207-AV207-AW207-(TP*TCv_4*tCo3_1*VE)-(TP*TCv_4*tCo3_2*VE)-(TP*TCv_4*tCo3_3*VE)-(TP*TCv_4*tCo3_4*VE)-(TP*TCv_4*tCo3_5*VE)-(TP*TCv_4*tCo3_6*VE)-(TP*TCv_4*tCo3_7*VE)-(TP*TCv_4*tCo3_8*VE)-(TP*TCv_4*tCo3_9*VE)-(TP*TCv_4*tCo3_10*VE))*(H_11*hnh/(TP-H_1-H_2-H_3-H_4-H_5-H_6-H_7-H_8-H_9-H_10-(hnh*(H_1+H_2+H_3+H_4+H_5+H_6+H_7+H_8+H_9+H_10))))</f>
        <v>#DIV/0!</v>
      </c>
      <c r="AZ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H_5*hnh/(TP-H_1-H_2-H_3-H_4-(hnh*(H_1+H_2+H_3+H_4))-(TP*VE*(TCv_4*tCo3_1+TCv_4*tCo3_2+TCv_4*tCo3_3+TCv_4*tCo3_4)))</f>
        <v>#DIV/0!</v>
      </c>
      <c r="BA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H_6*hnh/(TP-H_1-H_2-H_3-H_4-H_5-(hnh*(H_1+H_2+H_3+H_4+H_5))-(TP*VE*(TCv_4*tCo3_1+TCv_4*tCo3_2+TCv_4*tCo3_3+TCv_4*tCo3_4+TCv_4*tCo3_5)))</f>
        <v>#DIV/0!</v>
      </c>
      <c r="BB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H_7*hnh/(TP-H_1-H_2-H_3-H_4-H_5-H_6-(hnh*(H_1+H_2+H_3+H_4+H_5+H_6))-(TP*VE*(TCv_4*tCo3_1+TCv_4*tCo3_2+TCv_4*tCo3_3+TCv_4*tCo3_4+TCv_4*tCo3_5+TCv_4*tCo3_6)))</f>
        <v>#DIV/0!</v>
      </c>
      <c r="BC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H_8*hnh/(TP-H_1-H_2-H_3-H_4-H_5-H_6-H_7-(hnh*(H_1+H_2+H_3+H_4+H_5+H_6+H_7))-(TP*VE*(TCv_4*tCo3_1+TCv_4*tCo3_2+TCv_4*tCo3_3+TCv_4*tCo3_4+TCv_4*tCo3_5+TCv_4*tCo3_6+TCv_4*tCo3_7)))</f>
        <v>#DIV/0!</v>
      </c>
      <c r="BD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H_9*hnh/(TP-H_1-H_2-H_3-H_4-H_5-H_6-H_7-H_8-(hnh*(H_1+H_2+H_3+H_4+H_5+H_6+H_7+H_8))-(TP*VE*(TCv_4*tCo3_1+TCv_4*tCo3_2+TCv_4*tCo3_3+TCv_4*tCo3_4+TCv_4*tCo3_5+TCv_4*tCo3_6+TCv_4*tCo3_7+TCv_4*tCo3_8)))</f>
        <v>#DIV/0!</v>
      </c>
      <c r="BE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H_10*hnh/(TP-H_1-H_2-H_3-H_4-H_5-H_6-H_7-H_8-H_9-(hnh*(H_1+H_2+H_3+H_4+H_5+H_6+H_7+H_8+H_9))-(TP*VE*(TCv_4*tCo3_1+TCv_4*tCo3_2+TCv_4*tCo3_3+TCv_4*tCo3_4+TCv_4*tCo3_5+TCv_4*tCo3_6+TCv_4*tCo3_7+TCv_4*tCo3_8+TCv_4*tCo3_9)))</f>
        <v>#DIV/0!</v>
      </c>
      <c r="BF207" s="103" t="e">
        <f>(TP-H_1-((TP-H_1-(H_1*hnh))*H_2/(TP-H_1-(H_1*hnh)-(TP*TCv_4*tCo3_1*VE)))-((TP-H_1-((TP-H_1-(H_1*hnh))*H_2/(TP-H_1-(H_1*hnh)-(TP*TCv_4*tCo3_1*VE)))-(H_1*hnh)-((TP-H_1-(H_1*hnh))*H_2*hnh/(TP-H_1-(H_1*hnh)-(TP*TCv_4*tCo3_1*VE))))*H_3/(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TP-H_1-H_2-H_3-(hnh*(H_1+H_2+H_3))-(TP*VE*(TCv_4*tCo3_1+TCv_4*tCo3_2+TCv_4*tCo3_3))))-AZ205-BA205-BB205-BC205-BD205-BE205-(H_1*hnh)-((TP-H_1-(H_1*hnh))*H_2*hnh/(TP-H_1-(H_1*hnh)-(TP*TCv_4*tCo3_1*VE)))-((TP-H_1-((TP-H_1-(H_1*hnh))*H_2/(TP-H_1-(H_1*hnh)-(TP*TCv_4*tCo3_1*VE)))-(H_1*hnh)-((TP-H_1-(H_1*hnh))*H_2*hnh/(TP-H_1-(H_1*hnh)-(TP*TCv_4*tCo3_1*VE))))*H_3*hnh/(TP-H_1-H_2-(hnh*(H_1+H_2))-(TP*VE*(TCv_4*tCo3_1+TCv_4*tCo3_2))))-((TP-H_1-((TP-H_1-(H_1*hnh))*H_2/(TP-H_1-(H_1*hnh)-(TP*TCv_4*tCo3_1*VE)))-((TP-H_1-((TP-H_1-(H_1*hnh))*H_2/(TP-H_1-(H_1*hnh)-(TP*TCv_4*tCo3_1*VE)))-(H_1*hnh)-((TP-H_1-(H_1*hnh))*H_2*hnh/(TP-H_1-(H_1*hnh)-(TP*TCv_4*tCo3_1*VE))))*H_3/(TP-H_1-H_2-(hnh*(H_1+H_2))-(TP*VE*(TCv_4*tCo3_1+TCv_4*tCo3_2))))-(H_1*hnh)-((TP-H_1-(H_1*hnh))*H_2*hnh/(TP-H_1-(H_1*hnh)-(TP*TCv_4*tCo3_1*VE)))-((TP-H_1-((TP-H_1-(H_1*hnh))*H_2/(TP-H_1-(H_1*hnh)-(TP*TCv_4*tCo3_1*VE)))-(H_1*hnh)-((TP-H_1-(H_1*hnh))*H_2*hnh/(TP-H_1-(H_1*hnh)-(TP*TCv_4*tCo3_1*VE))))*H_3*hnh/(TP-H_1-H_2-(hnh*(H_1+H_2))-(TP*VE*(TCv_4*tCo3_1+TCv_4*tCo3_2)))))*H_4*hnh/(TP-H_1-H_2-H_3-(hnh*(H_1+H_2+H_3))-(TP*VE*(TCv_4*tCo3_1+TCv_4*tCo3_2+TCv_4*tCo3_3))))-AZ207-BA207-BB207-BC207-BD207-BE207)*H_11*hnh/(TP-H_1-H_2-H_3-H_4-H_5-H_6-H_7-H_8-H_9-H_10-(hnh*(H_1+H_2+H_3+H_4+H_5+H_6+H_7+H_8+H_9+H_10))-(TP*VE*(TCv_4*tCo3_1+TCv_4*tCo3_2+TCv_4*tCo3_3+TCv_4*tCo3_4+TCv_4*tCo3_5+TCv_4*tCo3_6+TCv_4*tCo3_7+TCv_4*tCo3_8+TCv_4*tCo3_9+TCv_4*tCo3_10)))</f>
        <v>#DIV/0!</v>
      </c>
    </row>
    <row r="208" spans="1:58" hidden="1" outlineLevel="1" x14ac:dyDescent="0.25">
      <c r="F208" s="112"/>
    </row>
    <row r="209" spans="1:58" hidden="1" outlineLevel="1" x14ac:dyDescent="0.25"/>
    <row r="210" spans="1:58" collapsed="1" x14ac:dyDescent="0.25"/>
    <row r="211" spans="1:58" s="105" customFormat="1" x14ac:dyDescent="0.25">
      <c r="A211" s="104" t="s">
        <v>308</v>
      </c>
      <c r="B211" s="104"/>
    </row>
    <row r="212" spans="1:58" hidden="1" outlineLevel="1" x14ac:dyDescent="0.25">
      <c r="Q212" s="102" t="s">
        <v>72</v>
      </c>
      <c r="R212" s="102"/>
      <c r="S212" s="102"/>
      <c r="T212" s="102"/>
      <c r="U212" s="102"/>
      <c r="V212" s="102"/>
      <c r="W212" s="102"/>
      <c r="X212" s="102"/>
      <c r="Y212" s="102"/>
      <c r="Z212" s="102"/>
      <c r="AA212" s="102"/>
      <c r="AB212" s="102"/>
      <c r="AC212" s="101" t="s">
        <v>104</v>
      </c>
      <c r="AD212" s="101"/>
      <c r="AE212" s="101"/>
      <c r="AF212" s="101"/>
      <c r="AG212" s="101"/>
      <c r="AH212" s="101"/>
      <c r="AI212" s="101"/>
      <c r="AJ212" s="101"/>
      <c r="AK212" s="101"/>
      <c r="AL212" s="101"/>
      <c r="AM212" s="101"/>
      <c r="AN212" s="101"/>
      <c r="AP212" s="103">
        <v>3</v>
      </c>
      <c r="AQ212" s="103">
        <v>4</v>
      </c>
      <c r="AR212" s="103">
        <v>5</v>
      </c>
      <c r="AS212" s="103">
        <v>6</v>
      </c>
      <c r="AT212" s="103">
        <v>7</v>
      </c>
      <c r="AU212" s="103">
        <v>8</v>
      </c>
      <c r="AV212" s="103">
        <v>9</v>
      </c>
      <c r="AW212" s="103">
        <v>10</v>
      </c>
      <c r="AX212" s="103">
        <v>11</v>
      </c>
      <c r="AZ212" s="103">
        <v>5</v>
      </c>
      <c r="BA212" s="103">
        <v>6</v>
      </c>
      <c r="BB212" s="103">
        <v>7</v>
      </c>
      <c r="BC212" s="103">
        <v>8</v>
      </c>
      <c r="BD212" s="103">
        <v>9</v>
      </c>
      <c r="BE212" s="103">
        <v>10</v>
      </c>
      <c r="BF212" s="103">
        <v>11</v>
      </c>
    </row>
    <row r="213" spans="1:58" ht="28.7" hidden="1" customHeight="1" outlineLevel="1" x14ac:dyDescent="0.25">
      <c r="A213" s="11" t="s">
        <v>47</v>
      </c>
      <c r="B213" s="11"/>
      <c r="C213" s="11"/>
      <c r="D213" s="11"/>
      <c r="E213" s="11"/>
      <c r="F213" s="11"/>
      <c r="G213" s="109" t="s">
        <v>50</v>
      </c>
      <c r="H213" s="109"/>
      <c r="I213" s="110" t="s">
        <v>44</v>
      </c>
      <c r="J213" s="110"/>
      <c r="K213" s="101" t="s">
        <v>58</v>
      </c>
      <c r="L213" s="101"/>
      <c r="M213" s="110" t="s">
        <v>45</v>
      </c>
      <c r="N213" s="110"/>
      <c r="Q213" s="102" t="s">
        <v>1</v>
      </c>
      <c r="R213" s="102"/>
      <c r="S213" s="102"/>
      <c r="T213" s="102"/>
      <c r="U213" s="102"/>
      <c r="V213" s="102"/>
      <c r="W213" s="102"/>
      <c r="X213" s="102"/>
      <c r="Y213" s="102"/>
      <c r="Z213" s="102"/>
      <c r="AA213" s="102"/>
      <c r="AB213" s="102"/>
      <c r="AC213" s="101" t="s">
        <v>71</v>
      </c>
      <c r="AD213" s="101"/>
      <c r="AE213" s="101"/>
      <c r="AF213" s="101"/>
      <c r="AG213" s="101"/>
      <c r="AH213" s="101"/>
      <c r="AI213" s="101"/>
      <c r="AJ213" s="101"/>
      <c r="AK213" s="101"/>
      <c r="AL213" s="101"/>
      <c r="AM213" s="101"/>
      <c r="AN213" s="101"/>
      <c r="AP213" s="103" t="s">
        <v>73</v>
      </c>
      <c r="AQ213" s="103" t="s">
        <v>74</v>
      </c>
      <c r="AR213" s="103" t="s">
        <v>75</v>
      </c>
      <c r="AS213" s="103" t="s">
        <v>76</v>
      </c>
      <c r="AT213" s="103" t="s">
        <v>77</v>
      </c>
      <c r="AU213" s="103" t="s">
        <v>78</v>
      </c>
      <c r="AV213" s="103" t="s">
        <v>79</v>
      </c>
      <c r="AW213" s="103" t="s">
        <v>80</v>
      </c>
      <c r="AX213" s="103" t="s">
        <v>81</v>
      </c>
      <c r="AZ213" s="103" t="s">
        <v>105</v>
      </c>
      <c r="BA213" s="103" t="s">
        <v>91</v>
      </c>
      <c r="BB213" s="103" t="s">
        <v>93</v>
      </c>
      <c r="BC213" s="103" t="s">
        <v>94</v>
      </c>
      <c r="BD213" s="103" t="s">
        <v>95</v>
      </c>
      <c r="BE213" s="103" t="s">
        <v>96</v>
      </c>
      <c r="BF213" s="103" t="s">
        <v>97</v>
      </c>
    </row>
    <row r="214" spans="1:58" ht="45" hidden="1" outlineLevel="1" x14ac:dyDescent="0.25">
      <c r="A214" s="70" t="s">
        <v>40</v>
      </c>
      <c r="B214" s="70" t="s">
        <v>41</v>
      </c>
      <c r="C214" s="70" t="s">
        <v>53</v>
      </c>
      <c r="D214" s="70" t="s">
        <v>48</v>
      </c>
      <c r="E214" s="70" t="s">
        <v>42</v>
      </c>
      <c r="F214" s="76" t="s">
        <v>49</v>
      </c>
      <c r="G214" s="71" t="s">
        <v>51</v>
      </c>
      <c r="H214" s="71" t="s">
        <v>52</v>
      </c>
      <c r="I214" s="72" t="s">
        <v>51</v>
      </c>
      <c r="J214" s="72" t="s">
        <v>52</v>
      </c>
      <c r="K214" s="77" t="s">
        <v>51</v>
      </c>
      <c r="L214" s="77" t="s">
        <v>52</v>
      </c>
      <c r="M214" s="72" t="s">
        <v>51</v>
      </c>
      <c r="N214" s="72" t="s">
        <v>52</v>
      </c>
      <c r="Q214" s="102">
        <v>1</v>
      </c>
      <c r="R214" s="102">
        <v>2</v>
      </c>
      <c r="S214" s="102">
        <v>3</v>
      </c>
      <c r="T214" s="102">
        <v>4</v>
      </c>
      <c r="U214" s="102">
        <v>5</v>
      </c>
      <c r="V214" s="102">
        <v>6</v>
      </c>
      <c r="W214" s="102">
        <v>7</v>
      </c>
      <c r="X214" s="102">
        <v>8</v>
      </c>
      <c r="Y214" s="102">
        <v>9</v>
      </c>
      <c r="Z214" s="102">
        <v>10</v>
      </c>
      <c r="AA214" s="102">
        <v>11</v>
      </c>
      <c r="AB214" s="102">
        <v>12</v>
      </c>
      <c r="AC214" s="101">
        <v>1</v>
      </c>
      <c r="AD214" s="101">
        <v>2</v>
      </c>
      <c r="AE214" s="101">
        <v>3</v>
      </c>
      <c r="AF214" s="101">
        <v>4</v>
      </c>
      <c r="AG214" s="101">
        <v>5</v>
      </c>
      <c r="AH214" s="101">
        <v>6</v>
      </c>
      <c r="AI214" s="101">
        <v>7</v>
      </c>
      <c r="AJ214" s="101">
        <v>8</v>
      </c>
      <c r="AK214" s="101">
        <v>9</v>
      </c>
      <c r="AL214" s="101">
        <v>10</v>
      </c>
      <c r="AM214" s="101">
        <v>11</v>
      </c>
      <c r="AN214" s="101">
        <v>12</v>
      </c>
      <c r="AP214" s="103" t="e">
        <f>((TP-H_1-((TP-H_1-(H_1*hnh)-(TP*TCv_1*tCo4_1*VE))*H_2/(TP-H_1-(H_1*hnh)))-(H_1*hnh)-((TP-H_1-(H_1*hnh)-(TP*TCv_1*tCo4_1*VE))*H_2*hnh/(TP-H_1-(H_1*hnh)))-(TP*TCv_1*tCo4_1*VE)-(TP*TCv_1*tCo4_2*VE))*(H_3/(TP-H_1-H_2-(hnh*(H_1+H_2)))))</f>
        <v>#DIV/0!</v>
      </c>
      <c r="AQ214" s="103" t="e">
        <f>(TP-H_1-((TP-H_1-(H_1*hnh)-(TP*TCv_1*tCo4_1*VE))*H_2/(TP-H_1-(H_1*hnh)))-AP214-(H_1*hnh)-((TP-H_1-(H_1*hnh)-(TP*TCv_1*tCo4_1*VE))*H_2*hnh/(TP-H_1-(H_1*hnh)))-AP216-(TP*TCv_1*tCo4_1*VE)-(TP*TCv_1*tCo4_2*VE)-(TP*TCv_1*tCo4_3*VE))*(H_4/(TP-H_1-H_2-H_3-(hnh*(H_1+H_2+H_3))))</f>
        <v>#DIV/0!</v>
      </c>
      <c r="AR214" s="103" t="e">
        <f>(TP-H_1-((TP-H_1-(H_1*hnh)-(TP*TCv_1*tCo4_1*VE))*H_2/(TP-H_1-(H_1*hnh)))-AP214-AQ214-(H_1*hnh)-((TP-H_1-(H_1*hnh)-(TP*TCv_1*tCo4_1*VE))*H_2*hnh/(TP-H_1-(H_1*hnh)))-AP216-AQ216-(TP*TCv_1*tCo4_1*VE)-(TP*TCv_1*tCo4_2*VE)-(TP*TCv_1*tCo4_3*VE)-(TP*TCv_1*tCo4_4*VE))*(H_5/(TP-H_1-H_2-H_3-H_4-(hnh*(H_1+H_2+H_3+H_4))))</f>
        <v>#DIV/0!</v>
      </c>
      <c r="AS214" s="103" t="e">
        <f>(TP-H_1-((TP-H_1-(H_1*hnh)-(TP*TCv_1*tCo4_1*VE))*H_2/(TP-H_1-(H_1*hnh)))-AP214-AQ214-AR214-(H_1*hnh)-((TP-H_1-(H_1*hnh)-(TP*TCv_1*tCo4_1*VE))*H_2*hnh/(TP-H_1-(H_1*hnh)))-AP216-AQ216-AR216-(TP*TCv_1*tCo4_1*VE)-(TP*TCv_1*tCo4_2*VE)-(TP*TCv_1*tCo4_3*VE)-(TP*TCv_1*tCo4_4*VE)-(TP*TCv_1*tCo4_5*VE))*(H_6/(TP-H_1-H_2-H_3-H_4-H_5-(hnh*(H_1+H_2+H_3+H_4+H_5))))</f>
        <v>#DIV/0!</v>
      </c>
      <c r="AT214" s="103" t="e">
        <f>(TP-H_1-((TP-H_1-(H_1*hnh)-(TP*TCv_1*tCo4_1*VE))*H_2/(TP-H_1-(H_1*hnh)))-AP214-AQ214-AR214-AS214-(H_1*hnh)-((TP-H_1-(H_1*hnh)-(TP*TCv_1*tCo4_1*VE))*H_2*hnh/(TP-H_1-(H_1*hnh)))-AP216-AQ216-AR216-AS216-(TP*TCv_1*tCo4_1*VE)-(TP*TCv_1*tCo4_2*VE)-(TP*TCv_1*tCo4_3*VE)-(TP*TCv_1*tCo4_4*VE)-(TP*TCv_1*tCo4_5*VE)-(TP*TCv_1*tCo4_6*VE))*(H_7/(TP-H_1-H_2-H_3-H_4-H_5-H_6-(hnh*(H_1+H_2+H_3+H_4+H_5+H_6))))</f>
        <v>#DIV/0!</v>
      </c>
      <c r="AU214" s="103" t="e">
        <f>(TP-H_1-((TP-H_1-(H_1*hnh)-(TP*TCv_1*tCo4_1*VE))*H_2/(TP-H_1-(H_1*hnh)))-AP214-AQ214-AR214-AS214-AT214-(H_1*hnh)-((TP-H_1-(H_1*hnh)-(TP*TCv_1*tCo4_1*VE))*H_2*hnh/(TP-H_1-(H_1*hnh)))-AP216-AQ216-AR216-AS216-AT216-(TP*TCv_1*tCo4_1*VE)-(TP*TCv_1*tCo4_2*VE)-(TP*TCv_1*tCo4_3*VE)-(TP*TCv_1*tCo4_4*VE)-(TP*TCv_1*tCo4_5*VE)-(TP*TCv_1*tCo4_6*VE)-(TP*TCv_1*tCo4_7*VE))*(H_8/(TP-H_1-H_2-H_3-H_4-H_5-H_6-H_7-(hnh*(H_1+H_2+H_3+H_4+H_5+H_6+H_7))))</f>
        <v>#DIV/0!</v>
      </c>
      <c r="AV214" s="103" t="e">
        <f>(TP-H_1-((TP-H_1-(H_1*hnh)-(TP*TCv_1*tCo4_1*VE))*H_2/(TP-H_1-(H_1*hnh)))-AP214-AQ214-AR214-AS214-AT214-AU214-(H_1*hnh)-((TP-H_1-(H_1*hnh)-(TP*TCv_1*tCo4_1*VE))*H_2*hnh/(TP-H_1-(H_1*hnh)))-AP216-AQ216-AR216-AS216-AT216-AU216-(TP*TCv_1*tCo4_1*VE)-(TP*TCv_1*tCo4_2*VE)-(TP*TCv_1*tCo4_3*VE)-(TP*TCv_1*tCo4_4*VE)-(TP*TCv_1*tCo4_5*VE)-(TP*TCv_1*tCo4_6*VE)-(TP*TCv_1*tCo4_7*VE)-(TP*TCv_1*tCo4_8*VE))*(H_9/(TP-H_1-H_2-H_3-H_4-H_5-H_6-H_7-H_8-(hnh*(H_1+H_2+H_3+H_4+H_5+H_6+H_7+H_8))))</f>
        <v>#DIV/0!</v>
      </c>
      <c r="AW214" s="103" t="e">
        <f>(TP-H_1-((TP-H_1-(H_1*hnh)-(TP*TCv_1*tCo4_1*VE))*H_2/(TP-H_1-(H_1*hnh)))-AP214-AQ214-AR214-AS214-AT214-AU214-AV214-(H_1*hnh)-((TP-H_1-(H_1*hnh)-(TP*TCv_1*tCo4_1*VE))*H_2*hnh/(TP-H_1-(H_1*hnh)))-AP216-AQ216-AR216-AS216-AT216-AU216-AV216-(TP*TCv_1*tCo4_1*VE)-(TP*TCv_1*tCo4_2*VE)-(TP*TCv_1*tCo4_3*VE)-(TP*TCv_1*tCo4_4*VE)-(TP*TCv_1*tCo4_5*VE)-(TP*TCv_1*tCo4_6*VE)-(TP*TCv_1*tCo4_7*VE)-(TP*TCv_1*tCo4_8*VE)-(TP*TCv_1*tCo4_9*VE))*(H_10/(TP-H_1-H_2-H_3-H_4-H_5-H_6-H_7-H_8-H_9-(hnh*(H_1+H_2+H_3+H_4+H_5+H_6+H_7+H_8+H_9))))</f>
        <v>#DIV/0!</v>
      </c>
      <c r="AX214" s="103" t="e">
        <f>(TP-H_1-((TP-H_1-(H_1*hnh)-(TP*TCv_1*tCo4_1*VE))*H_2/(TP-H_1-(H_1*hnh)))-AP214-AQ214-AR214-AS214-AT214-AU214-AV214-AW214-(H_1*hnh)-((TP-H_1-(H_1*hnh)-(TP*TCv_1*tCo4_1*VE))*H_2*hnh/(TP-H_1-(H_1*hnh)))-AP216-AQ216-AR216-AS216-AT216-AU216-AV216-AW216-(TP*TCv_1*tCo4_1*VE)-(TP*TCv_1*tCo4_2*VE)-(TP*TCv_1*tCo4_3*VE)-(TP*TCv_1*tCo4_4*VE)-(TP*TCv_1*tCo4_5*VE)-(TP*TCv_1*tCo4_6*VE)-(TP*TCv_1*tCo4_7*VE)-(TP*TCv_1*tCo4_8*VE)-(TP*TCv_1*tCo4_9*VE)-(TP*TCv_1*tCo4_10*VE))*(H_11/(TP-H_1-H_2-H_3-H_4-H_5-H_6-H_7-H_8-H_9-H_10-(hnh*(H_1+H_2+H_3+H_4+H_5+H_6+H_7+H_8+H_9+H_10))))</f>
        <v>#DIV/0!</v>
      </c>
      <c r="AZ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H_5/(TP-H_1-H_2-H_3-H_4-(hnh*(H_1+H_2+H_3+H_4))-(TP*VE*(TCv_1*tCo4_1+TCv_1*tCo4_2+TCv_1*tCo4_3+TCv_1*tCo4_4)))</f>
        <v>#DIV/0!</v>
      </c>
      <c r="BA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H_6/(TP-H_1-H_2-H_3-H_4-H_5-(hnh*(H_1+H_2+H_3+H_4+H_5))-(TP*VE*(TCv_1*tCo4_1+TCv_1*tCo4_2+TCv_1*tCo4_3+TCv_1*tCo4_4+TCv_1*tCo4_5)))</f>
        <v>#DIV/0!</v>
      </c>
      <c r="BB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H_7/(TP-H_1-H_2-H_3-H_4-H_5-H_6-(hnh*(H_1+H_2+H_3+H_4+H_5+H_6))-(TP*VE*(TCv_1*tCo4_1+TCv_1*tCo4_2+TCv_1*tCo4_3+TCv_1*tCo4_4+TCv_1*tCo4_5+TCv_1*tCo4_6)))</f>
        <v>#DIV/0!</v>
      </c>
      <c r="BC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H_8/(TP-H_1-H_2-H_3-H_4-H_5-H_6-H_7-(hnh*(H_1+H_2+H_3+H_4+H_5+H_6+H_7))-(TP*VE*(TCv_1*tCo4_1+TCv_1*tCo4_2+TCv_1*tCo4_3+TCv_1*tCo4_4+TCv_1*tCo4_5+TCv_1*tCo4_6+TCv_1*tCo4_7)))</f>
        <v>#DIV/0!</v>
      </c>
      <c r="BD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H_9/(TP-H_1-H_2-H_3-H_4-H_5-H_6-H_7-H_8-(hnh*(H_1+H_2+H_3+H_4+H_5+H_6+H_7+H_8))-(TP*VE*(TCv_1*tCo4_1+TCv_1*tCo4_2+TCv_1*tCo4_3+TCv_1*tCo4_4+TCv_1*tCo4_5+TCv_1*tCo4_6+TCv_1*tCo4_7+TCv_1*tCo4_8)))</f>
        <v>#DIV/0!</v>
      </c>
      <c r="BE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H_10/(TP-H_1-H_2-H_3-H_4-H_5-H_6-H_7-H_8-H_9-(hnh*(H_1+H_2+H_3+H_4+H_5+H_6+H_7+H_8+H_9))-(TP*VE*(TCv_1*tCo4_1+TCv_1*tCo4_2+TCv_1*tCo4_3+TCv_1*tCo4_4+TCv_1*tCo4_5+TCv_1*tCo4_6+TCv_1*tCo4_7+TCv_1*tCo4_8+TCv_1*tCo4_9)))</f>
        <v>#DIV/0!</v>
      </c>
      <c r="BF214"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H_11/(TP-H_1-H_2-H_3-H_4-H_5-H_6-H_7-H_8-H_9-H_10-(hnh*(H_1+H_2+H_3+H_4+H_5+H_6+H_7+H_8+H_9+H_10))-(TP*VE*(TCv_1*tCo4_1+TCv_1*tCo4_2+TCv_1*tCo4_3+TCv_1*tCo4_4+TCv_1*tCo4_5+TCv_1*tCo4_6+TCv_1*tCo4_7+TCv_1*tCo4_8+TCv_1*tCo4_9+TCv_1*tCo4_10)))</f>
        <v>#DIV/0!</v>
      </c>
    </row>
    <row r="215" spans="1:58" hidden="1" outlineLevel="1" x14ac:dyDescent="0.25">
      <c r="A215" s="73">
        <f>season</f>
        <v>0</v>
      </c>
      <c r="B215" s="73">
        <f>TG</f>
        <v>0</v>
      </c>
      <c r="C215" s="73">
        <f>TP</f>
        <v>0</v>
      </c>
      <c r="D215" s="74">
        <f>TCv</f>
        <v>0</v>
      </c>
      <c r="E215" s="75">
        <f>VE</f>
        <v>0</v>
      </c>
      <c r="F215" s="78" t="e">
        <f>G215/IF(mb=1,SUM(AC215:AN215),IF(mb=2,SUM(AD215:AN215),IF(mb=3,SUM(AE215:AN215),IF(mb=4,SUM(AF215:AN215),IF(mb=5,SUM(AG215:AN215),IF(mb=6,SUM(AH215:AN215),IF(mb=7,SUM(AI215:AN215),IF(mb=8,SUM(AJ215:AN215),0))))))))</f>
        <v>#DIV/0!</v>
      </c>
      <c r="G215" s="42">
        <f>IF(mb=1,SUM(AC215:AN215)-SUM(Q215:AB215),IF(mb=2,SUM(AD215:AN215)-SUM(R215:AB215),IF(mb=3,SUM(AE215:AN215)-SUM(S215:AB215),IF(mb=4,SUM(AF215:AN215)-SUM(T215:AB215),IF(mb=5,SUM(AG215:AN215)-SUM(U215:AB215),IF(mb=6,SUM(AH215:AN215)-SUM(V215:AB215),IF(mb=7,SUM(AI215:AN215)-SUM(W215:AB215),IF(mb=8,SUM(AJ215:AN215)-SUM(X215:AB215),0))))))))</f>
        <v>0</v>
      </c>
      <c r="H215" s="96" t="e">
        <f>1/(VE*IF(mb=1,SUM(AC215:AN215),IF(mb=2,SUM(AD215:AN215),IF(mb=3,SUM(AE215:AN215),IF(mb=4,SUM(AF215:AN215),IF(mb=5,SUM(AG215:AN215),IF(mb=6,SUM(AH215:AN215),IF(mb=7,SUM(AI215:AN215),IF(mb=8,SUM(AJ215:AN215),0))))))))/TP)</f>
        <v>#DIV/0!</v>
      </c>
      <c r="I215" s="93" t="e">
        <f>G215/hnh</f>
        <v>#DIV/0!</v>
      </c>
      <c r="J215" s="42" t="e">
        <f>1/(VE*IF(mb=1,SUM(AC215:AN215),IF(mb=2,SUM(AD215:AN215),IF(mb=3,SUM(AE215:AN215),IF(mb=4,SUM(AF215:AN215),IF(mb=5,SUM(AG215:AN215),IF(mb=6,SUM(AH215:AN215),IF(mb=7,SUM(AI215:AN215),IF(mb=8,SUM(AJ215:AN215),0))))))))/(TP*hnh))</f>
        <v>#DIV/0!</v>
      </c>
      <c r="K215" s="42" t="e">
        <f>M215*mai</f>
        <v>#DIV/0!</v>
      </c>
      <c r="L215" s="42" t="e">
        <f>1/(VE*((IF(mb=1,SUM(AC215:AN215),IF(mb=2,SUM(AD215:AN215),IF(mb=3,SUM(AE215:AN215),IF(mb=4,SUM(AF215:AN215),IF(mb=5,SUM(AG215:AN215),IF(mb=6,SUM(AH215:AN215),IF(mb=7,SUM(AI215:AN215),IF(mb=8,SUM(AJ215:AN215),0))))))))+(IF(mb=1,SUM(AC215:AN215),IF(mb=2,SUM(AD215:AN215),IF(mb=3,SUM(AE215:AN215),IF(mb=4,SUM(AF215:AN215),IF(mb=5,SUM(AG215:AN215),IF(mb=6,SUM(AH215:AN215),IF(mb=7,SUM(AI215:AN215),IF(mb=8,SUM(AJ215:AN215),0)))))))))/hnh)*mai)/TP)</f>
        <v>#DIV/0!</v>
      </c>
      <c r="M215" s="42" t="e">
        <f>G215+I215</f>
        <v>#DIV/0!</v>
      </c>
      <c r="N215" s="42" t="e">
        <f>1/(VE*(IF(mb=1,SUM(AC215:AN215),IF(mb=2,SUM(AD215:AN215),IF(mb=3,SUM(AE215:AN215),IF(mb=4,SUM(AF215:AN215),IF(mb=5,SUM(AG215:AN215),IF(mb=6,SUM(AH215:AN215),IF(mb=7,SUM(AI215:AN215),IF(mb=8,SUM(AJ215:AN215),0))))))))+(IF(mb=1,SUM(AC215:AN215),IF(mb=2,SUM(AD215:AN215),IF(mb=3,SUM(AE215:AN215),IF(mb=4,SUM(AF215:AN215),IF(mb=5,SUM(AG215:AN215),IF(mb=6,SUM(AH215:AN215),IF(mb=7,SUM(AI215:AN215),IF(mb=8,SUM(AJ215:AN215),0)))))))))/hnh)/TP)</f>
        <v>#DIV/0!</v>
      </c>
      <c r="Q215" s="86" t="e">
        <f>IF(ISc=1,nh1_1,IF(ISc=2,H_1*hnh,0))</f>
        <v>#DIV/0!</v>
      </c>
      <c r="R215" s="111" t="e">
        <f>IF(ScI=1,((nh1_2/(TP-(nh1_1/hnh)-nh1_1))*(TP-(nh1_1/hnh)-nh1_1-(TP*TCv_1*tCo4_1*VE))),IF(ScI=2,(TP-H_1-(H_1*hnh)-(TP*TCv_1*tCo4_1*VE))*(H_2*hnh/(TP-H_1-(H_1*hnh))),"fal"))</f>
        <v>#DIV/0!</v>
      </c>
      <c r="S215" s="137" t="e">
        <f>IF(ScI=1,(nh1_3/(TP-((nh1_1+nh1_2)/hnh)-nh1_1-nh1_2))*(TP-(nh1_1/hnh)-(R215/hnh)-nh1_1-R215-(TP*VE*(TCv_1*tCo4_1+TCv_1*tCo4_2))),IF(ScI=2,(TP-H_1-((TP-H_1-(H_1*hnh)-(TP*TCv_1*tCo4_1*VE))*H_2/(TP-H_1-(H_1*hnh)))-(H_1*hnh)-((TP-H_1-(H_1*hnh)-(TP*TCv_1*tCo4_1*VE))*H_2*hnh/(TP-H_1-(H_1*hnh)))-(TP*TCv_1*tCo4_1*VE)-(TP*TCv_1*tCo4_2*VE))*(H_3*hnh/(TP-H_1-H_2-(hnh*(H_1+H_2)))),0))</f>
        <v>#DIV/0!</v>
      </c>
      <c r="T215" s="86" t="e">
        <f>IF(ScI=1,(nh1_4/(TP-(nh1_1/hnh)-(nh1_2/hnh)-(nh1_3/hnh)-nh1_1-nh1_2-nh1_3))*(TP-(nh1_1/hnh)-(R215/hnh)-(S215/hnh)-nh1_1-R215-S215-(TP*VE*(TCv_1*tCo4_1+TCv_1*tCo4_2+TCv_1*tCo4_3))),IF(ScI=2,(TP-H_1-((TP-H_1-(H_1*hnh)-(TP*TCv_1*tCo4_1*VE))*H_2/(TP-H_1-(H_1*hnh)))-((TP-H_1-(((TP-H_1-(H_1*hnh)-(TP*TCv_1*tCo4_1*VE))*H_2/(TP-H_1-(H_1*hnh))))-(H_1*hnh)-((TP-H_1-(H_1*hnh)-(TP*TCv_1*tCo4_1*VE))*H_2*hnh/(TP-H_1-(H_1*hnh)))-(TP*TCv_1*tCo4_1*VE)-(TP*TCv_1*tCo4_2*VE))*(H_3/(TP-H_1-H_2-(hnh*(H_1+H_2)))))-(H_1*hnh)-((TP-H_1-(H_1*hnh)-(TP*TCv_1*tCo4_1*VE))*H_2*hnh/(TP-H_1-(H_1*hnh)))-((TP-H_1-(((TP-H_1-(H_1*hnh)-(TP*TCv_1*tCo4_1*VE))*H_2/(TP-H_1-(H_1*hnh))))-(H_1*hnh)-(((TP-H_1-(H_1*hnh)-(TP*TCv_1*tCo4_1*VE))*H_2*hnh/(TP-H_1-(H_1*hnh))))-(TP*TCv_1*tCo4_1*VE)-(TP*TCv_1*tCo4_2*VE))*(H_3*hnh/(TP-H_1-H_2-(hnh*(H_1+H_2)))))-(TP*TCv_1*tCo4_1*VE)-(TP*TCv_1*tCo4_2*VE)-(TP*TCv_1*tCo4_3*VE))*(H_4*hnh/(TP-H_1-H_2-H_3-(hnh*(H_1+H_2+H_3)))),0))</f>
        <v>#DIV/0!</v>
      </c>
      <c r="U215" s="86" t="e">
        <f>IF(ScI=1,(nh1_5/(TP-(nh1_1/hnh)-(nh1_2/hnh)-(nh1_3/hnh)-(nh1_4/hnh)-nh1_1-nh1_2-nh1_3-nh1_4))*(TP-(nh1_1/hnh)-(R215/hnh)-(S215/hnh)-(T215/hnh)-nh1_1-R215-S215-T215-(TP*VE*(TCv_1*tCo4_1+TCv_1*tCo4_2+TCv_1*tCo4_3+TCv_1*tCo4_4))),IF(ScI=2,(TP-H_1-(((TP-H_1-(H_1*hnh)-(TP*TCv_1*tCo4_1*VE))*H_2/(TP-H_1-(H_1*hnh))))-AP214-AQ214-(H_1*hnh)-((TP-H_1-(H_1*hnh)-(TP*TCv_1*tCo4_1*VE))*H_2*hnh/(TP-H_1-(H_1*hnh)))-AP216-AQ216-(TP*TCv_1*tCo4_1*VE)-(TP*TCv_1*tCo4_2*VE)-(TP*TCv_1*tCo4_3*VE)-(TP*TCv_1*tCo4_4*VE))*(H_5*hnh/(TP-H_1-H_2-H_3-H_4-(hnh*(H_1+H_2+H_3+H_4)))),0))</f>
        <v>#DIV/0!</v>
      </c>
      <c r="V215" s="86" t="e">
        <f>IF(ScI=1,(nh1_6/(TP-(nh1_1/hnh)-(nh1_2/hnh)-(nh1_3/hnh)-(nh1_4/hnh)-(nh1_5/hnh)-nh1_1-nh1_2-nh1_3-nh1_4-nh1_5))*(TP-(nh1_1/hnh)-(R215/hnh)-(S215/hnh)-(T215/hnh)-(U215/hnh)-nh1_1-R215-S215-T215-U215-(TP*VE*(TCv_1*tCo4_1+TCv_1*tCo4_2+TCv_1*tCo4_3+TCv_1*tCo4_4+TCv_1*tCo4_5))),IF(ScI=2,(TP-H_1-((TP-H_1-(H_1*hnh)-(TP*TCv_1*tCo4_1*VE))*H_2/(TP-H_1-(H_1*hnh)))-AP214-AQ214-AR214-(H_1*hnh)-((TP-H_1-(H_1*hnh)-(TP*TCv_1*tCo4_1*VE))*H_2*hnh/(TP-H_1-(H_1*hnh)))-AP216-AQ216-AR216-(TP*TCv_1*tCo4_1*VE)-(TP*TCv_1*tCo4_2*VE)-(TP*TCv_1*tCo4_3*VE)-(TP*TCv_1*tCo4_4*VE)-(TP*TCv_1*tCo4_5*VE))*(H_6*hnh/(TP-H_1-H_2-H_3-H_4-H_5-(hnh*(H_1+H_2+H_3+H_4+H_5)))),0))</f>
        <v>#DIV/0!</v>
      </c>
      <c r="W215" s="86" t="e">
        <f>IF(ScI=1,(nh1_7/(TP-(nh1_1/hnh)-(nh1_2/hnh)-(nh1_3/hnh)-(nh1_4/hnh)-(nh1_5/hnh)-(nh1_6/hnh)-nh1_1-nh1_2-nh1_3-nh1_4-nh1_5-nh1_6))*(TP-(nh1_1/hnh)-(R215/hnh)-(S215/hnh)-(T215/hnh)-(U215/hnh)-(V215/hnh)-nh1_1-R215-S215-T215-U215-V215-(TP*VE*(TCv_1*tCo4_1+TCv_1*tCo4_2+TCv_1*tCo4_3+TCv_1*tCo4_4+TCv_1*tCo4_5+TCv_1*tCo4_6))),IF(ScI=2,(TP-H_1-((TP-H_1-(H_1*hnh)-(TP*TCv_1*tCo4_1*VE))*H_2/(TP-H_1-(H_1*hnh)))-AP214-AQ214-AR214-AS214-(H_1*hnh)-((TP-H_1-(H_1*hnh)-(TP*TCv_1*tCo4_1*VE))*H_2*hnh/(TP-H_1-(H_1*hnh)))-AP216-AQ216-AR216-AS216-(TP*TCv_1*tCo4_1*VE)-(TP*TCv_1*tCo4_2*VE)-(TP*TCv_1*tCo4_3*VE)-(TP*TCv_1*tCo4_4*VE)-(TP*TCv_1*tCo4_5*VE)-(TP*TCv_1*tCo4_6*VE))*(H_7*hnh/(TP-H_1-H_2-H_3-H_4-H_5-H_6-(hnh*(H_1+H_2+H_3+H_4+H_5+H_6)))),0))</f>
        <v>#DIV/0!</v>
      </c>
      <c r="X215" s="86" t="e">
        <f>IF(ScI=1,(nh1_8/(TP-(nh1_1/hnh)-(nh1_2/hnh)-(nh1_3/hnh)-(nh1_4/hnh)-(nh1_5/hnh)-(nh1_6/hnh)-(nh1_7/hnh)-nh1_1-nh1_2-nh1_3-nh1_4-nh1_5-nh1_6-nh1_7))*(TP-(nh1_1/hnh)-(R215/hnh)-(S215/hnh)-(T215/hnh)-(U215/hnh)-(V215/hnh)-(W215/hnh)-nh1_1-R215-S215-T215-U215-V215-W215-(TP*VE*(TCv_1*tCo4_1+TCv_1*tCo4_2+TCv_1*tCo4_3+TCv_1*tCo4_4+TCv_1*tCo4_5+TCv_1*tCo4_6+TCv_1*tCo4_7))),IF(ScI=2,(TP-H_1-((TP-H_1-(H_1*hnh)-(TP*TCv_1*tCo4_1*VE))*H_2/(TP-H_1-(H_1*hnh)))-AP214-AQ214-AR214-AS214-AT214-(H_1*hnh)-((TP-H_1-(H_1*hnh)-(TP*TCv_1*tCo4_1*VE))*H_2*hnh/(TP-H_1-(H_1*hnh)))-AP216-AQ216-AR216-AS216-AT216-(TP*TCv_1*tCo4_1*VE)-(TP*TCv_1*tCo4_2*VE)-(TP*TCv_1*tCo4_3*VE)-(TP*TCv_1*tCo4_4*VE)-(TP*TCv_1*tCo4_5*VE)-(TP*TCv_1*tCo4_6*VE)-(TP*TCv_1*tCo4_7*VE))*(H_8*hnh/(TP-H_1-H_2-H_3-H_4-H_5-H_6-H_7-(hnh*(H_1+H_2+H_3+H_4+H_5+H_6+H_7)))),0))</f>
        <v>#DIV/0!</v>
      </c>
      <c r="Y215" s="86" t="e">
        <f>IF(ScI=1,(nh1_9/(TP-(nh1_1/hnh)-(nh1_2/hnh)-(nh1_3/hnh)-(nh1_4/hnh)-(nh1_5/hnh)-(nh1_6/hnh)-(nh1_7/hnh)-(nh1_8/hnh)-nh1_1-nh1_2-nh1_3-nh1_4-nh1_5-nh1_6-nh1_7-nh1_8))*(TP-(nh1_1/hnh)-(R215/hnh)-(S215/hnh)-(T215/hnh)-(U215/hnh)-(V215/hnh)-(W215/hnh)-(X215/hnh)-nh1_1-R215-S215-T215-U215-V215-W215-X215-(TP*VE*(TCv_1*tCo4_1+TCv_1*tCo4_2+TCv_1*tCo4_3+TCv_1*tCo4_4+TCv_1*tCo4_5+TCv_1*tCo4_6+TCv_1*tCo4_7+TCv_1*tCo4_8))),IF(ScI=2,(TP-H_1-((TP-H_1-(H_1*hnh)-(TP*TCv_1*tCo4_1*VE))*H_2/(TP-H_1-(H_1*hnh)))-AP214-AQ214-AR214-AS214-AT214-AU214-(H_1*hnh)-((TP-H_1-(H_1*hnh)-(TP*TCv_1*tCo4_1*VE))*H_2*hnh/(TP-H_1-(H_1*hnh)))-AP216-AQ216-AR216-AS216-AT216-AU216-(TP*TCv_1*tCo4_1*VE)-(TP*TCv_1*tCo4_2*VE)-(TP*TCv_1*tCo4_3*VE)-(TP*TCv_1*tCo4_4*VE)-(TP*TCv_1*tCo4_5*VE)-(TP*TCv_1*tCo4_6*VE)-(TP*TCv_1*tCo4_7*VE)-(TP*TCv_1*tCo4_8*VE))*(H_9*hnh/(TP-H_1-H_2-H_3-H_4-H_5-H_6-H_7-H_8-(hnh*(H_1+H_2+H_3+H_4+H_5+H_6+H_7+H_8)))),0))</f>
        <v>#DIV/0!</v>
      </c>
      <c r="Z215" s="86" t="e">
        <f>IF(ScI=1,(nh1_10/(TP-(nh1_1/hnh)-(nh1_2/hnh)-(nh1_3/hnh)-(nh1_4/hnh)-(nh1_5/hnh)-(nh1_6/hnh)-(nh1_7/hnh)-(nh1_8/hnh)-(nh1_9/hnh)-nh1_1-nh1_2-nh1_3-nh1_4-nh1_5-nh1_6-nh1_7-nh1_8-nh1_9))*(TP-(nh1_1/hnh)-(R215/hnh)-(S215/hnh)-(T215/hnh)-(U215/hnh)-(V215/hnh)-(W215/hnh)-(X215/hnh)-(Y215/hnh)-nh1_1-R215-S215-T215-U215-V215-W215-X215-Y215-(TP*VE*(TCv_1*tCo4_1+TCv_1*tCo4_2+TCv_1*tCo4_3+TCv_1*tCo4_4+TCv_1*tCo4_5+TCv_1*tCo4_6+TCv_1*tCo4_7+TCv_1*tCo4_8+TCv_1*tCo4_9))),IF(ScI=2,(TP-H_1-((TP-H_1-(H_1*hnh)-(TP*TCv_1*tCo4_1*VE))*H_2/(TP-H_1-(H_1*hnh)))-AP214-AQ214-AR214-AS214-AT214-AU214-AV214-(H_1*hnh)-((TP-H_1-(H_1*hnh)-(TP*TCv_1*tCo4_1*VE))*H_2*hnh/(TP-H_1-(H_1*hnh)))-AP216-AQ216-AR216-AS216-AT216-AU216-AV216-(TP*TCv_1*tCo4_1*VE)-(TP*TCv_1*tCo4_2*VE)-(TP*TCv_1*tCo4_3*VE)-(TP*TCv_1*tCo4_4*VE)-(TP*TCv_1*tCo4_5*VE)-(TP*TCv_1*tCo4_6*VE)-(TP*TCv_1*tCo4_7*VE)-(TP*TCv_1*tCo4_8*VE)-(TP*TCv_1*tCo4_9*VE))*(H_10*hnh/(TP-H_1-H_2-H_3-H_4-H_5-H_6-H_7-H_8-H_9-(hnh*(H_1+H_2+H_3+H_4+H_5+H_6+H_7+H_8+H_9)))),0))</f>
        <v>#DIV/0!</v>
      </c>
      <c r="AA215" s="86" t="e">
        <f>IF(ScI=1,(nh1_11/(TP-(nh1_1/hnh)-(nh1_2/hnh)-(nh1_3/hnh)-(nh1_4/hnh)-(nh1_5/hnh)-(nh1_6/hnh)-(nh1_7/hnh)-(nh1_8/hnh)-(nh1_9/hnh)-(nh1_10/hnh)-nh1_1-nh1_2-nh1_3-nh1_4-nh1_5-nh1_6-nh1_7-nh1_8-nh1_9-nh1_10))*(TP-(nh1_1/hnh)-(R215/hnh)-(S215/hnh)-(T215/hnh)-(U215/hnh)-(V215/hnh)-(W215/hnh)-(X215/hnh)-(Y215/hnh)-(Z215/hnh)-nh1_1-R215-S215-T215-U215-V215-W215-X215-Y215-Z215-(TP*VE*(TCv_1*tCo4_1+TCv_1*tCo4_2+TCv_1*tCo4_3+TCv_1*tCo4_4+TCv_1*tCo4_5+TCv_1*tCo4_6+TCv_1*tCo4_7+TCv_1*tCo4_8+TCv_1*tCo4_9+TCv_1*tCo4_10))),IF(ScI=2,(TP-H_1-((TP-H_1-(H_1*hnh)-(TP*TCv_1*tCo4_1*VE))*H_2/(TP-H_1-(H_1*hnh)))-AP214-AQ214-AR214-AS214-AT214-AU214-AV214-AW214-(H_1*hnh)-((TP-H_1-(H_1*hnh)-(TP*TCv_1*tCo4_1*VE))*H_2*hnh/(TP-H_1-(H_1*hnh)))-AP216-AQ216-AR216-AS216-AT216-AU216-AV216-AW216-(TP*TCv_1*tCo4_1*VE)-(TP*TCv_1*tCo4_2*VE)-(TP*TCv_1*tCo4_3*VE)-(TP*TCv_1*tCo4_4*VE)-(TP*TCv_1*tCo4_5*VE)-(TP*TCv_1*tCo4_6*VE)-(TP*TCv_1*tCo4_7*VE)-(TP*TCv_1*tCo4_8*VE)-(TP*TCv_1*tCo4_9*VE)-(TP*TCv_1*tCo4_10*VE))*(H_11*hnh/(TP-H_1-H_2-H_3-H_4-H_5-H_6-H_7-H_8-H_9-H_10-(hnh*(H_1+H_2+H_3+H_4+H_5+H_6+H_7+H_8+H_9+H_10)))),0))</f>
        <v>#DIV/0!</v>
      </c>
      <c r="AB215" s="86" t="e">
        <f>IF(ScI=1,(nh1_12/(TP-(nh1_1/hnh)-(nh1_2/hnh)-(nh1_3/hnh)-(nh1_4/hnh)-(nh1_5/hnh)-(nh1_6/hnh)-(nh1_7/hnh)-(nh1_8/hnh)-(nh1_9/hnh)-(nh1_10/hnh)-(nh1_11/hnh)-nh1_1-nh1_2-nh1_3-nh1_4-nh1_5-nh1_6-nh1_7-nh1_8-nh1_9-nh1_10-nh1_11))*(TP-(nh1_1/hnh)-(R215/hnh)-(S215/hnh)-(T215/hnh)-(U215/hnh)-(V215/hnh)-(W215/hnh)-(X215/hnh)-(Y215/hnh)-(Z215/hnh)-(AA215/hnh)-nh1_1-R215-S215-T215-U215-V215-W215-X215-Y215-Z215-AA215-(TP*VE*(TCv_1*tCo4_1+TCv_1*tCo4_2+TCv_1*tCo4_3+TCv_1*tCo4_4+TCv_1*tCo4_5+TCv_1*tCo4_6+TCv_1*tCo4_7+TCv_1*tCo4_8+TCv_1*tCo4_9+TCv_1*tCo4_10+TCv_1*tCo4_11))),IF(ScI=2,(TP-H_1-((TP-H_1-(H_1*hnh)-(TP*TCv_1*tCo4_1*VE))*H_2/(TP-H_1-(H_1*hnh)))-AP214-AQ214-AR214-AS214-AT214-AU214-AV214-AW214-AX214-(H_1*hnh)-((TP-H_1-(H_1*hnh)-(TP*TCv_1*tCo4_1*VE))*H_2*hnh/(TP-H_1-(H_1*hnh)))-AP216-AQ216-AR216-AS216-AT216-AU216-AV216-AW216-AX216-(TP*TCv_1*tCo4_1*VE)-(TP*TCv_1*tCo4_2*VE)-(TP*TCv_1*tCo4_3*VE)-(TP*TCv_1*tCo4_4*VE)-(TP*TCv_1*tCo4_5*VE)-(TP*TCv_1*tCo4_6*VE)-(TP*TCv_1*tCo4_7*VE)-(TP*TCv_1*tCo4_8*VE)-(TP*TCv_1*tCo4_9*VE)-(TP*TCv_1*tCo4_10*VE)-(TP*TCv_1*tCo4_11*VE))*(H_12*hnh/(TP-H_1-H_2-H_3-H_4-H_5-H_6-H_7-H_8-H_9-H_10-H_11-(hnh*(H_1+H_2+H_3+H_4+H_5+H_6+H_7+H_8+H_9+H_10+H_11)))),0))</f>
        <v>#DIV/0!</v>
      </c>
      <c r="AC215" s="88">
        <f>IF(ScI=1,H_1*hnh,IF(ScI=2,H_1*hnh,0))</f>
        <v>0</v>
      </c>
      <c r="AD215" s="88" t="e">
        <f>IF(ScI=1,(TP-H_1-(H_1*hnh))*H_2*hnh/(TP-H_1-(H_1*hnh)-(TP*TCv_1*tCo4_1*VE)),IF(ScI=2,H_2*hnh,0))</f>
        <v>#DIV/0!</v>
      </c>
      <c r="AE215" s="88" t="e">
        <f>IF(ScI=1,(TP-H_1-((TP-H_1-(H_1*hnh))*H_2/(TP-H_1-(H_1*hnh)-(TP*TCv_1*tCo4_1*VE)))-(H_1*hnh)-((TP-H_1-(H_1*hnh))*H_2*hnh/(TP-H_1-(H_1*hnh)-(TP*TCv_1*tCo4_1*VE))))*H_3*hnh/(TP-H_1-H_2-(hnh*(H_1+H_2))-(TP*VE*(TCv_1*tCo4_1+TCv_1*tCo4_2))),IF(ScI=2,H_3*hnh,0))</f>
        <v>#DIV/0!</v>
      </c>
      <c r="AF215" s="88" t="e">
        <f>IF(ScI=1,(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IF(ScI=2,H_4*hnh,0))</f>
        <v>#DIV/0!</v>
      </c>
      <c r="AG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H_5*hnh/(TP-H_1-H_2-H_3-H_4-(hnh*(H_1+H_2+H_3+H_4))-(TP*VE*(TCv_1*tCo4_1+TCv_1*tCo4_2+TCv_1*tCo4_3+TCv_1*tCo4_4))),IF(ScI=2,H_5*hnh,0))</f>
        <v>#DIV/0!</v>
      </c>
      <c r="AH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H_6*hnh/(TP-H_1-H_2-H_3-H_4-H_5-(hnh*(H_1+H_2+H_3+H_4+H_5))-(TP*VE*(TCv_1*tCo4_1+TCv_1*tCo4_2+TCv_1*tCo4_3+TCv_1*tCo4_4+TCv_1*tCo4_5))),IF(ScI=2,H_6*hnh,0))</f>
        <v>#DIV/0!</v>
      </c>
      <c r="AI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H_7*hnh/(TP-H_1-H_2-H_3-H_4-H_5-H_6-(hnh*(H_1+H_2+H_3+H_4+H_5+H_6))-(TP*VE*(TCv_1*tCo4_1+TCv_1*tCo4_2+TCv_1*tCo4_3+TCv_1*tCo4_4+TCv_1*tCo4_5+TCv_1*tCo4_6))),IF(ScI=2,H_7*hnh,0))</f>
        <v>#DIV/0!</v>
      </c>
      <c r="AJ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H_8*hnh/(TP-H_1-H_2-H_3-H_4-H_5-H_6-H_7-(hnh*(H_1+H_2+H_3+H_4+H_5+H_6+H_7))-(TP*VE*(TCv_1*tCo4_1+TCv_1*tCo4_2+TCv_1*tCo4_3+TCv_1*tCo4_4+TCv_1*tCo4_5+TCv_1*tCo4_6+TCv_1*tCo4_7))),IF(ScI=2,H_8*hnh,0))</f>
        <v>#DIV/0!</v>
      </c>
      <c r="AK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H_9*hnh/(TP-H_1-H_2-H_3-H_4-H_5-H_6-H_7-H_8-(hnh*(H_1+H_2+H_3+H_4+H_5+H_6+H_7+H_8))-(TP*VE*(TCv_1*tCo4_1+TCv_1*tCo4_2+TCv_1*tCo4_3+TCv_1*tCo4_4+TCv_1*tCo4_5+TCv_1*tCo4_6+TCv_1*tCo4_7+TCv_1*tCo4_8))),IF(ScI=2,H_9*hnh,0))</f>
        <v>#DIV/0!</v>
      </c>
      <c r="AL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H_10*hnh/(TP-H_1-H_2-H_3-H_4-H_5-H_6-H_7-H_8-H_9-(hnh*(H_1+H_2+H_3+H_4+H_5+H_6+H_7+H_8+H_9))-(TP*VE*(TCv_1*tCo4_1+TCv_1*tCo4_2+TCv_1*tCo4_3+TCv_1*tCo4_4+TCv_1*tCo4_5+TCv_1*tCo4_6+TCv_1*tCo4_7+TCv_1*tCo4_8+TCv_1*tCo4_9))),IF(ScI=2,H_10*hnh,0))</f>
        <v>#DIV/0!</v>
      </c>
      <c r="AM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H_11*hnh/(TP-H_1-H_2-H_3-H_4-H_5-H_6-H_7-H_8-H_9-H_10-(hnh*(H_1+H_2+H_3+H_4+H_5+H_6+H_7+H_8+H_9+H_10))-(TP*VE*(TCv_1*tCo4_1+TCv_1*tCo4_2+TCv_1*tCo4_3+TCv_1*tCo4_4+TCv_1*tCo4_5+TCv_1*tCo4_6+TCv_1*tCo4_7+TCv_1*tCo4_8+TCv_1*tCo4_9+TCv_1*tCo4_10))),IF(ScI=2,H_11*hnh,0))</f>
        <v>#DIV/0!</v>
      </c>
      <c r="AN215" s="88" t="e">
        <f>IF(ScI=1,(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BF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BF216)*H_12*hnh/(TP-H_1-H_2-H_3-H_4-H_5-H_6-H_7-H_8-H_9-H_10-H_11-(hnh*(H_1+H_2+H_3+H_4+H_5+H_6+H_7+H_8+H_9+H_10+H_11))-(TP*VE*(TCv_1*tCo4_1+TCv_1*tCo4_2+TCv_1*tCo4_3+TCv_1*tCo4_4+TCv_1*tCo4_5+TCv_1*tCo4_6+TCv_1*tCo4_7+TCv_1*tCo4_8+TCv_1*tCo4_9+TCv_1*tCo4_10+TCv_1*tCo4_11))),IF(ScI=2,H_12*hnh,0))</f>
        <v>#DIV/0!</v>
      </c>
      <c r="AP215" s="103" t="s">
        <v>82</v>
      </c>
      <c r="AQ215" s="103" t="s">
        <v>83</v>
      </c>
      <c r="AR215" s="103" t="s">
        <v>84</v>
      </c>
      <c r="AS215" s="103" t="s">
        <v>85</v>
      </c>
      <c r="AT215" s="103" t="s">
        <v>86</v>
      </c>
      <c r="AU215" s="103" t="s">
        <v>87</v>
      </c>
      <c r="AV215" s="103" t="s">
        <v>88</v>
      </c>
      <c r="AW215" s="103" t="s">
        <v>89</v>
      </c>
      <c r="AX215" s="103" t="s">
        <v>90</v>
      </c>
      <c r="AZ215" s="103" t="s">
        <v>106</v>
      </c>
      <c r="BA215" s="103" t="s">
        <v>92</v>
      </c>
      <c r="BB215" s="103" t="s">
        <v>98</v>
      </c>
      <c r="BC215" s="103" t="s">
        <v>99</v>
      </c>
      <c r="BD215" s="103" t="s">
        <v>100</v>
      </c>
      <c r="BE215" s="103" t="s">
        <v>101</v>
      </c>
      <c r="BF215" s="103" t="s">
        <v>102</v>
      </c>
    </row>
    <row r="216" spans="1:58" hidden="1" outlineLevel="1" x14ac:dyDescent="0.25">
      <c r="F216" s="113"/>
      <c r="G216" s="31"/>
      <c r="H216" s="31"/>
      <c r="I216" s="31"/>
      <c r="J216" s="31"/>
      <c r="K216" s="31"/>
      <c r="L216" s="31"/>
      <c r="M216" s="31"/>
      <c r="N216" s="31"/>
      <c r="Q216" s="31"/>
      <c r="R216" s="97"/>
      <c r="S216" s="97"/>
      <c r="T216" s="97"/>
      <c r="U216" s="97"/>
      <c r="V216" s="97"/>
      <c r="W216" s="97"/>
      <c r="X216" s="97"/>
      <c r="Y216" s="97"/>
      <c r="Z216" s="97"/>
      <c r="AA216" s="97"/>
      <c r="AB216" s="97"/>
      <c r="AC216" s="98"/>
      <c r="AD216" s="98"/>
      <c r="AE216" s="98"/>
      <c r="AF216" s="98"/>
      <c r="AG216" s="98"/>
      <c r="AH216" s="98"/>
      <c r="AI216" s="98"/>
      <c r="AJ216" s="98"/>
      <c r="AK216" s="98"/>
      <c r="AL216" s="98"/>
      <c r="AM216" s="98"/>
      <c r="AN216" s="98"/>
      <c r="AP216" s="103" t="e">
        <f>((TP-H_1-((TP-H_1-(H_1*hnh)-(TP*TCv_1*tCo4_1*VE))*H_2/(TP-H_1-(H_1*hnh)))-(H_1*hnh)-((TP-H_1-(H_1*hnh)-(TP*TCv_1*tCo4_1*VE))*H_2*hnh/(TP-H_1-(H_1*hnh)))-(TP*TCv_1*tCo4_1*VE)-(TP*TCv_1*tCo4_2*VE))*(H_3*hnh/(TP-H_1-H_2-(hnh*(H_1+H_2)))))</f>
        <v>#DIV/0!</v>
      </c>
      <c r="AQ216" s="103" t="e">
        <f>(TP-H_1-((TP-H_1-(H_1*hnh)-(TP*TCv_1*tCo4_1*VE))*H_2/(TP-H_1-(H_1*hnh)))-AP214-(H_1*hnh)-((TP-H_1-(H_1*hnh)-(TP*TCv_1*tCo4_1*VE))*H_2*hnh/(TP-H_1-(H_1*hnh)))-AP216-(TP*TCv_1*tCo4_1*VE)-(TP*TCv_1*tCo4_2*VE)-(TP*TCv_1*tCo4_3*VE))*(H_4*hnh/(TP-H_1-H_2-H_3-(hnh*(H_1+H_2+H_3))))</f>
        <v>#DIV/0!</v>
      </c>
      <c r="AR216" s="103" t="e">
        <f>(TP-H_1-((TP-H_1-(H_1*hnh)-(TP*TCv_1*tCo4_1*VE))*H_2/(TP-H_1-(H_1*hnh)))-AP214-AQ214-(H_1*hnh)-((TP-H_1-(H_1*hnh)-(TP*TCv_1*tCo4_1*VE))*H_2*hnh/(TP-H_1-(H_1*hnh)))-AP216-AQ216-(TP*TCv_1*tCo4_1*VE)-(TP*TCv_1*tCo4_2*VE)-(TP*TCv_1*tCo4_3*VE)-(TP*TCv_1*tCo4_4*VE))*(H_5*hnh/(TP-H_1-H_2-H_3-H_4-(hnh*(H_1+H_2+H_3+H_4))))</f>
        <v>#DIV/0!</v>
      </c>
      <c r="AS216" s="103" t="e">
        <f>(TP-H_1-((TP-H_1-(H_1*hnh)-(TP*TCv_1*tCo4_1*VE))*H_2/(TP-H_1-(H_1*hnh)))-AP214-AQ214-AR214-(H_1*hnh)-((TP-H_1-(H_1*hnh)-(TP*TCv_1*tCo4_1*VE))*H_2*hnh/(TP-H_1-(H_1*hnh)))-AP216-AQ216-AR216-(TP*TCv_1*tCo4_1*VE)-(TP*TCv_1*tCo4_2*VE)-(TP*TCv_1*tCo4_3*VE)-(TP*TCv_1*tCo4_4*VE)-(TP*TCv_1*tCo4_5*VE))*(H_6*hnh/(TP-H_1-H_2-H_3-H_4-H_5-(hnh*(H_1+H_2+H_3+H_4+H_5))))</f>
        <v>#DIV/0!</v>
      </c>
      <c r="AT216" s="103" t="e">
        <f>(TP-H_1-((TP-H_1-(H_1*hnh)-(TP*TCv_1*tCo4_1*VE))*H_2/(TP-H_1-(H_1*hnh)))-AP214-AQ214-AR214-AS214-(H_1*hnh)-((TP-H_1-(H_1*hnh)-(TP*TCv_1*tCo4_1*VE))*H_2*hnh/(TP-H_1-(H_1*hnh)))-AP216-AQ216-AR216-AS216-(TP*TCv_1*tCo4_1*VE)-(TP*TCv_1*tCo4_2*VE)-(TP*TCv_1*tCo4_3*VE)-(TP*TCv_1*tCo4_4*VE)-(TP*TCv_1*tCo4_5*VE)-(TP*TCv_1*tCo4_6*VE))*(H_7*hnh/(TP-H_1-H_2-H_3-H_4-H_5-H_6-(hnh*(H_1+H_2+H_3+H_4+H_5+H_6))))</f>
        <v>#DIV/0!</v>
      </c>
      <c r="AU216" s="103" t="e">
        <f>(TP-H_1-((TP-H_1-(H_1*hnh)-(TP*TCv_1*tCo4_1*VE))*H_2/(TP-H_1-(H_1*hnh)))-AP214-AQ214-AR214-AS214-AT214-(H_1*hnh)-((TP-H_1-(H_1*hnh)-(TP*TCv_1*tCo4_1*VE))*H_2*hnh/(TP-H_1-(H_1*hnh)))-AP216-AQ216-AR216-AS216-AT216-(TP*TCv_1*tCo4_1*VE)-(TP*TCv_1*tCo4_2*VE)-(TP*TCv_1*tCo4_3*VE)-(TP*TCv_1*tCo4_4*VE)-(TP*TCv_1*tCo4_5*VE)-(TP*TCv_1*tCo4_6*VE)-(TP*TCv_1*tCo4_7*VE))*(H_8*hnh/(TP-H_1-H_2-H_3-H_4-H_5-H_6-H_7-(hnh*(H_1+H_2+H_3+H_4+H_5+H_6+H_7))))</f>
        <v>#DIV/0!</v>
      </c>
      <c r="AV216" s="103" t="e">
        <f>(TP-H_1-((TP-H_1-(H_1*hnh)-(TP*TCv_1*tCo4_1*VE))*H_2/(TP-H_1-(H_1*hnh)))-AP214-AQ214-AR214-AS214-AT214-AU214-(H_1*hnh)-((TP-H_1-(H_1*hnh)-(TP*TCv_1*tCo4_1*VE))*H_2*hnh/(TP-H_1-(H_1*hnh)))-AP216-AQ216-AR216-AS216-AT216-AU216-(TP*TCv_1*tCo4_1*VE)-(TP*TCv_1*tCo4_2*VE)-(TP*TCv_1*tCo4_3*VE)-(TP*TCv_1*tCo4_4*VE)-(TP*TCv_1*tCo4_5*VE)-(TP*TCv_1*tCo4_6*VE)-(TP*TCv_1*tCo4_7*VE)-(TP*TCv_1*tCo4_8*VE))*(H_9*hnh/(TP-H_1-H_2-H_3-H_4-H_5-H_6-H_7-H_8-(hnh*(H_1+H_2+H_3+H_4+H_5+H_6+H_7+H_8))))</f>
        <v>#DIV/0!</v>
      </c>
      <c r="AW216" s="103" t="e">
        <f>(TP-H_1-((TP-H_1-(H_1*hnh)-(TP*TCv_1*tCo4_1*VE))*H_2/(TP-H_1-(H_1*hnh)))-AP214-AQ214-AR214-AS214-AT214-AU214-AV214-(H_1*hnh)-((TP-H_1-(H_1*hnh)-(TP*TCv_1*tCo4_1*VE))*H_2*hnh/(TP-H_1-(H_1*hnh)))-AP216-AQ216-AR216-AS216-AT216-AU216-AV216-(TP*TCv_1*tCo4_1*VE)-(TP*TCv_1*tCo4_2*VE)-(TP*TCv_1*tCo4_3*VE)-(TP*TCv_1*tCo4_4*VE)-(TP*TCv_1*tCo4_5*VE)-(TP*TCv_1*tCo4_6*VE)-(TP*TCv_1*tCo4_7*VE)-(TP*TCv_1*tCo4_8*VE)-(TP*TCv_1*tCo4_9*VE))*(H_10*hnh/(TP-H_1-H_2-H_3-H_4-H_5-H_6-H_7-H_8-H_9-(hnh*(H_1+H_2+H_3+H_4+H_5+H_6+H_7+H_8+H_9))))</f>
        <v>#DIV/0!</v>
      </c>
      <c r="AX216" s="103" t="e">
        <f>(TP-H_1-((TP-H_1-(H_1*hnh)-(TP*TCv_1*tCo4_1*VE))*H_2/(TP-H_1-(H_1*hnh)))-AP214-AQ214-AR214-AS214-AT214-AU214-AV214-AW214-(H_1*hnh)-((TP-H_1-(H_1*hnh)-(TP*TCv_1*tCo4_1*VE))*H_2*hnh/(TP-H_1-(H_1*hnh)))-AP216-AQ216-AR216-AS216-AT216-AU216-AV216-AW216-(TP*TCv_1*tCo4_1*VE)-(TP*TCv_1*tCo4_2*VE)-(TP*TCv_1*tCo4_3*VE)-(TP*TCv_1*tCo4_4*VE)-(TP*TCv_1*tCo4_5*VE)-(TP*TCv_1*tCo4_6*VE)-(TP*TCv_1*tCo4_7*VE)-(TP*TCv_1*tCo4_8*VE)-(TP*TCv_1*tCo4_9*VE)-(TP*TCv_1*tCo4_10*VE))*(H_11*hnh/(TP-H_1-H_2-H_3-H_4-H_5-H_6-H_7-H_8-H_9-H_10-(hnh*(H_1+H_2+H_3+H_4+H_5+H_6+H_7+H_8+H_9+H_10))))</f>
        <v>#DIV/0!</v>
      </c>
      <c r="AZ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H_5*hnh/(TP-H_1-H_2-H_3-H_4-(hnh*(H_1+H_2+H_3+H_4))-(TP*VE*(TCv_1*tCo4_1+TCv_1*tCo4_2+TCv_1*tCo4_3+TCv_1*tCo4_4)))</f>
        <v>#DIV/0!</v>
      </c>
      <c r="BA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H_6*hnh/(TP-H_1-H_2-H_3-H_4-H_5-(hnh*(H_1+H_2+H_3+H_4+H_5))-(TP*VE*(TCv_1*tCo4_1+TCv_1*tCo4_2+TCv_1*tCo4_3+TCv_1*tCo4_4+TCv_1*tCo4_5)))</f>
        <v>#DIV/0!</v>
      </c>
      <c r="BB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H_7*hnh/(TP-H_1-H_2-H_3-H_4-H_5-H_6-(hnh*(H_1+H_2+H_3+H_4+H_5+H_6))-(TP*VE*(TCv_1*tCo4_1+TCv_1*tCo4_2+TCv_1*tCo4_3+TCv_1*tCo4_4+TCv_1*tCo4_5+TCv_1*tCo4_6)))</f>
        <v>#DIV/0!</v>
      </c>
      <c r="BC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H_8*hnh/(TP-H_1-H_2-H_3-H_4-H_5-H_6-H_7-(hnh*(H_1+H_2+H_3+H_4+H_5+H_6+H_7))-(TP*VE*(TCv_1*tCo4_1+TCv_1*tCo4_2+TCv_1*tCo4_3+TCv_1*tCo4_4+TCv_1*tCo4_5+TCv_1*tCo4_6+TCv_1*tCo4_7)))</f>
        <v>#DIV/0!</v>
      </c>
      <c r="BD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H_9*hnh/(TP-H_1-H_2-H_3-H_4-H_5-H_6-H_7-H_8-(hnh*(H_1+H_2+H_3+H_4+H_5+H_6+H_7+H_8))-(TP*VE*(TCv_1*tCo4_1+TCv_1*tCo4_2+TCv_1*tCo4_3+TCv_1*tCo4_4+TCv_1*tCo4_5+TCv_1*tCo4_6+TCv_1*tCo4_7+TCv_1*tCo4_8)))</f>
        <v>#DIV/0!</v>
      </c>
      <c r="BE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H_10*hnh/(TP-H_1-H_2-H_3-H_4-H_5-H_6-H_7-H_8-H_9-(hnh*(H_1+H_2+H_3+H_4+H_5+H_6+H_7+H_8+H_9))-(TP*VE*(TCv_1*tCo4_1+TCv_1*tCo4_2+TCv_1*tCo4_3+TCv_1*tCo4_4+TCv_1*tCo4_5+TCv_1*tCo4_6+TCv_1*tCo4_7+TCv_1*tCo4_8+TCv_1*tCo4_9)))</f>
        <v>#DIV/0!</v>
      </c>
      <c r="BF216" s="103" t="e">
        <f>(TP-H_1-((TP-H_1-(H_1*hnh))*H_2/(TP-H_1-(H_1*hnh)-(TP*TCv_1*tCo4_1*VE)))-((TP-H_1-((TP-H_1-(H_1*hnh))*H_2/(TP-H_1-(H_1*hnh)-(TP*TCv_1*tCo4_1*VE)))-(H_1*hnh)-((TP-H_1-(H_1*hnh))*H_2*hnh/(TP-H_1-(H_1*hnh)-(TP*TCv_1*tCo4_1*VE))))*H_3/(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TP-H_1-H_2-H_3-(hnh*(H_1+H_2+H_3))-(TP*VE*(TCv_1*tCo4_1+TCv_1*tCo4_2+TCv_1*tCo4_3))))-AZ214-BA214-BB214-BC214-BD214-BE214-(H_1*hnh)-((TP-H_1-(H_1*hnh))*H_2*hnh/(TP-H_1-(H_1*hnh)-(TP*TCv_1*tCo4_1*VE)))-((TP-H_1-((TP-H_1-(H_1*hnh))*H_2/(TP-H_1-(H_1*hnh)-(TP*TCv_1*tCo4_1*VE)))-(H_1*hnh)-((TP-H_1-(H_1*hnh))*H_2*hnh/(TP-H_1-(H_1*hnh)-(TP*TCv_1*tCo4_1*VE))))*H_3*hnh/(TP-H_1-H_2-(hnh*(H_1+H_2))-(TP*VE*(TCv_1*tCo4_1+TCv_1*tCo4_2))))-((TP-H_1-((TP-H_1-(H_1*hnh))*H_2/(TP-H_1-(H_1*hnh)-(TP*TCv_1*tCo4_1*VE)))-((TP-H_1-((TP-H_1-(H_1*hnh))*H_2/(TP-H_1-(H_1*hnh)-(TP*TCv_1*tCo4_1*VE)))-(H_1*hnh)-((TP-H_1-(H_1*hnh))*H_2*hnh/(TP-H_1-(H_1*hnh)-(TP*TCv_1*tCo4_1*VE))))*H_3/(TP-H_1-H_2-(hnh*(H_1+H_2))-(TP*VE*(TCv_1*tCo4_1+TCv_1*tCo4_2))))-(H_1*hnh)-((TP-H_1-(H_1*hnh))*H_2*hnh/(TP-H_1-(H_1*hnh)-(TP*TCv_1*tCo4_1*VE)))-((TP-H_1-((TP-H_1-(H_1*hnh))*H_2/(TP-H_1-(H_1*hnh)-(TP*TCv_1*tCo4_1*VE)))-(H_1*hnh)-((TP-H_1-(H_1*hnh))*H_2*hnh/(TP-H_1-(H_1*hnh)-(TP*TCv_1*tCo4_1*VE))))*H_3*hnh/(TP-H_1-H_2-(hnh*(H_1+H_2))-(TP*VE*(TCv_1*tCo4_1+TCv_1*tCo4_2)))))*H_4*hnh/(TP-H_1-H_2-H_3-(hnh*(H_1+H_2+H_3))-(TP*VE*(TCv_1*tCo4_1+TCv_1*tCo4_2+TCv_1*tCo4_3))))-AZ216-BA216-BB216-BC216-BD216-BE216)*H_11*hnh/(TP-H_1-H_2-H_3-H_4-H_5-H_6-H_7-H_8-H_9-H_10-(hnh*(H_1+H_2+H_3+H_4+H_5+H_6+H_7+H_8+H_9+H_10))-(TP*VE*(TCv_1*tCo4_1+TCv_1*tCo4_2+TCv_1*tCo4_3+TCv_1*tCo4_4+TCv_1*tCo4_5+TCv_1*tCo4_6+TCv_1*tCo4_7+TCv_1*tCo4_8+TCv_1*tCo4_9+TCv_1*tCo4_10)))</f>
        <v>#DIV/0!</v>
      </c>
    </row>
    <row r="217" spans="1:58" hidden="1" outlineLevel="1" x14ac:dyDescent="0.25">
      <c r="F217" s="112"/>
    </row>
    <row r="218" spans="1:58" hidden="1" outlineLevel="1" x14ac:dyDescent="0.25">
      <c r="F218" s="112"/>
    </row>
    <row r="219" spans="1:58" collapsed="1" x14ac:dyDescent="0.25"/>
    <row r="220" spans="1:58" s="105" customFormat="1" x14ac:dyDescent="0.25">
      <c r="A220" s="104" t="s">
        <v>309</v>
      </c>
      <c r="B220" s="104"/>
    </row>
    <row r="221" spans="1:58" hidden="1" outlineLevel="1" x14ac:dyDescent="0.25">
      <c r="Q221" s="102" t="s">
        <v>72</v>
      </c>
      <c r="R221" s="102"/>
      <c r="S221" s="102"/>
      <c r="T221" s="102"/>
      <c r="U221" s="102"/>
      <c r="V221" s="102"/>
      <c r="W221" s="102"/>
      <c r="X221" s="102"/>
      <c r="Y221" s="102"/>
      <c r="Z221" s="102"/>
      <c r="AA221" s="102"/>
      <c r="AB221" s="102"/>
      <c r="AC221" s="101" t="s">
        <v>104</v>
      </c>
      <c r="AD221" s="101"/>
      <c r="AE221" s="101"/>
      <c r="AF221" s="101"/>
      <c r="AG221" s="101"/>
      <c r="AH221" s="101"/>
      <c r="AI221" s="101"/>
      <c r="AJ221" s="101"/>
      <c r="AK221" s="101"/>
      <c r="AL221" s="101"/>
      <c r="AM221" s="101"/>
      <c r="AN221" s="101"/>
      <c r="AP221" s="103">
        <v>3</v>
      </c>
      <c r="AQ221" s="103">
        <v>4</v>
      </c>
      <c r="AR221" s="103">
        <v>5</v>
      </c>
      <c r="AS221" s="103">
        <v>6</v>
      </c>
      <c r="AT221" s="103">
        <v>7</v>
      </c>
      <c r="AU221" s="103">
        <v>8</v>
      </c>
      <c r="AV221" s="103">
        <v>9</v>
      </c>
      <c r="AW221" s="103">
        <v>10</v>
      </c>
      <c r="AX221" s="103">
        <v>11</v>
      </c>
      <c r="AZ221" s="103">
        <v>5</v>
      </c>
      <c r="BA221" s="103">
        <v>6</v>
      </c>
      <c r="BB221" s="103">
        <v>7</v>
      </c>
      <c r="BC221" s="103">
        <v>8</v>
      </c>
      <c r="BD221" s="103">
        <v>9</v>
      </c>
      <c r="BE221" s="103">
        <v>10</v>
      </c>
      <c r="BF221" s="103">
        <v>11</v>
      </c>
    </row>
    <row r="222" spans="1:58" ht="28.7" hidden="1" customHeight="1" outlineLevel="1" x14ac:dyDescent="0.25">
      <c r="A222" s="11" t="s">
        <v>47</v>
      </c>
      <c r="B222" s="11"/>
      <c r="C222" s="11"/>
      <c r="D222" s="11"/>
      <c r="E222" s="11"/>
      <c r="F222" s="11"/>
      <c r="G222" s="109" t="s">
        <v>50</v>
      </c>
      <c r="H222" s="109"/>
      <c r="I222" s="110" t="s">
        <v>44</v>
      </c>
      <c r="J222" s="110"/>
      <c r="K222" s="101" t="s">
        <v>58</v>
      </c>
      <c r="L222" s="101"/>
      <c r="M222" s="110" t="s">
        <v>45</v>
      </c>
      <c r="N222" s="110"/>
      <c r="Q222" s="102" t="s">
        <v>1</v>
      </c>
      <c r="R222" s="102"/>
      <c r="S222" s="102"/>
      <c r="T222" s="102"/>
      <c r="U222" s="102"/>
      <c r="V222" s="102"/>
      <c r="W222" s="102"/>
      <c r="X222" s="102"/>
      <c r="Y222" s="102"/>
      <c r="Z222" s="102"/>
      <c r="AA222" s="102"/>
      <c r="AB222" s="102"/>
      <c r="AC222" s="101" t="s">
        <v>71</v>
      </c>
      <c r="AD222" s="101"/>
      <c r="AE222" s="101"/>
      <c r="AF222" s="101"/>
      <c r="AG222" s="101"/>
      <c r="AH222" s="101"/>
      <c r="AI222" s="101"/>
      <c r="AJ222" s="101"/>
      <c r="AK222" s="101"/>
      <c r="AL222" s="101"/>
      <c r="AM222" s="101"/>
      <c r="AN222" s="101"/>
      <c r="AP222" s="103" t="s">
        <v>73</v>
      </c>
      <c r="AQ222" s="103" t="s">
        <v>74</v>
      </c>
      <c r="AR222" s="103" t="s">
        <v>75</v>
      </c>
      <c r="AS222" s="103" t="s">
        <v>76</v>
      </c>
      <c r="AT222" s="103" t="s">
        <v>77</v>
      </c>
      <c r="AU222" s="103" t="s">
        <v>78</v>
      </c>
      <c r="AV222" s="103" t="s">
        <v>79</v>
      </c>
      <c r="AW222" s="103" t="s">
        <v>80</v>
      </c>
      <c r="AX222" s="103" t="s">
        <v>81</v>
      </c>
      <c r="AZ222" s="103" t="s">
        <v>105</v>
      </c>
      <c r="BA222" s="103" t="s">
        <v>91</v>
      </c>
      <c r="BB222" s="103" t="s">
        <v>93</v>
      </c>
      <c r="BC222" s="103" t="s">
        <v>94</v>
      </c>
      <c r="BD222" s="103" t="s">
        <v>95</v>
      </c>
      <c r="BE222" s="103" t="s">
        <v>96</v>
      </c>
      <c r="BF222" s="103" t="s">
        <v>97</v>
      </c>
    </row>
    <row r="223" spans="1:58" ht="45" hidden="1" outlineLevel="1" x14ac:dyDescent="0.25">
      <c r="A223" s="70" t="s">
        <v>40</v>
      </c>
      <c r="B223" s="70" t="s">
        <v>41</v>
      </c>
      <c r="C223" s="70" t="s">
        <v>53</v>
      </c>
      <c r="D223" s="70" t="s">
        <v>48</v>
      </c>
      <c r="E223" s="70" t="s">
        <v>42</v>
      </c>
      <c r="F223" s="76" t="s">
        <v>49</v>
      </c>
      <c r="G223" s="71" t="s">
        <v>51</v>
      </c>
      <c r="H223" s="71" t="s">
        <v>52</v>
      </c>
      <c r="I223" s="72" t="s">
        <v>51</v>
      </c>
      <c r="J223" s="72" t="s">
        <v>52</v>
      </c>
      <c r="K223" s="77" t="s">
        <v>51</v>
      </c>
      <c r="L223" s="77" t="s">
        <v>52</v>
      </c>
      <c r="M223" s="72" t="s">
        <v>51</v>
      </c>
      <c r="N223" s="72" t="s">
        <v>52</v>
      </c>
      <c r="Q223" s="102">
        <v>1</v>
      </c>
      <c r="R223" s="102">
        <v>2</v>
      </c>
      <c r="S223" s="102">
        <v>3</v>
      </c>
      <c r="T223" s="102">
        <v>4</v>
      </c>
      <c r="U223" s="102">
        <v>5</v>
      </c>
      <c r="V223" s="102">
        <v>6</v>
      </c>
      <c r="W223" s="102">
        <v>7</v>
      </c>
      <c r="X223" s="102">
        <v>8</v>
      </c>
      <c r="Y223" s="102">
        <v>9</v>
      </c>
      <c r="Z223" s="102">
        <v>10</v>
      </c>
      <c r="AA223" s="102">
        <v>11</v>
      </c>
      <c r="AB223" s="102">
        <v>12</v>
      </c>
      <c r="AC223" s="101">
        <v>1</v>
      </c>
      <c r="AD223" s="101">
        <v>2</v>
      </c>
      <c r="AE223" s="101">
        <v>3</v>
      </c>
      <c r="AF223" s="101">
        <v>4</v>
      </c>
      <c r="AG223" s="101">
        <v>5</v>
      </c>
      <c r="AH223" s="101">
        <v>6</v>
      </c>
      <c r="AI223" s="101">
        <v>7</v>
      </c>
      <c r="AJ223" s="101">
        <v>8</v>
      </c>
      <c r="AK223" s="101">
        <v>9</v>
      </c>
      <c r="AL223" s="101">
        <v>10</v>
      </c>
      <c r="AM223" s="101">
        <v>11</v>
      </c>
      <c r="AN223" s="101">
        <v>12</v>
      </c>
      <c r="AP223" s="103" t="e">
        <f>((TP-H_1-((TP-H_1-(H_1*hnh)-(TP*TCv_2*tCo4_1*VE))*H_2/(TP-H_1-(H_1*hnh)))-(H_1*hnh)-((TP-H_1-(H_1*hnh)-(TP*TCv_2*tCo4_1*VE))*H_2*hnh/(TP-H_1-(H_1*hnh)))-(TP*TCv_2*tCo4_1*VE)-(TP*TCv_2*tCo4_2*VE))*(H_3/(TP-H_1-H_2-(hnh*(H_1+H_2)))))</f>
        <v>#DIV/0!</v>
      </c>
      <c r="AQ223" s="103" t="e">
        <f>(TP-H_1-((TP-H_1-(H_1*hnh)-(TP*TCv_2*tCo4_1*VE))*H_2/(TP-H_1-(H_1*hnh)))-AP223-(H_1*hnh)-((TP-H_1-(H_1*hnh)-(TP*TCv_2*tCo4_1*VE))*H_2*hnh/(TP-H_1-(H_1*hnh)))-AP225-(TP*TCv_2*tCo4_1*VE)-(TP*TCv_2*tCo4_2*VE)-(TP*TCv_2*tCo4_3*VE))*(H_4/(TP-H_1-H_2-H_3-(hnh*(H_1+H_2+H_3))))</f>
        <v>#DIV/0!</v>
      </c>
      <c r="AR223" s="103" t="e">
        <f>(TP-H_1-((TP-H_1-(H_1*hnh)-(TP*TCv_2*tCo4_1*VE))*H_2/(TP-H_1-(H_1*hnh)))-AP223-AQ223-(H_1*hnh)-((TP-H_1-(H_1*hnh)-(TP*TCv_2*tCo4_1*VE))*H_2*hnh/(TP-H_1-(H_1*hnh)))-AP225-AQ225-(TP*TCv_2*tCo4_1*VE)-(TP*TCv_2*tCo4_2*VE)-(TP*TCv_2*tCo4_3*VE)-(TP*TCv_2*tCo4_4*VE))*(H_5/(TP-H_1-H_2-H_3-H_4-(hnh*(H_1+H_2+H_3+H_4))))</f>
        <v>#DIV/0!</v>
      </c>
      <c r="AS223" s="103" t="e">
        <f>(TP-H_1-((TP-H_1-(H_1*hnh)-(TP*TCv_2*tCo4_1*VE))*H_2/(TP-H_1-(H_1*hnh)))-AP223-AQ223-AR223-(H_1*hnh)-((TP-H_1-(H_1*hnh)-(TP*TCv_2*tCo4_1*VE))*H_2*hnh/(TP-H_1-(H_1*hnh)))-AP225-AQ225-AR225-(TP*TCv_2*tCo4_1*VE)-(TP*TCv_2*tCo4_2*VE)-(TP*TCv_2*tCo4_3*VE)-(TP*TCv_2*tCo4_4*VE)-(TP*TCv_2*tCo4_5*VE))*(H_6/(TP-H_1-H_2-H_3-H_4-H_5-(hnh*(H_1+H_2+H_3+H_4+H_5))))</f>
        <v>#DIV/0!</v>
      </c>
      <c r="AT223" s="103" t="e">
        <f>(TP-H_1-((TP-H_1-(H_1*hnh)-(TP*TCv_2*tCo4_1*VE))*H_2/(TP-H_1-(H_1*hnh)))-AP223-AQ223-AR223-AS223-(H_1*hnh)-((TP-H_1-(H_1*hnh)-(TP*TCv_2*tCo4_1*VE))*H_2*hnh/(TP-H_1-(H_1*hnh)))-AP225-AQ225-AR225-AS225-(TP*TCv_2*tCo4_1*VE)-(TP*TCv_2*tCo4_2*VE)-(TP*TCv_2*tCo4_3*VE)-(TP*TCv_2*tCo4_4*VE)-(TP*TCv_2*tCo4_5*VE)-(TP*TCv_2*tCo4_6*VE))*(H_7/(TP-H_1-H_2-H_3-H_4-H_5-H_6-(hnh*(H_1+H_2+H_3+H_4+H_5+H_6))))</f>
        <v>#DIV/0!</v>
      </c>
      <c r="AU223" s="103" t="e">
        <f>(TP-H_1-((TP-H_1-(H_1*hnh)-(TP*TCv_2*tCo4_1*VE))*H_2/(TP-H_1-(H_1*hnh)))-AP223-AQ223-AR223-AS223-AT223-(H_1*hnh)-((TP-H_1-(H_1*hnh)-(TP*TCv_2*tCo4_1*VE))*H_2*hnh/(TP-H_1-(H_1*hnh)))-AP225-AQ225-AR225-AS225-AT225-(TP*TCv_2*tCo4_1*VE)-(TP*TCv_2*tCo4_2*VE)-(TP*TCv_2*tCo4_3*VE)-(TP*TCv_2*tCo4_4*VE)-(TP*TCv_2*tCo4_5*VE)-(TP*TCv_2*tCo4_6*VE)-(TP*TCv_2*tCo4_7*VE))*(H_8/(TP-H_1-H_2-H_3-H_4-H_5-H_6-H_7-(hnh*(H_1+H_2+H_3+H_4+H_5+H_6+H_7))))</f>
        <v>#DIV/0!</v>
      </c>
      <c r="AV223" s="103" t="e">
        <f>(TP-H_1-((TP-H_1-(H_1*hnh)-(TP*TCv_2*tCo4_1*VE))*H_2/(TP-H_1-(H_1*hnh)))-AP223-AQ223-AR223-AS223-AT223-AU223-(H_1*hnh)-((TP-H_1-(H_1*hnh)-(TP*TCv_2*tCo4_1*VE))*H_2*hnh/(TP-H_1-(H_1*hnh)))-AP225-AQ225-AR225-AS225-AT225-AU225-(TP*TCv_2*tCo4_1*VE)-(TP*TCv_2*tCo4_2*VE)-(TP*TCv_2*tCo4_3*VE)-(TP*TCv_2*tCo4_4*VE)-(TP*TCv_2*tCo4_5*VE)-(TP*TCv_2*tCo4_6*VE)-(TP*TCv_2*tCo4_7*VE)-(TP*TCv_2*tCo4_8*VE))*(H_9/(TP-H_1-H_2-H_3-H_4-H_5-H_6-H_7-H_8-(hnh*(H_1+H_2+H_3+H_4+H_5+H_6+H_7+H_8))))</f>
        <v>#DIV/0!</v>
      </c>
      <c r="AW223" s="103" t="e">
        <f>(TP-H_1-((TP-H_1-(H_1*hnh)-(TP*TCv_2*tCo4_1*VE))*H_2/(TP-H_1-(H_1*hnh)))-AP223-AQ223-AR223-AS223-AT223-AU223-AV223-(H_1*hnh)-((TP-H_1-(H_1*hnh)-(TP*TCv_2*tCo4_1*VE))*H_2*hnh/(TP-H_1-(H_1*hnh)))-AP225-AQ225-AR225-AS225-AT225-AU225-AV225-(TP*TCv_2*tCo4_1*VE)-(TP*TCv_2*tCo4_2*VE)-(TP*TCv_2*tCo4_3*VE)-(TP*TCv_2*tCo4_4*VE)-(TP*TCv_2*tCo4_5*VE)-(TP*TCv_2*tCo4_6*VE)-(TP*TCv_2*tCo4_7*VE)-(TP*TCv_2*tCo4_8*VE)-(TP*TCv_2*tCo4_9*VE))*(H_10/(TP-H_1-H_2-H_3-H_4-H_5-H_6-H_7-H_8-H_9-(hnh*(H_1+H_2+H_3+H_4+H_5+H_6+H_7+H_8+H_9))))</f>
        <v>#DIV/0!</v>
      </c>
      <c r="AX223" s="103" t="e">
        <f>(TP-H_1-((TP-H_1-(H_1*hnh)-(TP*TCv_2*tCo4_1*VE))*H_2/(TP-H_1-(H_1*hnh)))-AP223-AQ223-AR223-AS223-AT223-AU223-AV223-AW223-(H_1*hnh)-((TP-H_1-(H_1*hnh)-(TP*TCv_2*tCo4_1*VE))*H_2*hnh/(TP-H_1-(H_1*hnh)))-AP225-AQ225-AR225-AS225-AT225-AU225-AV225-AW225-(TP*TCv_2*tCo4_1*VE)-(TP*TCv_2*tCo4_2*VE)-(TP*TCv_2*tCo4_3*VE)-(TP*TCv_2*tCo4_4*VE)-(TP*TCv_2*tCo4_5*VE)-(TP*TCv_2*tCo4_6*VE)-(TP*TCv_2*tCo4_7*VE)-(TP*TCv_2*tCo4_8*VE)-(TP*TCv_2*tCo4_9*VE)-(TP*TCv_2*tCo4_10*VE))*(H_11/(TP-H_1-H_2-H_3-H_4-H_5-H_6-H_7-H_8-H_9-H_10-(hnh*(H_1+H_2+H_3+H_4+H_5+H_6+H_7+H_8+H_9+H_10))))</f>
        <v>#DIV/0!</v>
      </c>
      <c r="AZ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H_5/(TP-H_1-H_2-H_3-H_4-(hnh*(H_1+H_2+H_3+H_4))-(TP*VE*(TCv_2*tCo4_1+TCv_2*tCo4_2+TCv_2*tCo4_3+TCv_2*tCo4_4)))</f>
        <v>#DIV/0!</v>
      </c>
      <c r="BA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H_6/(TP-H_1-H_2-H_3-H_4-H_5-(hnh*(H_1+H_2+H_3+H_4+H_5))-(TP*VE*(TCv_2*tCo4_1+TCv_2*tCo4_2+TCv_2*tCo4_3+TCv_2*tCo4_4+TCv_2*tCo4_5)))</f>
        <v>#DIV/0!</v>
      </c>
      <c r="BB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H_7/(TP-H_1-H_2-H_3-H_4-H_5-H_6-(hnh*(H_1+H_2+H_3+H_4+H_5+H_6))-(TP*VE*(TCv_2*tCo4_1+TCv_2*tCo4_2+TCv_2*tCo4_3+TCv_2*tCo4_4+TCv_2*tCo4_5+TCv_2*tCo4_6)))</f>
        <v>#DIV/0!</v>
      </c>
      <c r="BC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H_8/(TP-H_1-H_2-H_3-H_4-H_5-H_6-H_7-(hnh*(H_1+H_2+H_3+H_4+H_5+H_6+H_7))-(TP*VE*(TCv_2*tCo4_1+TCv_2*tCo4_2+TCv_2*tCo4_3+TCv_2*tCo4_4+TCv_2*tCo4_5+TCv_2*tCo4_6+TCv_2*tCo4_7)))</f>
        <v>#DIV/0!</v>
      </c>
      <c r="BD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H_9/(TP-H_1-H_2-H_3-H_4-H_5-H_6-H_7-H_8-(hnh*(H_1+H_2+H_3+H_4+H_5+H_6+H_7+H_8))-(TP*VE*(TCv_2*tCo4_1+TCv_2*tCo4_2+TCv_2*tCo4_3+TCv_2*tCo4_4+TCv_2*tCo4_5+TCv_2*tCo4_6+TCv_2*tCo4_7+TCv_2*tCo4_8)))</f>
        <v>#DIV/0!</v>
      </c>
      <c r="BE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H_10/(TP-H_1-H_2-H_3-H_4-H_5-H_6-H_7-H_8-H_9-(hnh*(H_1+H_2+H_3+H_4+H_5+H_6+H_7+H_8+H_9))-(TP*VE*(TCv_2*tCo4_1+TCv_2*tCo4_2+TCv_2*tCo4_3+TCv_2*tCo4_4+TCv_2*tCo4_5+TCv_2*tCo4_6+TCv_2*tCo4_7+TCv_2*tCo4_8+TCv_2*tCo4_9)))</f>
        <v>#DIV/0!</v>
      </c>
      <c r="BF223"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H_11/(TP-H_1-H_2-H_3-H_4-H_5-H_6-H_7-H_8-H_9-H_10-(hnh*(H_1+H_2+H_3+H_4+H_5+H_6+H_7+H_8+H_9+H_10))-(TP*VE*(TCv_2*tCo4_1+TCv_2*tCo4_2+TCv_2*tCo4_3+TCv_2*tCo4_4+TCv_2*tCo4_5+TCv_2*tCo4_6+TCv_2*tCo4_7+TCv_2*tCo4_8+TCv_2*tCo4_9+TCv_2*tCo4_10)))</f>
        <v>#DIV/0!</v>
      </c>
    </row>
    <row r="224" spans="1:58" hidden="1" outlineLevel="1" x14ac:dyDescent="0.25">
      <c r="A224" s="73">
        <f>season</f>
        <v>0</v>
      </c>
      <c r="B224" s="73">
        <f>TG</f>
        <v>0</v>
      </c>
      <c r="C224" s="73">
        <f>TP</f>
        <v>0</v>
      </c>
      <c r="D224" s="74">
        <f>TCv</f>
        <v>0</v>
      </c>
      <c r="E224" s="75">
        <f>VE</f>
        <v>0</v>
      </c>
      <c r="F224" s="78" t="e">
        <f>G224/IF(mb=1,SUM(AC224:AN224),IF(mb=2,SUM(AD224:AN224),IF(mb=3,SUM(AE224:AN224),IF(mb=4,SUM(AF224:AN224),IF(mb=5,SUM(AG224:AN224),IF(mb=6,SUM(AH224:AN224),IF(mb=7,SUM(AI224:AN224),IF(mb=8,SUM(AJ224:AN224),0))))))))</f>
        <v>#DIV/0!</v>
      </c>
      <c r="G224" s="42">
        <f>IF(mb=1,SUM(AC224:AN224)-SUM(Q224:AB224),IF(mb=2,SUM(AD224:AN224)-SUM(R224:AB224),IF(mb=3,SUM(AE224:AN224)-SUM(S224:AB224),IF(mb=4,SUM(AF224:AN224)-SUM(T224:AB224),IF(mb=5,SUM(AG224:AN224)-SUM(U224:AB224),IF(mb=6,SUM(AH224:AN224)-SUM(V224:AB224),IF(mb=7,SUM(AI224:AN224)-SUM(W224:AB224),IF(mb=8,SUM(AJ224:AN224)-SUM(X224:AB224),0))))))))</f>
        <v>0</v>
      </c>
      <c r="H224" s="96" t="e">
        <f>1/(VE*IF(mb=1,SUM(AC224:AN224),IF(mb=2,SUM(AD224:AN224),IF(mb=3,SUM(AE224:AN224),IF(mb=4,SUM(AF224:AN224),IF(mb=5,SUM(AG224:AN224),IF(mb=6,SUM(AH224:AN224),IF(mb=7,SUM(AI224:AN224),IF(mb=8,SUM(AJ224:AN224),0))))))))/TP)</f>
        <v>#DIV/0!</v>
      </c>
      <c r="I224" s="93" t="e">
        <f>G224/hnh</f>
        <v>#DIV/0!</v>
      </c>
      <c r="J224" s="42" t="e">
        <f>1/(VE*IF(mb=1,SUM(AC224:AN224),IF(mb=2,SUM(AD224:AN224),IF(mb=3,SUM(AE224:AN224),IF(mb=4,SUM(AF224:AN224),IF(mb=5,SUM(AG224:AN224),IF(mb=6,SUM(AH224:AN224),IF(mb=7,SUM(AI224:AN224),IF(mb=8,SUM(AJ224:AN224),0))))))))/(TP*hnh))</f>
        <v>#DIV/0!</v>
      </c>
      <c r="K224" s="42" t="e">
        <f>M224*mai</f>
        <v>#DIV/0!</v>
      </c>
      <c r="L224" s="42" t="e">
        <f>1/(VE*((IF(mb=1,SUM(AC224:AN224),IF(mb=2,SUM(AD224:AN224),IF(mb=3,SUM(AE224:AN224),IF(mb=4,SUM(AF224:AN224),IF(mb=5,SUM(AG224:AN224),IF(mb=6,SUM(AH224:AN224),IF(mb=7,SUM(AI224:AN224),IF(mb=8,SUM(AJ224:AN224),0))))))))+(IF(mb=1,SUM(AC224:AN224),IF(mb=2,SUM(AD224:AN224),IF(mb=3,SUM(AE224:AN224),IF(mb=4,SUM(AF224:AN224),IF(mb=5,SUM(AG224:AN224),IF(mb=6,SUM(AH224:AN224),IF(mb=7,SUM(AI224:AN224),IF(mb=8,SUM(AJ224:AN224),0)))))))))/hnh)*mai)/TP)</f>
        <v>#DIV/0!</v>
      </c>
      <c r="M224" s="42" t="e">
        <f>G224+I224</f>
        <v>#DIV/0!</v>
      </c>
      <c r="N224" s="42" t="e">
        <f>1/(VE*(IF(mb=1,SUM(AC224:AN224),IF(mb=2,SUM(AD224:AN224),IF(mb=3,SUM(AE224:AN224),IF(mb=4,SUM(AF224:AN224),IF(mb=5,SUM(AG224:AN224),IF(mb=6,SUM(AH224:AN224),IF(mb=7,SUM(AI224:AN224),IF(mb=8,SUM(AJ224:AN224),0))))))))+(IF(mb=1,SUM(AC224:AN224),IF(mb=2,SUM(AD224:AN224),IF(mb=3,SUM(AE224:AN224),IF(mb=4,SUM(AF224:AN224),IF(mb=5,SUM(AG224:AN224),IF(mb=6,SUM(AH224:AN224),IF(mb=7,SUM(AI224:AN224),IF(mb=8,SUM(AJ224:AN224),0)))))))))/hnh)/TP)</f>
        <v>#DIV/0!</v>
      </c>
      <c r="Q224" s="86" t="e">
        <f>IF(ISc=1,nh1_1,IF(ISc=2,H_1*hnh,0))</f>
        <v>#DIV/0!</v>
      </c>
      <c r="R224" s="111" t="e">
        <f>IF(ScI=1,((nh1_2/(TP-(nh1_1/hnh)-nh1_1))*(TP-(nh1_1/hnh)-nh1_1-(TP*TCv_2*tCo4_1*VE))),IF(ScI=2,(TP-H_1-(H_1*hnh)-(TP*TCv_2*tCo4_1*VE))*(H_2*hnh/(TP-H_1-(H_1*hnh))),"fal"))</f>
        <v>#DIV/0!</v>
      </c>
      <c r="S224" s="137" t="e">
        <f>IF(ScI=1,(nh1_3/(TP-((nh1_1+nh1_2)/hnh)-nh1_1-nh1_2))*(TP-(nh1_1/hnh)-(R224/hnh)-nh1_1-R224-(TP*VE*(TCv_2*tCo4_1+TCv_2*tCo4_2))),IF(ScI=2,(TP-H_1-((TP-H_1-(H_1*hnh)-(TP*TCv_2*tCo4_1*VE))*H_2/(TP-H_1-(H_1*hnh)))-(H_1*hnh)-((TP-H_1-(H_1*hnh)-(TP*TCv_2*tCo4_1*VE))*H_2*hnh/(TP-H_1-(H_1*hnh)))-(TP*TCv_2*tCo4_1*VE)-(TP*TCv_2*tCo4_2*VE))*(H_3*hnh/(TP-H_1-H_2-(hnh*(H_1+H_2)))),0))</f>
        <v>#DIV/0!</v>
      </c>
      <c r="T224" s="86" t="e">
        <f>IF(ScI=1,(nh1_4/(TP-(nh1_1/hnh)-(nh1_2/hnh)-(nh1_3/hnh)-nh1_1-nh1_2-nh1_3))*(TP-(nh1_1/hnh)-(R224/hnh)-(S224/hnh)-nh1_1-R224-S224-(TP*VE*(TCv_2*tCo4_1+TCv_2*tCo4_2+TCv_2*tCo4_3))),IF(ScI=2,(TP-H_1-((TP-H_1-(H_1*hnh)-(TP*TCv_2*tCo4_1*VE))*H_2/(TP-H_1-(H_1*hnh)))-((TP-H_1-(((TP-H_1-(H_1*hnh)-(TP*TCv_2*tCo4_1*VE))*H_2/(TP-H_1-(H_1*hnh))))-(H_1*hnh)-((TP-H_1-(H_1*hnh)-(TP*TCv_2*tCo4_1*VE))*H_2*hnh/(TP-H_1-(H_1*hnh)))-(TP*TCv_2*tCo4_1*VE)-(TP*TCv_2*tCo4_2*VE))*(H_3/(TP-H_1-H_2-(hnh*(H_1+H_2)))))-(H_1*hnh)-((TP-H_1-(H_1*hnh)-(TP*TCv_2*tCo4_1*VE))*H_2*hnh/(TP-H_1-(H_1*hnh)))-((TP-H_1-(((TP-H_1-(H_1*hnh)-(TP*TCv_2*tCo4_1*VE))*H_2/(TP-H_1-(H_1*hnh))))-(H_1*hnh)-(((TP-H_1-(H_1*hnh)-(TP*TCv_2*tCo4_1*VE))*H_2*hnh/(TP-H_1-(H_1*hnh))))-(TP*TCv_2*tCo4_1*VE)-(TP*TCv_2*tCo4_2*VE))*(H_3*hnh/(TP-H_1-H_2-(hnh*(H_1+H_2)))))-(TP*TCv_2*tCo4_1*VE)-(TP*TCv_2*tCo4_2*VE)-(TP*TCv_2*tCo4_3*VE))*(H_4*hnh/(TP-H_1-H_2-H_3-(hnh*(H_1+H_2+H_3)))),0))</f>
        <v>#DIV/0!</v>
      </c>
      <c r="U224" s="86" t="e">
        <f>IF(ScI=1,(nh1_5/(TP-(nh1_1/hnh)-(nh1_2/hnh)-(nh1_3/hnh)-(nh1_4/hnh)-nh1_1-nh1_2-nh1_3-nh1_4))*(TP-(nh1_1/hnh)-(R224/hnh)-(S224/hnh)-(T224/hnh)-nh1_1-R224-S224-T224-(TP*VE*(TCv_2*tCo4_1+TCv_2*tCo4_2+TCv_2*tCo4_3+TCv_2*tCo4_4))),IF(ScI=2,(TP-H_1-(((TP-H_1-(H_1*hnh)-(TP*TCv_2*tCo4_1*VE))*H_2/(TP-H_1-(H_1*hnh))))-AP223-AQ223-(H_1*hnh)-((TP-H_1-(H_1*hnh)-(TP*TCv_2*tCo4_1*VE))*H_2*hnh/(TP-H_1-(H_1*hnh)))-AP225-AQ225-(TP*TCv_2*tCo4_1*VE)-(TP*TCv_2*tCo4_2*VE)-(TP*TCv_2*tCo4_3*VE)-(TP*TCv_2*tCo4_4*VE))*(H_5*hnh/(TP-H_1-H_2-H_3-H_4-(hnh*(H_1+H_2+H_3+H_4)))),0))</f>
        <v>#DIV/0!</v>
      </c>
      <c r="V224" s="86" t="e">
        <f>IF(ScI=1,(nh1_6/(TP-(nh1_1/hnh)-(nh1_2/hnh)-(nh1_3/hnh)-(nh1_4/hnh)-(nh1_5/hnh)-nh1_1-nh1_2-nh1_3-nh1_4-nh1_5))*(TP-(nh1_1/hnh)-(R224/hnh)-(S224/hnh)-(T224/hnh)-(U224/hnh)-nh1_1-R224-S224-T224-U224-(TP*VE*(TCv_2*tCo4_1+TCv_2*tCo4_2+TCv_2*tCo4_3+TCv_2*tCo4_4+TCv_2*tCo4_5))),IF(ScI=2,(TP-H_1-((TP-H_1-(H_1*hnh)-(TP*TCv_2*tCo4_1*VE))*H_2/(TP-H_1-(H_1*hnh)))-AP223-AQ223-AR223-(H_1*hnh)-((TP-H_1-(H_1*hnh)-(TP*TCv_2*tCo4_1*VE))*H_2*hnh/(TP-H_1-(H_1*hnh)))-AP225-AQ225-AR225-(TP*TCv_2*tCo4_1*VE)-(TP*TCv_2*tCo4_2*VE)-(TP*TCv_2*tCo4_3*VE)-(TP*TCv_2*tCo4_4*VE)-(TP*TCv_2*tCo4_5*VE))*(H_6*hnh/(TP-H_1-H_2-H_3-H_4-H_5-(hnh*(H_1+H_2+H_3+H_4+H_5)))),0))</f>
        <v>#DIV/0!</v>
      </c>
      <c r="W224" s="86" t="e">
        <f>IF(ScI=1,(nh1_7/(TP-(nh1_1/hnh)-(nh1_2/hnh)-(nh1_3/hnh)-(nh1_4/hnh)-(nh1_5/hnh)-(nh1_6/hnh)-nh1_1-nh1_2-nh1_3-nh1_4-nh1_5-nh1_6))*(TP-(nh1_1/hnh)-(R224/hnh)-(S224/hnh)-(T224/hnh)-(U224/hnh)-(V224/hnh)-nh1_1-R224-S224-T224-U224-V224-(TP*VE*(TCv_2*tCo4_1+TCv_2*tCo4_2+TCv_2*tCo4_3+TCv_2*tCo4_4+TCv_2*tCo4_5+TCv_2*tCo4_6))),IF(ScI=2,(TP-H_1-((TP-H_1-(H_1*hnh)-(TP*TCv_2*tCo4_1*VE))*H_2/(TP-H_1-(H_1*hnh)))-AP223-AQ223-AR223-AS223-(H_1*hnh)-((TP-H_1-(H_1*hnh)-(TP*TCv_2*tCo4_1*VE))*H_2*hnh/(TP-H_1-(H_1*hnh)))-AP225-AQ225-AR225-AS225-(TP*TCv_2*tCo4_1*VE)-(TP*TCv_2*tCo4_2*VE)-(TP*TCv_2*tCo4_3*VE)-(TP*TCv_2*tCo4_4*VE)-(TP*TCv_2*tCo4_5*VE)-(TP*TCv_2*tCo4_6*VE))*(H_7*hnh/(TP-H_1-H_2-H_3-H_4-H_5-H_6-(hnh*(H_1+H_2+H_3+H_4+H_5+H_6)))),0))</f>
        <v>#DIV/0!</v>
      </c>
      <c r="X224" s="86" t="e">
        <f>IF(ScI=1,(nh1_8/(TP-(nh1_1/hnh)-(nh1_2/hnh)-(nh1_3/hnh)-(nh1_4/hnh)-(nh1_5/hnh)-(nh1_6/hnh)-(nh1_7/hnh)-nh1_1-nh1_2-nh1_3-nh1_4-nh1_5-nh1_6-nh1_7))*(TP-(nh1_1/hnh)-(R224/hnh)-(S224/hnh)-(T224/hnh)-(U224/hnh)-(V224/hnh)-(W224/hnh)-nh1_1-R224-S224-T224-U224-V224-W224-(TP*VE*(TCv_2*tCo4_1+TCv_2*tCo4_2+TCv_2*tCo4_3+TCv_2*tCo4_4+TCv_2*tCo4_5+TCv_2*tCo4_6+TCv_2*tCo4_7))),IF(ScI=2,(TP-H_1-((TP-H_1-(H_1*hnh)-(TP*TCv_2*tCo4_1*VE))*H_2/(TP-H_1-(H_1*hnh)))-AP223-AQ223-AR223-AS223-AT223-(H_1*hnh)-((TP-H_1-(H_1*hnh)-(TP*TCv_2*tCo4_1*VE))*H_2*hnh/(TP-H_1-(H_1*hnh)))-AP225-AQ225-AR225-AS225-AT225-(TP*TCv_2*tCo4_1*VE)-(TP*TCv_2*tCo4_2*VE)-(TP*TCv_2*tCo4_3*VE)-(TP*TCv_2*tCo4_4*VE)-(TP*TCv_2*tCo4_5*VE)-(TP*TCv_2*tCo4_6*VE)-(TP*TCv_2*tCo4_7*VE))*(H_8*hnh/(TP-H_1-H_2-H_3-H_4-H_5-H_6-H_7-(hnh*(H_1+H_2+H_3+H_4+H_5+H_6+H_7)))),0))</f>
        <v>#DIV/0!</v>
      </c>
      <c r="Y224" s="86" t="e">
        <f>IF(ScI=1,(nh1_9/(TP-(nh1_1/hnh)-(nh1_2/hnh)-(nh1_3/hnh)-(nh1_4/hnh)-(nh1_5/hnh)-(nh1_6/hnh)-(nh1_7/hnh)-(nh1_8/hnh)-nh1_1-nh1_2-nh1_3-nh1_4-nh1_5-nh1_6-nh1_7-nh1_8))*(TP-(nh1_1/hnh)-(R224/hnh)-(S224/hnh)-(T224/hnh)-(U224/hnh)-(V224/hnh)-(W224/hnh)-(X224/hnh)-nh1_1-R224-S224-T224-U224-V224-W224-X224-(TP*VE*(TCv_2*tCo4_1+TCv_2*tCo4_2+TCv_2*tCo4_3+TCv_2*tCo4_4+TCv_2*tCo4_5+TCv_2*tCo4_6+TCv_2*tCo4_7+TCv_2*tCo4_8))),IF(ScI=2,(TP-H_1-((TP-H_1-(H_1*hnh)-(TP*TCv_2*tCo4_1*VE))*H_2/(TP-H_1-(H_1*hnh)))-AP223-AQ223-AR223-AS223-AT223-AU223-(H_1*hnh)-((TP-H_1-(H_1*hnh)-(TP*TCv_2*tCo4_1*VE))*H_2*hnh/(TP-H_1-(H_1*hnh)))-AP225-AQ225-AR225-AS225-AT225-AU225-(TP*TCv_2*tCo4_1*VE)-(TP*TCv_2*tCo4_2*VE)-(TP*TCv_2*tCo4_3*VE)-(TP*TCv_2*tCo4_4*VE)-(TP*TCv_2*tCo4_5*VE)-(TP*TCv_2*tCo4_6*VE)-(TP*TCv_2*tCo4_7*VE)-(TP*TCv_2*tCo4_8*VE))*(H_9*hnh/(TP-H_1-H_2-H_3-H_4-H_5-H_6-H_7-H_8-(hnh*(H_1+H_2+H_3+H_4+H_5+H_6+H_7+H_8)))),0))</f>
        <v>#DIV/0!</v>
      </c>
      <c r="Z224" s="86" t="e">
        <f>IF(ScI=1,(nh1_10/(TP-(nh1_1/hnh)-(nh1_2/hnh)-(nh1_3/hnh)-(nh1_4/hnh)-(nh1_5/hnh)-(nh1_6/hnh)-(nh1_7/hnh)-(nh1_8/hnh)-(nh1_9/hnh)-nh1_1-nh1_2-nh1_3-nh1_4-nh1_5-nh1_6-nh1_7-nh1_8-nh1_9))*(TP-(nh1_1/hnh)-(R224/hnh)-(S224/hnh)-(T224/hnh)-(U224/hnh)-(V224/hnh)-(W224/hnh)-(X224/hnh)-(Y224/hnh)-nh1_1-R224-S224-T224-U224-V224-W224-X224-Y224-(TP*VE*(TCv_2*tCo4_1+TCv_2*tCo4_2+TCv_2*tCo4_3+TCv_2*tCo4_4+TCv_2*tCo4_5+TCv_2*tCo4_6+TCv_2*tCo4_7+TCv_2*tCo4_8+TCv_2*tCo4_9))),IF(ScI=2,(TP-H_1-((TP-H_1-(H_1*hnh)-(TP*TCv_2*tCo4_1*VE))*H_2/(TP-H_1-(H_1*hnh)))-AP223-AQ223-AR223-AS223-AT223-AU223-AV223-(H_1*hnh)-((TP-H_1-(H_1*hnh)-(TP*TCv_2*tCo4_1*VE))*H_2*hnh/(TP-H_1-(H_1*hnh)))-AP225-AQ225-AR225-AS225-AT225-AU225-AV225-(TP*TCv_2*tCo4_1*VE)-(TP*TCv_2*tCo4_2*VE)-(TP*TCv_2*tCo4_3*VE)-(TP*TCv_2*tCo4_4*VE)-(TP*TCv_2*tCo4_5*VE)-(TP*TCv_2*tCo4_6*VE)-(TP*TCv_2*tCo4_7*VE)-(TP*TCv_2*tCo4_8*VE)-(TP*TCv_2*tCo4_9*VE))*(H_10*hnh/(TP-H_1-H_2-H_3-H_4-H_5-H_6-H_7-H_8-H_9-(hnh*(H_1+H_2+H_3+H_4+H_5+H_6+H_7+H_8+H_9)))),0))</f>
        <v>#DIV/0!</v>
      </c>
      <c r="AA224" s="86" t="e">
        <f>IF(ScI=1,(nh1_11/(TP-(nh1_1/hnh)-(nh1_2/hnh)-(nh1_3/hnh)-(nh1_4/hnh)-(nh1_5/hnh)-(nh1_6/hnh)-(nh1_7/hnh)-(nh1_8/hnh)-(nh1_9/hnh)-(nh1_10/hnh)-nh1_1-nh1_2-nh1_3-nh1_4-nh1_5-nh1_6-nh1_7-nh1_8-nh1_9-nh1_10))*(TP-(nh1_1/hnh)-(R224/hnh)-(S224/hnh)-(T224/hnh)-(U224/hnh)-(V224/hnh)-(W224/hnh)-(X224/hnh)-(Y224/hnh)-(Z224/hnh)-nh1_1-R224-S224-T224-U224-V224-W224-X224-Y224-Z224-(TP*VE*(TCv_2*tCo4_1+TCv_2*tCo4_2+TCv_2*tCo4_3+TCv_2*tCo4_4+TCv_2*tCo4_5+TCv_2*tCo4_6+TCv_2*tCo4_7+TCv_2*tCo4_8+TCv_2*tCo4_9+TCv_2*tCo4_10))),IF(ScI=2,(TP-H_1-((TP-H_1-(H_1*hnh)-(TP*TCv_2*tCo4_1*VE))*H_2/(TP-H_1-(H_1*hnh)))-AP223-AQ223-AR223-AS223-AT223-AU223-AV223-AW223-(H_1*hnh)-((TP-H_1-(H_1*hnh)-(TP*TCv_2*tCo4_1*VE))*H_2*hnh/(TP-H_1-(H_1*hnh)))-AP225-AQ225-AR225-AS225-AT225-AU225-AV225-AW225-(TP*TCv_2*tCo4_1*VE)-(TP*TCv_2*tCo4_2*VE)-(TP*TCv_2*tCo4_3*VE)-(TP*TCv_2*tCo4_4*VE)-(TP*TCv_2*tCo4_5*VE)-(TP*TCv_2*tCo4_6*VE)-(TP*TCv_2*tCo4_7*VE)-(TP*TCv_2*tCo4_8*VE)-(TP*TCv_2*tCo4_9*VE)-(TP*TCv_2*tCo4_10*VE))*(H_11*hnh/(TP-H_1-H_2-H_3-H_4-H_5-H_6-H_7-H_8-H_9-H_10-(hnh*(H_1+H_2+H_3+H_4+H_5+H_6+H_7+H_8+H_9+H_10)))),0))</f>
        <v>#DIV/0!</v>
      </c>
      <c r="AB224" s="86" t="e">
        <f>IF(ScI=1,(nh1_12/(TP-(nh1_1/hnh)-(nh1_2/hnh)-(nh1_3/hnh)-(nh1_4/hnh)-(nh1_5/hnh)-(nh1_6/hnh)-(nh1_7/hnh)-(nh1_8/hnh)-(nh1_9/hnh)-(nh1_10/hnh)-(nh1_11/hnh)-nh1_1-nh1_2-nh1_3-nh1_4-nh1_5-nh1_6-nh1_7-nh1_8-nh1_9-nh1_10-nh1_11))*(TP-(nh1_1/hnh)-(R224/hnh)-(S224/hnh)-(T224/hnh)-(U224/hnh)-(V224/hnh)-(W224/hnh)-(X224/hnh)-(Y224/hnh)-(Z224/hnh)-(AA224/hnh)-nh1_1-R224-S224-T224-U224-V224-W224-X224-Y224-Z224-AA224-(TP*VE*(TCv_2*tCo4_1+TCv_2*tCo4_2+TCv_2*tCo4_3+TCv_2*tCo4_4+TCv_2*tCo4_5+TCv_2*tCo4_6+TCv_2*tCo4_7+TCv_2*tCo4_8+TCv_2*tCo4_9+TCv_2*tCo4_10+TCv_2*tCo4_11))),IF(ScI=2,(TP-H_1-((TP-H_1-(H_1*hnh)-(TP*TCv_2*tCo4_1*VE))*H_2/(TP-H_1-(H_1*hnh)))-AP223-AQ223-AR223-AS223-AT223-AU223-AV223-AW223-AX223-(H_1*hnh)-((TP-H_1-(H_1*hnh)-(TP*TCv_2*tCo4_1*VE))*H_2*hnh/(TP-H_1-(H_1*hnh)))-AP225-AQ225-AR225-AS225-AT225-AU225-AV225-AW225-AX225-(TP*TCv_2*tCo4_1*VE)-(TP*TCv_2*tCo4_2*VE)-(TP*TCv_2*tCo4_3*VE)-(TP*TCv_2*tCo4_4*VE)-(TP*TCv_2*tCo4_5*VE)-(TP*TCv_2*tCo4_6*VE)-(TP*TCv_2*tCo4_7*VE)-(TP*TCv_2*tCo4_8*VE)-(TP*TCv_2*tCo4_9*VE)-(TP*TCv_2*tCo4_10*VE)-(TP*TCv_2*tCo4_11*VE))*(H_12*hnh/(TP-H_1-H_2-H_3-H_4-H_5-H_6-H_7-H_8-H_9-H_10-H_11-(hnh*(H_1+H_2+H_3+H_4+H_5+H_6+H_7+H_8+H_9+H_10+H_11)))),0))</f>
        <v>#DIV/0!</v>
      </c>
      <c r="AC224" s="88">
        <f>IF(ScI=1,H_1*hnh,IF(ScI=2,H_1*hnh,0))</f>
        <v>0</v>
      </c>
      <c r="AD224" s="88" t="e">
        <f>IF(ScI=1,(TP-H_1-(H_1*hnh))*H_2*hnh/(TP-H_1-(H_1*hnh)-(TP*TCv_2*tCo4_1*VE)),IF(ScI=2,H_2*hnh,0))</f>
        <v>#DIV/0!</v>
      </c>
      <c r="AE224" s="88" t="e">
        <f>IF(ScI=1,(TP-H_1-((TP-H_1-(H_1*hnh))*H_2/(TP-H_1-(H_1*hnh)-(TP*TCv_2*tCo4_1*VE)))-(H_1*hnh)-((TP-H_1-(H_1*hnh))*H_2*hnh/(TP-H_1-(H_1*hnh)-(TP*TCv_2*tCo4_1*VE))))*H_3*hnh/(TP-H_1-H_2-(hnh*(H_1+H_2))-(TP*VE*(TCv_2*tCo4_1+TCv_2*tCo4_2))),IF(ScI=2,H_3*hnh,0))</f>
        <v>#DIV/0!</v>
      </c>
      <c r="AF224" s="88" t="e">
        <f>IF(ScI=1,(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IF(ScI=2,H_4*hnh,0))</f>
        <v>#DIV/0!</v>
      </c>
      <c r="AG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H_5*hnh/(TP-H_1-H_2-H_3-H_4-(hnh*(H_1+H_2+H_3+H_4))-(TP*VE*(TCv_2*tCo4_1+TCv_2*tCo4_2+TCv_2*tCo4_3+TCv_2*tCo4_4))),IF(ScI=2,H_5*hnh,0))</f>
        <v>#DIV/0!</v>
      </c>
      <c r="AH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H_6*hnh/(TP-H_1-H_2-H_3-H_4-H_5-(hnh*(H_1+H_2+H_3+H_4+H_5))-(TP*VE*(TCv_2*tCo4_1+TCv_2*tCo4_2+TCv_2*tCo4_3+TCv_2*tCo4_4+TCv_2*tCo4_5))),IF(ScI=2,H_6*hnh,0))</f>
        <v>#DIV/0!</v>
      </c>
      <c r="AI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H_7*hnh/(TP-H_1-H_2-H_3-H_4-H_5-H_6-(hnh*(H_1+H_2+H_3+H_4+H_5+H_6))-(TP*VE*(TCv_2*tCo4_1+TCv_2*tCo4_2+TCv_2*tCo4_3+TCv_2*tCo4_4+TCv_2*tCo4_5+TCv_2*tCo4_6))),IF(ScI=2,H_7*hnh,0))</f>
        <v>#DIV/0!</v>
      </c>
      <c r="AJ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H_8*hnh/(TP-H_1-H_2-H_3-H_4-H_5-H_6-H_7-(hnh*(H_1+H_2+H_3+H_4+H_5+H_6+H_7))-(TP*VE*(TCv_2*tCo4_1+TCv_2*tCo4_2+TCv_2*tCo4_3+TCv_2*tCo4_4+TCv_2*tCo4_5+TCv_2*tCo4_6+TCv_2*tCo4_7))),IF(ScI=2,H_8*hnh,0))</f>
        <v>#DIV/0!</v>
      </c>
      <c r="AK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H_9*hnh/(TP-H_1-H_2-H_3-H_4-H_5-H_6-H_7-H_8-(hnh*(H_1+H_2+H_3+H_4+H_5+H_6+H_7+H_8))-(TP*VE*(TCv_2*tCo4_1+TCv_2*tCo4_2+TCv_2*tCo4_3+TCv_2*tCo4_4+TCv_2*tCo4_5+TCv_2*tCo4_6+TCv_2*tCo4_7+TCv_2*tCo4_8))),IF(ScI=2,H_9*hnh,0))</f>
        <v>#DIV/0!</v>
      </c>
      <c r="AL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H_10*hnh/(TP-H_1-H_2-H_3-H_4-H_5-H_6-H_7-H_8-H_9-(hnh*(H_1+H_2+H_3+H_4+H_5+H_6+H_7+H_8+H_9))-(TP*VE*(TCv_2*tCo4_1+TCv_2*tCo4_2+TCv_2*tCo4_3+TCv_2*tCo4_4+TCv_2*tCo4_5+TCv_2*tCo4_6+TCv_2*tCo4_7+TCv_2*tCo4_8+TCv_2*tCo4_9))),IF(ScI=2,H_10*hnh,0))</f>
        <v>#DIV/0!</v>
      </c>
      <c r="AM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H_11*hnh/(TP-H_1-H_2-H_3-H_4-H_5-H_6-H_7-H_8-H_9-H_10-(hnh*(H_1+H_2+H_3+H_4+H_5+H_6+H_7+H_8+H_9+H_10))-(TP*VE*(TCv_2*tCo4_1+TCv_2*tCo4_2+TCv_2*tCo4_3+TCv_2*tCo4_4+TCv_2*tCo4_5+TCv_2*tCo4_6+TCv_2*tCo4_7+TCv_2*tCo4_8+TCv_2*tCo4_9+TCv_2*tCo4_10))),IF(ScI=2,H_11*hnh,0))</f>
        <v>#DIV/0!</v>
      </c>
      <c r="AN224" s="88" t="e">
        <f>IF(ScI=1,(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BF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BF225)*H_12*hnh/(TP-H_1-H_2-H_3-H_4-H_5-H_6-H_7-H_8-H_9-H_10-H_11-(hnh*(H_1+H_2+H_3+H_4+H_5+H_6+H_7+H_8+H_9+H_10+H_11))-(TP*VE*(TCv_2*tCo4_1+TCv_2*tCo4_2+TCv_2*tCo4_3+TCv_2*tCo4_4+TCv_2*tCo4_5+TCv_2*tCo4_6+TCv_2*tCo4_7+TCv_2*tCo4_8+TCv_2*tCo4_9+TCv_2*tCo4_10+TCv_2*tCo4_11))),IF(ScI=2,H_12*hnh,0))</f>
        <v>#DIV/0!</v>
      </c>
      <c r="AP224" s="103" t="s">
        <v>82</v>
      </c>
      <c r="AQ224" s="103" t="s">
        <v>83</v>
      </c>
      <c r="AR224" s="103" t="s">
        <v>84</v>
      </c>
      <c r="AS224" s="103" t="s">
        <v>85</v>
      </c>
      <c r="AT224" s="103" t="s">
        <v>86</v>
      </c>
      <c r="AU224" s="103" t="s">
        <v>87</v>
      </c>
      <c r="AV224" s="103" t="s">
        <v>88</v>
      </c>
      <c r="AW224" s="103" t="s">
        <v>89</v>
      </c>
      <c r="AX224" s="103" t="s">
        <v>90</v>
      </c>
      <c r="AZ224" s="103" t="s">
        <v>106</v>
      </c>
      <c r="BA224" s="103" t="s">
        <v>92</v>
      </c>
      <c r="BB224" s="103" t="s">
        <v>98</v>
      </c>
      <c r="BC224" s="103" t="s">
        <v>99</v>
      </c>
      <c r="BD224" s="103" t="s">
        <v>100</v>
      </c>
      <c r="BE224" s="103" t="s">
        <v>101</v>
      </c>
      <c r="BF224" s="103" t="s">
        <v>102</v>
      </c>
    </row>
    <row r="225" spans="1:58" hidden="1" outlineLevel="1" x14ac:dyDescent="0.25">
      <c r="F225" s="113"/>
      <c r="G225" s="31"/>
      <c r="H225" s="31"/>
      <c r="I225" s="31"/>
      <c r="J225" s="31"/>
      <c r="K225" s="31"/>
      <c r="L225" s="31"/>
      <c r="M225" s="31"/>
      <c r="N225" s="31"/>
      <c r="Q225" s="31"/>
      <c r="R225" s="97"/>
      <c r="S225" s="97"/>
      <c r="T225" s="97"/>
      <c r="U225" s="97"/>
      <c r="V225" s="97"/>
      <c r="W225" s="97"/>
      <c r="X225" s="97"/>
      <c r="Y225" s="97"/>
      <c r="Z225" s="97"/>
      <c r="AA225" s="97"/>
      <c r="AB225" s="97"/>
      <c r="AC225" s="98"/>
      <c r="AD225" s="98"/>
      <c r="AE225" s="98"/>
      <c r="AF225" s="98"/>
      <c r="AG225" s="98"/>
      <c r="AH225" s="98"/>
      <c r="AI225" s="98"/>
      <c r="AJ225" s="98"/>
      <c r="AK225" s="98"/>
      <c r="AL225" s="98"/>
      <c r="AM225" s="98"/>
      <c r="AN225" s="98"/>
      <c r="AP225" s="103" t="e">
        <f>((TP-H_1-((TP-H_1-(H_1*hnh)-(TP*TCv_2*tCo4_1*VE))*H_2/(TP-H_1-(H_1*hnh)))-(H_1*hnh)-((TP-H_1-(H_1*hnh)-(TP*TCv_2*tCo4_1*VE))*H_2*hnh/(TP-H_1-(H_1*hnh)))-(TP*TCv_2*tCo4_1*VE)-(TP*TCv_2*tCo4_2*VE))*(H_3*hnh/(TP-H_1-H_2-(hnh*(H_1+H_2)))))</f>
        <v>#DIV/0!</v>
      </c>
      <c r="AQ225" s="103" t="e">
        <f>(TP-H_1-((TP-H_1-(H_1*hnh)-(TP*TCv_2*tCo4_1*VE))*H_2/(TP-H_1-(H_1*hnh)))-AP223-(H_1*hnh)-((TP-H_1-(H_1*hnh)-(TP*TCv_2*tCo4_1*VE))*H_2*hnh/(TP-H_1-(H_1*hnh)))-AP225-(TP*TCv_2*tCo4_1*VE)-(TP*TCv_2*tCo4_2*VE)-(TP*TCv_2*tCo4_3*VE))*(H_4*hnh/(TP-H_1-H_2-H_3-(hnh*(H_1+H_2+H_3))))</f>
        <v>#DIV/0!</v>
      </c>
      <c r="AR225" s="103" t="e">
        <f>(TP-H_1-((TP-H_1-(H_1*hnh)-(TP*TCv_2*tCo4_1*VE))*H_2/(TP-H_1-(H_1*hnh)))-AP223-AQ223-(H_1*hnh)-((TP-H_1-(H_1*hnh)-(TP*TCv_2*tCo4_1*VE))*H_2*hnh/(TP-H_1-(H_1*hnh)))-AP225-AQ225-(TP*TCv_2*tCo4_1*VE)-(TP*TCv_2*tCo4_2*VE)-(TP*TCv_2*tCo4_3*VE)-(TP*TCv_2*tCo4_4*VE))*(H_5*hnh/(TP-H_1-H_2-H_3-H_4-(hnh*(H_1+H_2+H_3+H_4))))</f>
        <v>#DIV/0!</v>
      </c>
      <c r="AS225" s="103" t="e">
        <f>(TP-H_1-((TP-H_1-(H_1*hnh)-(TP*TCv_2*tCo4_1*VE))*H_2/(TP-H_1-(H_1*hnh)))-AP223-AQ223-AR223-(H_1*hnh)-((TP-H_1-(H_1*hnh)-(TP*TCv_2*tCo4_1*VE))*H_2*hnh/(TP-H_1-(H_1*hnh)))-AP225-AQ225-AR225-(TP*TCv_2*tCo4_1*VE)-(TP*TCv_2*tCo4_2*VE)-(TP*TCv_2*tCo4_3*VE)-(TP*TCv_2*tCo4_4*VE)-(TP*TCv_2*tCo4_5*VE))*(H_6*hnh/(TP-H_1-H_2-H_3-H_4-H_5-(hnh*(H_1+H_2+H_3+H_4+H_5))))</f>
        <v>#DIV/0!</v>
      </c>
      <c r="AT225" s="103" t="e">
        <f>(TP-H_1-((TP-H_1-(H_1*hnh)-(TP*TCv_2*tCo4_1*VE))*H_2/(TP-H_1-(H_1*hnh)))-AP223-AQ223-AR223-AS223-(H_1*hnh)-((TP-H_1-(H_1*hnh)-(TP*TCv_2*tCo4_1*VE))*H_2*hnh/(TP-H_1-(H_1*hnh)))-AP225-AQ225-AR225-AS225-(TP*TCv_2*tCo4_1*VE)-(TP*TCv_2*tCo4_2*VE)-(TP*TCv_2*tCo4_3*VE)-(TP*TCv_2*tCo4_4*VE)-(TP*TCv_2*tCo4_5*VE)-(TP*TCv_2*tCo4_6*VE))*(H_7*hnh/(TP-H_1-H_2-H_3-H_4-H_5-H_6-(hnh*(H_1+H_2+H_3+H_4+H_5+H_6))))</f>
        <v>#DIV/0!</v>
      </c>
      <c r="AU225" s="103" t="e">
        <f>(TP-H_1-((TP-H_1-(H_1*hnh)-(TP*TCv_2*tCo4_1*VE))*H_2/(TP-H_1-(H_1*hnh)))-AP223-AQ223-AR223-AS223-AT223-(H_1*hnh)-((TP-H_1-(H_1*hnh)-(TP*TCv_2*tCo4_1*VE))*H_2*hnh/(TP-H_1-(H_1*hnh)))-AP225-AQ225-AR225-AS225-AT225-(TP*TCv_2*tCo4_1*VE)-(TP*TCv_2*tCo4_2*VE)-(TP*TCv_2*tCo4_3*VE)-(TP*TCv_2*tCo4_4*VE)-(TP*TCv_2*tCo4_5*VE)-(TP*TCv_2*tCo4_6*VE)-(TP*TCv_2*tCo4_7*VE))*(H_8*hnh/(TP-H_1-H_2-H_3-H_4-H_5-H_6-H_7-(hnh*(H_1+H_2+H_3+H_4+H_5+H_6+H_7))))</f>
        <v>#DIV/0!</v>
      </c>
      <c r="AV225" s="103" t="e">
        <f>(TP-H_1-((TP-H_1-(H_1*hnh)-(TP*TCv_2*tCo4_1*VE))*H_2/(TP-H_1-(H_1*hnh)))-AP223-AQ223-AR223-AS223-AT223-AU223-(H_1*hnh)-((TP-H_1-(H_1*hnh)-(TP*TCv_2*tCo4_1*VE))*H_2*hnh/(TP-H_1-(H_1*hnh)))-AP225-AQ225-AR225-AS225-AT225-AU225-(TP*TCv_2*tCo4_1*VE)-(TP*TCv_2*tCo4_2*VE)-(TP*TCv_2*tCo4_3*VE)-(TP*TCv_2*tCo4_4*VE)-(TP*TCv_2*tCo4_5*VE)-(TP*TCv_2*tCo4_6*VE)-(TP*TCv_2*tCo4_7*VE)-(TP*TCv_2*tCo4_8*VE))*(H_9*hnh/(TP-H_1-H_2-H_3-H_4-H_5-H_6-H_7-H_8-(hnh*(H_1+H_2+H_3+H_4+H_5+H_6+H_7+H_8))))</f>
        <v>#DIV/0!</v>
      </c>
      <c r="AW225" s="103" t="e">
        <f>(TP-H_1-((TP-H_1-(H_1*hnh)-(TP*TCv_2*tCo4_1*VE))*H_2/(TP-H_1-(H_1*hnh)))-AP223-AQ223-AR223-AS223-AT223-AU223-AV223-(H_1*hnh)-((TP-H_1-(H_1*hnh)-(TP*TCv_2*tCo4_1*VE))*H_2*hnh/(TP-H_1-(H_1*hnh)))-AP225-AQ225-AR225-AS225-AT225-AU225-AV225-(TP*TCv_2*tCo4_1*VE)-(TP*TCv_2*tCo4_2*VE)-(TP*TCv_2*tCo4_3*VE)-(TP*TCv_2*tCo4_4*VE)-(TP*TCv_2*tCo4_5*VE)-(TP*TCv_2*tCo4_6*VE)-(TP*TCv_2*tCo4_7*VE)-(TP*TCv_2*tCo4_8*VE)-(TP*TCv_2*tCo4_9*VE))*(H_10*hnh/(TP-H_1-H_2-H_3-H_4-H_5-H_6-H_7-H_8-H_9-(hnh*(H_1+H_2+H_3+H_4+H_5+H_6+H_7+H_8+H_9))))</f>
        <v>#DIV/0!</v>
      </c>
      <c r="AX225" s="103" t="e">
        <f>(TP-H_1-((TP-H_1-(H_1*hnh)-(TP*TCv_2*tCo4_1*VE))*H_2/(TP-H_1-(H_1*hnh)))-AP223-AQ223-AR223-AS223-AT223-AU223-AV223-AW223-(H_1*hnh)-((TP-H_1-(H_1*hnh)-(TP*TCv_2*tCo4_1*VE))*H_2*hnh/(TP-H_1-(H_1*hnh)))-AP225-AQ225-AR225-AS225-AT225-AU225-AV225-AW225-(TP*TCv_2*tCo4_1*VE)-(TP*TCv_2*tCo4_2*VE)-(TP*TCv_2*tCo4_3*VE)-(TP*TCv_2*tCo4_4*VE)-(TP*TCv_2*tCo4_5*VE)-(TP*TCv_2*tCo4_6*VE)-(TP*TCv_2*tCo4_7*VE)-(TP*TCv_2*tCo4_8*VE)-(TP*TCv_2*tCo4_9*VE)-(TP*TCv_2*tCo4_10*VE))*(H_11*hnh/(TP-H_1-H_2-H_3-H_4-H_5-H_6-H_7-H_8-H_9-H_10-(hnh*(H_1+H_2+H_3+H_4+H_5+H_6+H_7+H_8+H_9+H_10))))</f>
        <v>#DIV/0!</v>
      </c>
      <c r="AZ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H_5*hnh/(TP-H_1-H_2-H_3-H_4-(hnh*(H_1+H_2+H_3+H_4))-(TP*VE*(TCv_2*tCo4_1+TCv_2*tCo4_2+TCv_2*tCo4_3+TCv_2*tCo4_4)))</f>
        <v>#DIV/0!</v>
      </c>
      <c r="BA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H_6*hnh/(TP-H_1-H_2-H_3-H_4-H_5-(hnh*(H_1+H_2+H_3+H_4+H_5))-(TP*VE*(TCv_2*tCo4_1+TCv_2*tCo4_2+TCv_2*tCo4_3+TCv_2*tCo4_4+TCv_2*tCo4_5)))</f>
        <v>#DIV/0!</v>
      </c>
      <c r="BB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H_7*hnh/(TP-H_1-H_2-H_3-H_4-H_5-H_6-(hnh*(H_1+H_2+H_3+H_4+H_5+H_6))-(TP*VE*(TCv_2*tCo4_1+TCv_2*tCo4_2+TCv_2*tCo4_3+TCv_2*tCo4_4+TCv_2*tCo4_5+TCv_2*tCo4_6)))</f>
        <v>#DIV/0!</v>
      </c>
      <c r="BC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H_8*hnh/(TP-H_1-H_2-H_3-H_4-H_5-H_6-H_7-(hnh*(H_1+H_2+H_3+H_4+H_5+H_6+H_7))-(TP*VE*(TCv_2*tCo4_1+TCv_2*tCo4_2+TCv_2*tCo4_3+TCv_2*tCo4_4+TCv_2*tCo4_5+TCv_2*tCo4_6+TCv_2*tCo4_7)))</f>
        <v>#DIV/0!</v>
      </c>
      <c r="BD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H_9*hnh/(TP-H_1-H_2-H_3-H_4-H_5-H_6-H_7-H_8-(hnh*(H_1+H_2+H_3+H_4+H_5+H_6+H_7+H_8))-(TP*VE*(TCv_2*tCo4_1+TCv_2*tCo4_2+TCv_2*tCo4_3+TCv_2*tCo4_4+TCv_2*tCo4_5+TCv_2*tCo4_6+TCv_2*tCo4_7+TCv_2*tCo4_8)))</f>
        <v>#DIV/0!</v>
      </c>
      <c r="BE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H_10*hnh/(TP-H_1-H_2-H_3-H_4-H_5-H_6-H_7-H_8-H_9-(hnh*(H_1+H_2+H_3+H_4+H_5+H_6+H_7+H_8+H_9))-(TP*VE*(TCv_2*tCo4_1+TCv_2*tCo4_2+TCv_2*tCo4_3+TCv_2*tCo4_4+TCv_2*tCo4_5+TCv_2*tCo4_6+TCv_2*tCo4_7+TCv_2*tCo4_8+TCv_2*tCo4_9)))</f>
        <v>#DIV/0!</v>
      </c>
      <c r="BF225" s="103" t="e">
        <f>(TP-H_1-((TP-H_1-(H_1*hnh))*H_2/(TP-H_1-(H_1*hnh)-(TP*TCv_2*tCo4_1*VE)))-((TP-H_1-((TP-H_1-(H_1*hnh))*H_2/(TP-H_1-(H_1*hnh)-(TP*TCv_2*tCo4_1*VE)))-(H_1*hnh)-((TP-H_1-(H_1*hnh))*H_2*hnh/(TP-H_1-(H_1*hnh)-(TP*TCv_2*tCo4_1*VE))))*H_3/(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TP-H_1-H_2-H_3-(hnh*(H_1+H_2+H_3))-(TP*VE*(TCv_2*tCo4_1+TCv_2*tCo4_2+TCv_2*tCo4_3))))-AZ223-BA223-BB223-BC223-BD223-BE223-(H_1*hnh)-((TP-H_1-(H_1*hnh))*H_2*hnh/(TP-H_1-(H_1*hnh)-(TP*TCv_2*tCo4_1*VE)))-((TP-H_1-((TP-H_1-(H_1*hnh))*H_2/(TP-H_1-(H_1*hnh)-(TP*TCv_2*tCo4_1*VE)))-(H_1*hnh)-((TP-H_1-(H_1*hnh))*H_2*hnh/(TP-H_1-(H_1*hnh)-(TP*TCv_2*tCo4_1*VE))))*H_3*hnh/(TP-H_1-H_2-(hnh*(H_1+H_2))-(TP*VE*(TCv_2*tCo4_1+TCv_2*tCo4_2))))-((TP-H_1-((TP-H_1-(H_1*hnh))*H_2/(TP-H_1-(H_1*hnh)-(TP*TCv_2*tCo4_1*VE)))-((TP-H_1-((TP-H_1-(H_1*hnh))*H_2/(TP-H_1-(H_1*hnh)-(TP*TCv_2*tCo4_1*VE)))-(H_1*hnh)-((TP-H_1-(H_1*hnh))*H_2*hnh/(TP-H_1-(H_1*hnh)-(TP*TCv_2*tCo4_1*VE))))*H_3/(TP-H_1-H_2-(hnh*(H_1+H_2))-(TP*VE*(TCv_2*tCo4_1+TCv_2*tCo4_2))))-(H_1*hnh)-((TP-H_1-(H_1*hnh))*H_2*hnh/(TP-H_1-(H_1*hnh)-(TP*TCv_2*tCo4_1*VE)))-((TP-H_1-((TP-H_1-(H_1*hnh))*H_2/(TP-H_1-(H_1*hnh)-(TP*TCv_2*tCo4_1*VE)))-(H_1*hnh)-((TP-H_1-(H_1*hnh))*H_2*hnh/(TP-H_1-(H_1*hnh)-(TP*TCv_2*tCo4_1*VE))))*H_3*hnh/(TP-H_1-H_2-(hnh*(H_1+H_2))-(TP*VE*(TCv_2*tCo4_1+TCv_2*tCo4_2)))))*H_4*hnh/(TP-H_1-H_2-H_3-(hnh*(H_1+H_2+H_3))-(TP*VE*(TCv_2*tCo4_1+TCv_2*tCo4_2+TCv_2*tCo4_3))))-AZ225-BA225-BB225-BC225-BD225-BE225)*H_11*hnh/(TP-H_1-H_2-H_3-H_4-H_5-H_6-H_7-H_8-H_9-H_10-(hnh*(H_1+H_2+H_3+H_4+H_5+H_6+H_7+H_8+H_9+H_10))-(TP*VE*(TCv_2*tCo4_1+TCv_2*tCo4_2+TCv_2*tCo4_3+TCv_2*tCo4_4+TCv_2*tCo4_5+TCv_2*tCo4_6+TCv_2*tCo4_7+TCv_2*tCo4_8+TCv_2*tCo4_9+TCv_2*tCo4_10)))</f>
        <v>#DIV/0!</v>
      </c>
    </row>
    <row r="226" spans="1:58" hidden="1" outlineLevel="1" x14ac:dyDescent="0.25">
      <c r="F226" s="112"/>
    </row>
    <row r="227" spans="1:58" hidden="1" outlineLevel="1" x14ac:dyDescent="0.25">
      <c r="F227" s="112"/>
    </row>
    <row r="228" spans="1:58" collapsed="1" x14ac:dyDescent="0.25"/>
    <row r="229" spans="1:58" s="105" customFormat="1" x14ac:dyDescent="0.25">
      <c r="A229" s="104" t="s">
        <v>310</v>
      </c>
      <c r="B229" s="104"/>
    </row>
    <row r="230" spans="1:58" hidden="1" outlineLevel="1" x14ac:dyDescent="0.25">
      <c r="Q230" s="102" t="s">
        <v>72</v>
      </c>
      <c r="R230" s="102"/>
      <c r="S230" s="102"/>
      <c r="T230" s="102"/>
      <c r="U230" s="102"/>
      <c r="V230" s="102"/>
      <c r="W230" s="102"/>
      <c r="X230" s="102"/>
      <c r="Y230" s="102"/>
      <c r="Z230" s="102"/>
      <c r="AA230" s="102"/>
      <c r="AB230" s="102"/>
      <c r="AC230" s="101" t="s">
        <v>104</v>
      </c>
      <c r="AD230" s="101"/>
      <c r="AE230" s="101"/>
      <c r="AF230" s="101"/>
      <c r="AG230" s="101"/>
      <c r="AH230" s="101"/>
      <c r="AI230" s="101"/>
      <c r="AJ230" s="101"/>
      <c r="AK230" s="101"/>
      <c r="AL230" s="101"/>
      <c r="AM230" s="101"/>
      <c r="AN230" s="101"/>
      <c r="AP230" s="103">
        <v>3</v>
      </c>
      <c r="AQ230" s="103">
        <v>4</v>
      </c>
      <c r="AR230" s="103">
        <v>5</v>
      </c>
      <c r="AS230" s="103">
        <v>6</v>
      </c>
      <c r="AT230" s="103">
        <v>7</v>
      </c>
      <c r="AU230" s="103">
        <v>8</v>
      </c>
      <c r="AV230" s="103">
        <v>9</v>
      </c>
      <c r="AW230" s="103">
        <v>10</v>
      </c>
      <c r="AX230" s="103">
        <v>11</v>
      </c>
      <c r="AZ230" s="103">
        <v>5</v>
      </c>
      <c r="BA230" s="103">
        <v>6</v>
      </c>
      <c r="BB230" s="103">
        <v>7</v>
      </c>
      <c r="BC230" s="103">
        <v>8</v>
      </c>
      <c r="BD230" s="103">
        <v>9</v>
      </c>
      <c r="BE230" s="103">
        <v>10</v>
      </c>
      <c r="BF230" s="103">
        <v>11</v>
      </c>
    </row>
    <row r="231" spans="1:58" ht="28.7" hidden="1" customHeight="1" outlineLevel="1" x14ac:dyDescent="0.25">
      <c r="A231" s="11" t="s">
        <v>47</v>
      </c>
      <c r="B231" s="11"/>
      <c r="C231" s="11"/>
      <c r="D231" s="11"/>
      <c r="E231" s="11"/>
      <c r="F231" s="11"/>
      <c r="G231" s="109" t="s">
        <v>50</v>
      </c>
      <c r="H231" s="109"/>
      <c r="I231" s="110" t="s">
        <v>44</v>
      </c>
      <c r="J231" s="110"/>
      <c r="K231" s="101" t="s">
        <v>58</v>
      </c>
      <c r="L231" s="101"/>
      <c r="M231" s="110" t="s">
        <v>45</v>
      </c>
      <c r="N231" s="110"/>
      <c r="Q231" s="102" t="s">
        <v>1</v>
      </c>
      <c r="R231" s="102"/>
      <c r="S231" s="102"/>
      <c r="T231" s="102"/>
      <c r="U231" s="102"/>
      <c r="V231" s="102"/>
      <c r="W231" s="102"/>
      <c r="X231" s="102"/>
      <c r="Y231" s="102"/>
      <c r="Z231" s="102"/>
      <c r="AA231" s="102"/>
      <c r="AB231" s="102"/>
      <c r="AC231" s="101" t="s">
        <v>71</v>
      </c>
      <c r="AD231" s="101"/>
      <c r="AE231" s="101"/>
      <c r="AF231" s="101"/>
      <c r="AG231" s="101"/>
      <c r="AH231" s="101"/>
      <c r="AI231" s="101"/>
      <c r="AJ231" s="101"/>
      <c r="AK231" s="101"/>
      <c r="AL231" s="101"/>
      <c r="AM231" s="101"/>
      <c r="AN231" s="101"/>
      <c r="AP231" s="103" t="s">
        <v>73</v>
      </c>
      <c r="AQ231" s="103" t="s">
        <v>74</v>
      </c>
      <c r="AR231" s="103" t="s">
        <v>75</v>
      </c>
      <c r="AS231" s="103" t="s">
        <v>76</v>
      </c>
      <c r="AT231" s="103" t="s">
        <v>77</v>
      </c>
      <c r="AU231" s="103" t="s">
        <v>78</v>
      </c>
      <c r="AV231" s="103" t="s">
        <v>79</v>
      </c>
      <c r="AW231" s="103" t="s">
        <v>80</v>
      </c>
      <c r="AX231" s="103" t="s">
        <v>81</v>
      </c>
      <c r="AZ231" s="103" t="s">
        <v>105</v>
      </c>
      <c r="BA231" s="103" t="s">
        <v>91</v>
      </c>
      <c r="BB231" s="103" t="s">
        <v>93</v>
      </c>
      <c r="BC231" s="103" t="s">
        <v>94</v>
      </c>
      <c r="BD231" s="103" t="s">
        <v>95</v>
      </c>
      <c r="BE231" s="103" t="s">
        <v>96</v>
      </c>
      <c r="BF231" s="103" t="s">
        <v>97</v>
      </c>
    </row>
    <row r="232" spans="1:58" ht="45" hidden="1" outlineLevel="1" x14ac:dyDescent="0.25">
      <c r="A232" s="70" t="s">
        <v>40</v>
      </c>
      <c r="B232" s="70" t="s">
        <v>41</v>
      </c>
      <c r="C232" s="70" t="s">
        <v>53</v>
      </c>
      <c r="D232" s="70" t="s">
        <v>48</v>
      </c>
      <c r="E232" s="70" t="s">
        <v>42</v>
      </c>
      <c r="F232" s="76" t="s">
        <v>49</v>
      </c>
      <c r="G232" s="71" t="s">
        <v>51</v>
      </c>
      <c r="H232" s="71" t="s">
        <v>52</v>
      </c>
      <c r="I232" s="72" t="s">
        <v>51</v>
      </c>
      <c r="J232" s="72" t="s">
        <v>52</v>
      </c>
      <c r="K232" s="77" t="s">
        <v>51</v>
      </c>
      <c r="L232" s="77" t="s">
        <v>52</v>
      </c>
      <c r="M232" s="72" t="s">
        <v>51</v>
      </c>
      <c r="N232" s="72" t="s">
        <v>52</v>
      </c>
      <c r="Q232" s="102">
        <v>1</v>
      </c>
      <c r="R232" s="102">
        <v>2</v>
      </c>
      <c r="S232" s="102">
        <v>3</v>
      </c>
      <c r="T232" s="102">
        <v>4</v>
      </c>
      <c r="U232" s="102">
        <v>5</v>
      </c>
      <c r="V232" s="102">
        <v>6</v>
      </c>
      <c r="W232" s="102">
        <v>7</v>
      </c>
      <c r="X232" s="102">
        <v>8</v>
      </c>
      <c r="Y232" s="102">
        <v>9</v>
      </c>
      <c r="Z232" s="102">
        <v>10</v>
      </c>
      <c r="AA232" s="102">
        <v>11</v>
      </c>
      <c r="AB232" s="102">
        <v>12</v>
      </c>
      <c r="AC232" s="101">
        <v>1</v>
      </c>
      <c r="AD232" s="101">
        <v>2</v>
      </c>
      <c r="AE232" s="101">
        <v>3</v>
      </c>
      <c r="AF232" s="101">
        <v>4</v>
      </c>
      <c r="AG232" s="101">
        <v>5</v>
      </c>
      <c r="AH232" s="101">
        <v>6</v>
      </c>
      <c r="AI232" s="101">
        <v>7</v>
      </c>
      <c r="AJ232" s="101">
        <v>8</v>
      </c>
      <c r="AK232" s="101">
        <v>9</v>
      </c>
      <c r="AL232" s="101">
        <v>10</v>
      </c>
      <c r="AM232" s="101">
        <v>11</v>
      </c>
      <c r="AN232" s="101">
        <v>12</v>
      </c>
      <c r="AP232" s="103" t="e">
        <f>((TP-H_1-((TP-H_1-(H_1*hnh)-(TP*TCv_3*tCo4_1*VE))*H_2/(TP-H_1-(H_1*hnh)))-(H_1*hnh)-((TP-H_1-(H_1*hnh)-(TP*TCv_3*tCo4_1*VE))*H_2*hnh/(TP-H_1-(H_1*hnh)))-(TP*TCv_3*tCo4_1*VE)-(TP*TCv_3*tCo4_2*VE))*(H_3/(TP-H_1-H_2-(hnh*(H_1+H_2)))))</f>
        <v>#DIV/0!</v>
      </c>
      <c r="AQ232" s="103" t="e">
        <f>(TP-H_1-((TP-H_1-(H_1*hnh)-(TP*TCv_3*tCo4_1*VE))*H_2/(TP-H_1-(H_1*hnh)))-AP232-(H_1*hnh)-((TP-H_1-(H_1*hnh)-(TP*TCv_3*tCo4_1*VE))*H_2*hnh/(TP-H_1-(H_1*hnh)))-AP234-(TP*TCv_3*tCo4_1*VE)-(TP*TCv_3*tCo4_2*VE)-(TP*TCv_3*tCo4_3*VE))*(H_4/(TP-H_1-H_2-H_3-(hnh*(H_1+H_2+H_3))))</f>
        <v>#DIV/0!</v>
      </c>
      <c r="AR232" s="103" t="e">
        <f>(TP-H_1-((TP-H_1-(H_1*hnh)-(TP*TCv_3*tCo4_1*VE))*H_2/(TP-H_1-(H_1*hnh)))-AP232-AQ232-(H_1*hnh)-((TP-H_1-(H_1*hnh)-(TP*TCv_3*tCo4_1*VE))*H_2*hnh/(TP-H_1-(H_1*hnh)))-AP234-AQ234-(TP*TCv_3*tCo4_1*VE)-(TP*TCv_3*tCo4_2*VE)-(TP*TCv_3*tCo4_3*VE)-(TP*TCv_3*tCo4_4*VE))*(H_5/(TP-H_1-H_2-H_3-H_4-(hnh*(H_1+H_2+H_3+H_4))))</f>
        <v>#DIV/0!</v>
      </c>
      <c r="AS232" s="103" t="e">
        <f>(TP-H_1-((TP-H_1-(H_1*hnh)-(TP*TCv_3*tCo4_1*VE))*H_2/(TP-H_1-(H_1*hnh)))-AP232-AQ232-AR232-(H_1*hnh)-((TP-H_1-(H_1*hnh)-(TP*TCv_3*tCo4_1*VE))*H_2*hnh/(TP-H_1-(H_1*hnh)))-AP234-AQ234-AR234-(TP*TCv_3*tCo4_1*VE)-(TP*TCv_3*tCo4_2*VE)-(TP*TCv_3*tCo4_3*VE)-(TP*TCv_3*tCo4_4*VE)-(TP*TCv_3*tCo4_5*VE))*(H_6*hnh/(TP-H_1-H_2-H_3-H_4-H_5-(hnh*(H_1+H_2+H_3+H_4+H_5))))</f>
        <v>#DIV/0!</v>
      </c>
      <c r="AT232" s="103" t="e">
        <f>(TP-H_1-((TP-H_1-(H_1*hnh)-(TP*TCv_3*tCo4_1*VE))*H_2/(TP-H_1-(H_1*hnh)))-AP232-AQ232-AR232-AS232-(H_1*hnh)-((TP-H_1-(H_1*hnh)-(TP*TCv_3*tCo4_1*VE))*H_2*hnh/(TP-H_1-(H_1*hnh)))-AP234-AQ234-AR234-AS234-(TP*TCv_3*tCo4_1*VE)-(TP*TCv_3*tCo4_2*VE)-(TP*TCv_3*tCo4_3*VE)-(TP*TCv_3*tCo4_4*VE)-(TP*TCv_3*tCo4_5*VE)-(TP*TCv_3*tCo4_6*VE))*(H_7/(TP-H_1-H_2-H_3-H_4-H_5-H_6-(hnh*(H_1+H_2+H_3+H_4+H_5+H_6))))</f>
        <v>#DIV/0!</v>
      </c>
      <c r="AU232" s="103" t="e">
        <f>(TP-H_1-((TP-H_1-(H_1*hnh)-(TP*TCv_3*tCo4_1*VE))*H_2/(TP-H_1-(H_1*hnh)))-AP232-AQ232-AR232-AS232-AT232-(H_1*hnh)-((TP-H_1-(H_1*hnh)-(TP*TCv_3*tCo4_1*VE))*H_2*hnh/(TP-H_1-(H_1*hnh)))-AP234-AQ234-AR234-AS234-AT234-(TP*TCv_3*tCo4_1*VE)-(TP*TCv_3*tCo4_2*VE)-(TP*TCv_3*tCo4_3*VE)-(TP*TCv_3*tCo4_4*VE)-(TP*TCv_3*tCo4_5*VE)-(TP*TCv_3*tCo4_6*VE)-(TP*TCv_3*tCo4_7*VE))*(H_8/(TP-H_1-H_2-H_3-H_4-H_5-H_6-H_7-(hnh*(H_1+H_2+H_3+H_4+H_5+H_6+H_7))))</f>
        <v>#DIV/0!</v>
      </c>
      <c r="AV232" s="103" t="e">
        <f>(TP-H_1-((TP-H_1-(H_1*hnh)-(TP*TCv_3*tCo4_1*VE))*H_2/(TP-H_1-(H_1*hnh)))-AP232-AQ232-AR232-AS232-AT232-AU232-(H_1*hnh)-((TP-H_1-(H_1*hnh)-(TP*TCv_3*tCo4_1*VE))*H_2*hnh/(TP-H_1-(H_1*hnh)))-AP234-AQ234-AR234-AS234-AT234-AU234-(TP*TCv_3*tCo4_1*VE)-(TP*TCv_3*tCo4_2*VE)-(TP*TCv_3*tCo4_3*VE)-(TP*TCv_3*tCo4_4*VE)-(TP*TCv_3*tCo4_5*VE)-(TP*TCv_3*tCo4_6*VE)-(TP*TCv_3*tCo4_7*VE)-(TP*TCv_3*tCo4_8*VE))*(H_9/(TP-H_1-H_2-H_3-H_4-H_5-H_6-H_7-H_8-(hnh*(H_1+H_2+H_3+H_4+H_5+H_6+H_7+H_8))))</f>
        <v>#DIV/0!</v>
      </c>
      <c r="AW232" s="103" t="e">
        <f>(TP-H_1-((TP-H_1-(H_1*hnh)-(TP*TCv_3*tCo4_1*VE))*H_2/(TP-H_1-(H_1*hnh)))-AP232-AQ232-AR232-AS232-AT232-AU232-AV232-(H_1*hnh)-((TP-H_1-(H_1*hnh)-(TP*TCv_3*tCo4_1*VE))*H_2*hnh/(TP-H_1-(H_1*hnh)))-AP234-AQ234-AR234-AS234-AT234-AU234-AV234-(TP*TCv_3*tCo4_1*VE)-(TP*TCv_3*tCo4_2*VE)-(TP*TCv_3*tCo4_3*VE)-(TP*TCv_3*tCo4_4*VE)-(TP*TCv_3*tCo4_5*VE)-(TP*TCv_3*tCo4_6*VE)-(TP*TCv_3*tCo4_7*VE)-(TP*TCv_3*tCo4_8*VE)-(TP*TCv_3*tCo4_9*VE))*(H_10/(TP-H_1-H_2-H_3-H_4-H_5-H_6-H_7-H_8-H_9-(hnh*(H_1+H_2+H_3+H_4+H_5+H_6+H_7+H_8+H_9))))</f>
        <v>#DIV/0!</v>
      </c>
      <c r="AX232" s="103" t="e">
        <f>(TP-H_1-((TP-H_1-(H_1*hnh)-(TP*TCv_3*tCo4_1*VE))*H_2/(TP-H_1-(H_1*hnh)))-AP232-AQ232-AR232-AS232-AT232-AU232-AV232-AW232-(H_1*hnh)-((TP-H_1-(H_1*hnh)-(TP*TCv_3*tCo4_1*VE))*H_2*hnh/(TP-H_1-(H_1*hnh)))-AP234-AQ234-AR234-AS234-AT234-AU234-AV234-AW234-(TP*TCv_3*tCo4_1*VE)-(TP*TCv_3*tCo4_2*VE)-(TP*TCv_3*tCo4_3*VE)-(TP*TCv_3*tCo4_4*VE)-(TP*TCv_3*tCo4_5*VE)-(TP*TCv_3*tCo4_6*VE)-(TP*TCv_3*tCo4_7*VE)-(TP*TCv_3*tCo4_8*VE)-(TP*TCv_3*tCo4_9*VE)-(TP*TCv_3*tCo4_10*VE))*(H_11/(TP-H_1-H_2-H_3-H_4-H_5-H_6-H_7-H_8-H_9-H_10-(hnh*(H_1+H_2+H_3+H_4+H_5+H_6+H_7+H_8+H_9+H_10))))</f>
        <v>#DIV/0!</v>
      </c>
      <c r="AZ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H_5/(TP-H_1-H_2-H_3-H_4-(hnh*(H_1+H_2+H_3+H_4))-(TP*VE*(TCv_3*tCo4_1+TCv_3*tCo4_2+TCv_3*tCo4_3+TCv_3*tCo4_4)))</f>
        <v>#DIV/0!</v>
      </c>
      <c r="BA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H_6/(TP-H_1-H_2-H_3-H_4-H_5-(hnh*(H_1+H_2+H_3+H_4+H_5))-(TP*VE*(TCv_3*tCo4_1+TCv_3*tCo4_2+TCv_3*tCo4_3+TCv_3*tCo4_4+TCv_3*tCo4_5)))</f>
        <v>#DIV/0!</v>
      </c>
      <c r="BB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H_7/(TP-H_1-H_2-H_3-H_4-H_5-H_6-(hnh*(H_1+H_2+H_3+H_4+H_5+H_6))-(TP*VE*(TCv_3*tCo4_1+TCv_3*tCo4_2+TCv_3*tCo4_3+TCv_3*tCo4_4+TCv_3*tCo4_5+TCv_3*tCo4_6)))</f>
        <v>#DIV/0!</v>
      </c>
      <c r="BC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H_8/(TP-H_1-H_2-H_3-H_4-H_5-H_6-H_7-(hnh*(H_1+H_2+H_3+H_4+H_5+H_6+H_7))-(TP*VE*(TCv_3*tCo4_1+TCv_3*tCo4_2+TCv_3*tCo4_3+TCv_3*tCo4_4+TCv_3*tCo4_5+TCv_3*tCo4_6+TCv_3*tCo4_7)))</f>
        <v>#DIV/0!</v>
      </c>
      <c r="BD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H_9/(TP-H_1-H_2-H_3-H_4-H_5-H_6-H_7-H_8-(hnh*(H_1+H_2+H_3+H_4+H_5+H_6+H_7+H_8))-(TP*VE*(TCv_3*tCo4_1+TCv_3*tCo4_2+TCv_3*tCo4_3+TCv_3*tCo4_4+TCv_3*tCo4_5+TCv_3*tCo4_6+TCv_3*tCo4_7+TCv_3*tCo4_8)))</f>
        <v>#DIV/0!</v>
      </c>
      <c r="BE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H_10/(TP-H_1-H_2-H_3-H_4-H_5-H_6-H_7-H_8-H_9-(hnh*(H_1+H_2+H_3+H_4+H_5+H_6+H_7+H_8+H_9))-(TP*VE*(TCv_3*tCo4_1+TCv_3*tCo4_2+TCv_3*tCo4_3+TCv_3*tCo4_4+TCv_3*tCo4_5+TCv_3*tCo4_6+TCv_3*tCo4_7+TCv_3*tCo4_8+TCv_3*tCo4_9)))</f>
        <v>#DIV/0!</v>
      </c>
      <c r="BF232"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H_11/(TP-H_1-H_2-H_3-H_4-H_5-H_6-H_7-H_8-H_9-H_10-(hnh*(H_1+H_2+H_3+H_4+H_5+H_6+H_7+H_8+H_9+H_10))-(TP*VE*(TCv_3*tCo4_1+TCv_3*tCo4_2+TCv_3*tCo4_3+TCv_3*tCo4_4+TCv_3*tCo4_5+TCv_3*tCo4_6+TCv_3*tCo4_7+TCv_3*tCo4_8+TCv_3*tCo4_9+TCv_3*tCo4_10)))</f>
        <v>#DIV/0!</v>
      </c>
    </row>
    <row r="233" spans="1:58" hidden="1" outlineLevel="1" x14ac:dyDescent="0.25">
      <c r="A233" s="73">
        <f>season</f>
        <v>0</v>
      </c>
      <c r="B233" s="73">
        <f>TG</f>
        <v>0</v>
      </c>
      <c r="C233" s="73">
        <f>TP</f>
        <v>0</v>
      </c>
      <c r="D233" s="74">
        <f>TCv</f>
        <v>0</v>
      </c>
      <c r="E233" s="75">
        <f>VE</f>
        <v>0</v>
      </c>
      <c r="F233" s="78" t="e">
        <f>G233/IF(mb=1,SUM(AC233:AN233),IF(mb=2,SUM(AD233:AN233),IF(mb=3,SUM(AE233:AN233),IF(mb=4,SUM(AF233:AN233),IF(mb=5,SUM(AG233:AN233),IF(mb=6,SUM(AH233:AN233),IF(mb=7,SUM(AI233:AN233),IF(mb=8,SUM(AJ233:AN233),0))))))))</f>
        <v>#DIV/0!</v>
      </c>
      <c r="G233" s="42">
        <f>IF(mb=1,SUM(AC233:AN233)-SUM(Q233:AB233),IF(mb=2,SUM(AD233:AN233)-SUM(R233:AB233),IF(mb=3,SUM(AE233:AN233)-SUM(S233:AB233),IF(mb=4,SUM(AF233:AN233)-SUM(T233:AB233),IF(mb=5,SUM(AG233:AN233)-SUM(U233:AB233),IF(mb=6,SUM(AH233:AN233)-SUM(V233:AB233),IF(mb=7,SUM(AI233:AN233)-SUM(W233:AB233),IF(mb=8,SUM(AJ233:AN233)-SUM(X233:AB233),0))))))))</f>
        <v>0</v>
      </c>
      <c r="H233" s="96" t="e">
        <f>1/(VE*IF(mb=1,SUM(AC233:AN233),IF(mb=2,SUM(AD233:AN233),IF(mb=3,SUM(AE233:AN233),IF(mb=4,SUM(AF233:AN233),IF(mb=5,SUM(AG233:AN233),IF(mb=6,SUM(AH233:AN233),IF(mb=7,SUM(AI233:AN233),IF(mb=8,SUM(AJ233:AN233),0))))))))/TP)</f>
        <v>#DIV/0!</v>
      </c>
      <c r="I233" s="93" t="e">
        <f>G233/hnh</f>
        <v>#DIV/0!</v>
      </c>
      <c r="J233" s="42" t="e">
        <f>1/(VE*IF(mb=1,SUM(AC233:AN233),IF(mb=2,SUM(AD233:AN233),IF(mb=3,SUM(AE233:AN233),IF(mb=4,SUM(AF233:AN233),IF(mb=5,SUM(AG233:AN233),IF(mb=6,SUM(AH233:AN233),IF(mb=7,SUM(AI233:AN233),IF(mb=8,SUM(AJ233:AN233),0))))))))/(TP*hnh))</f>
        <v>#DIV/0!</v>
      </c>
      <c r="K233" s="42" t="e">
        <f>M233*mai</f>
        <v>#DIV/0!</v>
      </c>
      <c r="L233" s="42" t="e">
        <f>1/(VE*((IF(mb=1,SUM(AC233:AN233),IF(mb=2,SUM(AD233:AN233),IF(mb=3,SUM(AE233:AN233),IF(mb=4,SUM(AF233:AN233),IF(mb=5,SUM(AG233:AN233),IF(mb=6,SUM(AH233:AN233),IF(mb=7,SUM(AI233:AN233),IF(mb=8,SUM(AJ233:AN233),0))))))))+(IF(mb=1,SUM(AC233:AN233),IF(mb=2,SUM(AD233:AN233),IF(mb=3,SUM(AE233:AN233),IF(mb=4,SUM(AF233:AN233),IF(mb=5,SUM(AG233:AN233),IF(mb=6,SUM(AH233:AN233),IF(mb=7,SUM(AI233:AN233),IF(mb=8,SUM(AJ233:AN233),0)))))))))/hnh)*mai)/TP)</f>
        <v>#DIV/0!</v>
      </c>
      <c r="M233" s="42" t="e">
        <f>G233+I233</f>
        <v>#DIV/0!</v>
      </c>
      <c r="N233" s="42" t="e">
        <f>1/(VE*(IF(mb=1,SUM(AC233:AN233),IF(mb=2,SUM(AD233:AN233),IF(mb=3,SUM(AE233:AN233),IF(mb=4,SUM(AF233:AN233),IF(mb=5,SUM(AG233:AN233),IF(mb=6,SUM(AH233:AN233),IF(mb=7,SUM(AI233:AN233),IF(mb=8,SUM(AJ233:AN233),0))))))))+(IF(mb=1,SUM(AC233:AN233),IF(mb=2,SUM(AD233:AN233),IF(mb=3,SUM(AE233:AN233),IF(mb=4,SUM(AF233:AN233),IF(mb=5,SUM(AG233:AN233),IF(mb=6,SUM(AH233:AN233),IF(mb=7,SUM(AI233:AN233),IF(mb=8,SUM(AJ233:AN233),0)))))))))/hnh)/TP)</f>
        <v>#DIV/0!</v>
      </c>
      <c r="Q233" s="86" t="e">
        <f>IF(ISc=1,nh1_1,IF(ISc=2,H_1*hnh,0))</f>
        <v>#DIV/0!</v>
      </c>
      <c r="R233" s="111" t="e">
        <f>IF(ScI=1,((nh1_2/(TP-(nh1_1/hnh)-nh1_1))*(TP-(nh1_1/hnh)-nh1_1-(TP*TCv_3*tCo4_1*VE))),IF(ScI=2,(TP-H_1-(H_1*hnh)-(TP*TCv_3*tCo4_1*VE))*(H_2*hnh/(TP-H_1-(H_1*hnh))),"fal"))</f>
        <v>#DIV/0!</v>
      </c>
      <c r="S233" s="137" t="e">
        <f>IF(ScI=1,(nh1_3/(TP-((nh1_1+nh1_2)/hnh)-nh1_1-nh1_2))*(TP-(nh1_1/hnh)-(R233/hnh)-nh1_1-R233-(TP*VE*(TCv_3*tCo4_1+TCv_3*tCo4_2))),IF(ScI=2,(TP-H_1-((TP-H_1-(H_1*hnh)-(TP*TCv_3*tCo4_1*VE))*H_2/(TP-H_1-(H_1*hnh)))-(H_1*hnh)-((TP-H_1-(H_1*hnh)-(TP*TCv_3*tCo4_1*VE))*H_2*hnh/(TP-H_1-(H_1*hnh)))-(TP*TCv_3*tCo4_1*VE)-(TP*TCv_3*tCo4_2*VE))*(H_3*hnh/(TP-H_1-H_2-(hnh*(H_1+H_2)))),0))</f>
        <v>#DIV/0!</v>
      </c>
      <c r="T233" s="86" t="e">
        <f>IF(ScI=1,(nh1_4/(TP-(nh1_1/hnh)-(nh1_2/hnh)-(nh1_3/hnh)-nh1_1-nh1_2-nh1_3))*(TP-(nh1_1/hnh)-(R233/hnh)-(S233/hnh)-nh1_1-R233-S233-(TP*VE*(TCv_3*tCo4_1+TCv_3*tCo4_2+TCv_3*tCo4_3))),IF(ScI=2,(TP-H_1-((TP-H_1-(H_1*hnh)-(TP*TCv_3*tCo4_1*VE))*H_2/(TP-H_1-(H_1*hnh)))-((TP-H_1-(((TP-H_1-(H_1*hnh)-(TP*TCv_3*tCo4_1*VE))*H_2/(TP-H_1-(H_1*hnh))))-(H_1*hnh)-((TP-H_1-(H_1*hnh)-(TP*TCv_3*tCo4_1*VE))*H_2*hnh/(TP-H_1-(H_1*hnh)))-(TP*TCv_3*tCo4_1*VE)-(TP*TCv_3*tCo4_2*VE))*(H_3/(TP-H_1-H_2-(hnh*(H_1+H_2)))))-(H_1*hnh)-((TP-H_1-(H_1*hnh)-(TP*TCv_3*tCo4_1*VE))*H_2*hnh/(TP-H_1-(H_1*hnh)))-((TP-H_1-(((TP-H_1-(H_1*hnh)-(TP*TCv_3*tCo4_1*VE))*H_2/(TP-H_1-(H_1*hnh))))-(H_1*hnh)-(((TP-H_1-(H_1*hnh)-(TP*TCv_3*tCo4_1*VE))*H_2*hnh/(TP-H_1-(H_1*hnh))))-(TP*TCv_3*tCo4_1*VE)-(TP*TCv_3*tCo4_2*VE))*(H_3*hnh/(TP-H_1-H_2-(hnh*(H_1+H_2)))))-(TP*TCv_3*tCo4_1*VE)-(TP*TCv_3*tCo4_2*VE)-(TP*TCv_3*tCo4_3*VE))*(H_4*hnh/(TP-H_1-H_2-H_3-(hnh*(H_1+H_2+H_3)))),0))</f>
        <v>#DIV/0!</v>
      </c>
      <c r="U233" s="86" t="e">
        <f>IF(ScI=1,(nh1_5/(TP-(nh1_1/hnh)-(nh1_2/hnh)-(nh1_3/hnh)-(nh1_4/hnh)-nh1_1-nh1_2-nh1_3-nh1_4))*(TP-(nh1_1/hnh)-(R233/hnh)-(S233/hnh)-(T233/hnh)-nh1_1-R233-S233-T233-(TP*VE*(TCv_3*tCo4_1+TCv_3*tCo4_2+TCv_3*tCo4_3+TCv_3*tCo4_4))),IF(ScI=2,(TP-H_1-(((TP-H_1-(H_1*hnh)-(TP*TCv_3*tCo4_1*VE))*H_2/(TP-H_1-(H_1*hnh))))-AP232-AQ232-(H_1*hnh)-((TP-H_1-(H_1*hnh)-(TP*TCv_3*tCo4_1*VE))*H_2*hnh/(TP-H_1-(H_1*hnh)))-AP234-AQ234-(TP*TCv_3*tCo4_1*VE)-(TP*TCv_3*tCo4_2*VE)-(TP*TCv_3*tCo4_3*VE)-(TP*TCv_3*tCo4_4*VE))*(H_5*hnh/(TP-H_1-H_2-H_3-H_4-(hnh*(H_1+H_2+H_3+H_4)))),0))</f>
        <v>#DIV/0!</v>
      </c>
      <c r="V233" s="86" t="e">
        <f>IF(ScI=1,(nh1_6/(TP-(nh1_1/hnh)-(nh1_2/hnh)-(nh1_3/hnh)-(nh1_4/hnh)-(nh1_5/hnh)-nh1_1-nh1_2-nh1_3-nh1_4-nh1_5))*(TP-(nh1_1/hnh)-(R233/hnh)-(S233/hnh)-(T233/hnh)-(U233/hnh)-nh1_1-R233-S233-T233-U233-(TP*VE*(TCv_3*tCo4_1+TCv_3*tCo4_2+TCv_3*tCo4_3+TCv_3*tCo4_4+TCv_3*tCo4_5))),IF(ScI=2,(TP-H_1-((TP-H_1-(H_1*hnh)-(TP*TCv_3*tCo4_1*VE))*H_2/(TP-H_1-(H_1*hnh)))-AP232-AQ232-AR232-(H_1*hnh)-((TP-H_1-(H_1*hnh)-(TP*TCv_3*tCo4_1*VE))*H_2*hnh/(TP-H_1-(H_1*hnh)))-AP234-AQ234-AR234-(TP*TCv_3*tCo4_1*VE)-(TP*TCv_3*tCo4_2*VE)-(TP*TCv_3*tCo4_3*VE)-(TP*TCv_3*tCo4_4*VE)-(TP*TCv_3*tCo4_5*VE))*(H_6*hnh/(TP-H_1-H_2-H_3-H_4-H_5-(hnh*(H_1+H_2+H_3+H_4+H_5)))),0))</f>
        <v>#DIV/0!</v>
      </c>
      <c r="W233" s="86" t="e">
        <f>IF(ScI=1,(nh1_7/(TP-(nh1_1/hnh)-(nh1_2/hnh)-(nh1_3/hnh)-(nh1_4/hnh)-(nh1_5/hnh)-(nh1_6/hnh)-nh1_1-nh1_2-nh1_3-nh1_4-nh1_5-nh1_6))*(TP-(nh1_1/hnh)-(R233/hnh)-(S233/hnh)-(T233/hnh)-(U233/hnh)-(V233/hnh)-nh1_1-R233-S233-T233-U233-V233-(TP*VE*(TCv_3*tCo4_1+TCv_3*tCo4_2+TCv_3*tCo4_3+TCv_3*tCo4_4+TCv_3*tCo4_5+TCv_3*tCo4_6))),IF(ScI=2,(TP-H_1-((TP-H_1-(H_1*hnh)-(TP*TCv_3*tCo4_1*VE))*H_2/(TP-H_1-(H_1*hnh)))-AP232-AQ232-AR232-AS232-(H_1*hnh)-((TP-H_1-(H_1*hnh)-(TP*TCv_3*tCo4_1*VE))*H_2*hnh/(TP-H_1-(H_1*hnh)))-AP234-AQ234-AR234-AS234-(TP*TCv_3*tCo4_1*VE)-(TP*TCv_3*tCo4_2*VE)-(TP*TCv_3*tCo4_3*VE)-(TP*TCv_3*tCo4_4*VE)-(TP*TCv_3*tCo4_5*VE)-(TP*TCv_3*tCo4_6*VE))*(H_7*hnh/(TP-H_1-H_2-H_3-H_4-H_5-H_6-(hnh*(H_1+H_2+H_3+H_4+H_5+H_6)))),0))</f>
        <v>#DIV/0!</v>
      </c>
      <c r="X233" s="86" t="e">
        <f>IF(ScI=1,(nh1_8/(TP-(nh1_1/hnh)-(nh1_2/hnh)-(nh1_3/hnh)-(nh1_4/hnh)-(nh1_5/hnh)-(nh1_6/hnh)-(nh1_7/hnh)-nh1_1-nh1_2-nh1_3-nh1_4-nh1_5-nh1_6-nh1_7))*(TP-(nh1_1/hnh)-(R233/hnh)-(S233/hnh)-(T233/hnh)-(U233/hnh)-(V233/hnh)-(W233/hnh)-nh1_1-R233-S233-T233-U233-V233-W233-(TP*VE*(TCv_3*tCo4_1+TCv_3*tCo4_2+TCv_3*tCo4_3+TCv_3*tCo4_4+TCv_3*tCo4_5+TCv_3*tCo4_6+TCv_3*tCo4_7))),IF(ScI=2,(TP-H_1-((TP-H_1-(H_1*hnh)-(TP*TCv_3*tCo4_1*VE))*H_2/(TP-H_1-(H_1*hnh)))-AP232-AQ232-AR232-AS232-AT232-(H_1*hnh)-((TP-H_1-(H_1*hnh)-(TP*TCv_3*tCo4_1*VE))*H_2*hnh/(TP-H_1-(H_1*hnh)))-AP234-AQ234-AR234-AS234-AT234-(TP*TCv_3*tCo4_1*VE)-(TP*TCv_3*tCo4_2*VE)-(TP*TCv_3*tCo4_3*VE)-(TP*TCv_3*tCo4_4*VE)-(TP*TCv_3*tCo4_5*VE)-(TP*TCv_3*tCo4_6*VE)-(TP*TCv_3*tCo4_7*VE))*(H_8*hnh/(TP-H_1-H_2-H_3-H_4-H_5-H_6-H_7-(hnh*(H_1+H_2+H_3+H_4+H_5+H_6+H_7)))),0))</f>
        <v>#DIV/0!</v>
      </c>
      <c r="Y233" s="86" t="e">
        <f>IF(ScI=1,(nh1_9/(TP-(nh1_1/hnh)-(nh1_2/hnh)-(nh1_3/hnh)-(nh1_4/hnh)-(nh1_5/hnh)-(nh1_6/hnh)-(nh1_7/hnh)-(nh1_8/hnh)-nh1_1-nh1_2-nh1_3-nh1_4-nh1_5-nh1_6-nh1_7-nh1_8))*(TP-(nh1_1/hnh)-(R233/hnh)-(S233/hnh)-(T233/hnh)-(U233/hnh)-(V233/hnh)-(W233/hnh)-(X233/hnh)-nh1_1-R233-S233-T233-U233-V233-W233-X233-(TP*VE*(TCv_3*tCo4_1+TCv_3*tCo4_2+TCv_3*tCo4_3+TCv_3*tCo4_4+TCv_3*tCo4_5+TCv_3*tCo4_6+TCv_3*tCo4_7+TCv_3*tCo4_8))),IF(ScI=2,(TP-H_1-((TP-H_1-(H_1*hnh)-(TP*TCv_3*tCo4_1*VE))*H_2/(TP-H_1-(H_1*hnh)))-AP232-AQ232-AR232-AS232-AT232-AU232-(H_1*hnh)-((TP-H_1-(H_1*hnh)-(TP*TCv_3*tCo4_1*VE))*H_2*hnh/(TP-H_1-(H_1*hnh)))-AP234-AQ234-AR234-AS234-AT234-AU234-(TP*TCv_3*tCo4_1*VE)-(TP*TCv_3*tCo4_2*VE)-(TP*TCv_3*tCo4_3*VE)-(TP*TCv_3*tCo4_4*VE)-(TP*TCv_3*tCo4_5*VE)-(TP*TCv_3*tCo4_6*VE)-(TP*TCv_3*tCo4_7*VE)-(TP*TCv_3*tCo4_8*VE))*(H_9*hnh/(TP-H_1-H_2-H_3-H_4-H_5-H_6-H_7-H_8-(hnh*(H_1+H_2+H_3+H_4+H_5+H_6+H_7+H_8)))),0))</f>
        <v>#DIV/0!</v>
      </c>
      <c r="Z233" s="86" t="e">
        <f>IF(ScI=1,(nh1_10/(TP-(nh1_1/hnh)-(nh1_2/hnh)-(nh1_3/hnh)-(nh1_4/hnh)-(nh1_5/hnh)-(nh1_6/hnh)-(nh1_7/hnh)-(nh1_8/hnh)-(nh1_9/hnh)-nh1_1-nh1_2-nh1_3-nh1_4-nh1_5-nh1_6-nh1_7-nh1_8-nh1_9))*(TP-(nh1_1/hnh)-(R233/hnh)-(S233/hnh)-(T233/hnh)-(U233/hnh)-(V233/hnh)-(W233/hnh)-(X233/hnh)-(Y233/hnh)-nh1_1-R233-S233-T233-U233-V233-W233-X233-Y233-(TP*VE*(TCv_3*tCo4_1+TCv_3*tCo4_2+TCv_3*tCo4_3+TCv_3*tCo4_4+TCv_3*tCo4_5+TCv_3*tCo4_6+TCv_3*tCo4_7+TCv_3*tCo4_8+TCv_3*tCo4_9))),IF(ScI=2,(TP-H_1-((TP-H_1-(H_1*hnh)-(TP*TCv_3*tCo4_1*VE))*H_2/(TP-H_1-(H_1*hnh)))-AP232-AQ232-AR232-AS232-AT232-AU232-AV232-(H_1*hnh)-((TP-H_1-(H_1*hnh)-(TP*TCv_3*tCo4_1*VE))*H_2*hnh/(TP-H_1-(H_1*hnh)))-AP234-AQ234-AR234-AS234-AT234-AU234-AV234-(TP*TCv_3*tCo4_1*VE)-(TP*TCv_3*tCo4_2*VE)-(TP*TCv_3*tCo4_3*VE)-(TP*TCv_3*tCo4_4*VE)-(TP*TCv_3*tCo4_5*VE)-(TP*TCv_3*tCo4_6*VE)-(TP*TCv_3*tCo4_7*VE)-(TP*TCv_3*tCo4_8*VE)-(TP*TCv_3*tCo4_9*VE))*(H_10*hnh/(TP-H_1-H_2-H_3-H_4-H_5-H_6-H_7-H_8-H_9-(hnh*(H_1+H_2+H_3+H_4+H_5+H_6+H_7+H_8+H_9)))),0))</f>
        <v>#DIV/0!</v>
      </c>
      <c r="AA233" s="86" t="e">
        <f>IF(ScI=1,(nh1_11/(TP-(nh1_1/hnh)-(nh1_2/hnh)-(nh1_3/hnh)-(nh1_4/hnh)-(nh1_5/hnh)-(nh1_6/hnh)-(nh1_7/hnh)-(nh1_8/hnh)-(nh1_9/hnh)-(nh1_10/hnh)-nh1_1-nh1_2-nh1_3-nh1_4-nh1_5-nh1_6-nh1_7-nh1_8-nh1_9-nh1_10))*(TP-(nh1_1/hnh)-(R233/hnh)-(S233/hnh)-(T233/hnh)-(U233/hnh)-(V233/hnh)-(W233/hnh)-(X233/hnh)-(Y233/hnh)-(Z233/hnh)-nh1_1-R233-S233-T233-U233-V233-W233-X233-Y233-Z233-(TP*VE*(TCv_3*tCo4_1+TCv_3*tCo4_2+TCv_3*tCo4_3+TCv_3*tCo4_4+TCv_3*tCo4_5+TCv_3*tCo4_6+TCv_3*tCo4_7+TCv_3*tCo4_8+TCv_3*tCo4_9+TCv_3*tCo4_10))),IF(ScI=2,(TP-H_1-((TP-H_1-(H_1*hnh)-(TP*TCv_3*tCo4_1*VE))*H_2/(TP-H_1-(H_1*hnh)))-AP232-AQ232-AR232-AS232-AT232-AU232-AV232-AW232-(H_1*hnh)-((TP-H_1-(H_1*hnh)-(TP*TCv_3*tCo4_1*VE))*H_2*hnh/(TP-H_1-(H_1*hnh)))-AP234-AQ234-AR234-AS234-AT234-AU234-AV234-AW234-(TP*TCv_3*tCo4_1*VE)-(TP*TCv_3*tCo4_2*VE)-(TP*TCv_3*tCo4_3*VE)-(TP*TCv_3*tCo4_4*VE)-(TP*TCv_3*tCo4_5*VE)-(TP*TCv_3*tCo4_6*VE)-(TP*TCv_3*tCo4_7*VE)-(TP*TCv_3*tCo4_8*VE)-(TP*TCv_3*tCo4_9*VE)-(TP*TCv_3*tCo4_10*VE))*(H_11*hnh/(TP-H_1-H_2-H_3-H_4-H_5-H_6-H_7-H_8-H_9-H_10-(hnh*(H_1+H_2+H_3+H_4+H_5+H_6+H_7+H_8+H_9+H_10)))),0))</f>
        <v>#DIV/0!</v>
      </c>
      <c r="AB233" s="86" t="e">
        <f>IF(ScI=1,(nh1_12/(TP-(nh1_1/hnh)-(nh1_2/hnh)-(nh1_3/hnh)-(nh1_4/hnh)-(nh1_5/hnh)-(nh1_6/hnh)-(nh1_7/hnh)-(nh1_8/hnh)-(nh1_9/hnh)-(nh1_10/hnh)-(nh1_11/hnh)-nh1_1-nh1_2-nh1_3-nh1_4-nh1_5-nh1_6-nh1_7-nh1_8-nh1_9-nh1_10-nh1_11))*(TP-(nh1_1/hnh)-(R233/hnh)-(S233/hnh)-(T233/hnh)-(U233/hnh)-(V233/hnh)-(W233/hnh)-(X233/hnh)-(Y233/hnh)-(Z233/hnh)-(AA233/hnh)-nh1_1-R233-S233-T233-U233-V233-W233-X233-Y233-Z233-AA233-(TP*VE*(TCv_3*tCo4_1+TCv_3*tCo4_2+TCv_3*tCo4_3+TCv_3*tCo4_4+TCv_3*tCo4_5+TCv_3*tCo4_6+TCv_3*tCo4_7+TCv_3*tCo4_8+TCv_3*tCo4_9+TCv_3*tCo4_10+TCv_3*tCo4_11))),IF(ScI=2,(TP-H_1-((TP-H_1-(H_1*hnh)-(TP*TCv_3*tCo4_1*VE))*H_2/(TP-H_1-(H_1*hnh)))-AP232-AQ232-AR232-AS232-AT232-AU232-AV232-AW232-AX232-(H_1*hnh)-((TP-H_1-(H_1*hnh)-(TP*TCv_3*tCo4_1*VE))*H_2*hnh/(TP-H_1-(H_1*hnh)))-AP234-AQ234-AR234-AS234-AT234-AU234-AV234-AW234-AX234-(TP*TCv_3*tCo4_1*VE)-(TP*TCv_3*tCo4_2*VE)-(TP*TCv_3*tCo4_3*VE)-(TP*TCv_3*tCo4_4*VE)-(TP*TCv_3*tCo4_5*VE)-(TP*TCv_3*tCo4_6*VE)-(TP*TCv_3*tCo4_7*VE)-(TP*TCv_3*tCo4_8*VE)-(TP*TCv_3*tCo4_9*VE)-(TP*TCv_3*tCo4_10*VE)-(TP*TCv_3*tCo4_11*VE))*(H_12*hnh/(TP-H_1-H_2-H_3-H_4-H_5-H_6-H_7-H_8-H_9-H_10-H_11-(hnh*(H_1+H_2+H_3+H_4+H_5+H_6+H_7+H_8+H_9+H_10+H_11)))),0))</f>
        <v>#DIV/0!</v>
      </c>
      <c r="AC233" s="88">
        <f>IF(ScI=1,H_1*hnh,IF(ScI=2,H_1*hnh,0))</f>
        <v>0</v>
      </c>
      <c r="AD233" s="88" t="e">
        <f>IF(ScI=1,(TP-H_1-(H_1*hnh))*H_2*hnh/(TP-H_1-(H_1*hnh)-(TP*TCv_3*tCo4_1*VE)),IF(ScI=2,H_2*hnh,0))</f>
        <v>#DIV/0!</v>
      </c>
      <c r="AE233" s="88" t="e">
        <f>IF(ScI=1,(TP-H_1-((TP-H_1-(H_1*hnh))*H_2/(TP-H_1-(H_1*hnh)-(TP*TCv_3*tCo4_1*VE)))-(H_1*hnh)-((TP-H_1-(H_1*hnh))*H_2*hnh/(TP-H_1-(H_1*hnh)-(TP*TCv_3*tCo4_1*VE))))*H_3*hnh/(TP-H_1-H_2-(hnh*(H_1+H_2))-(TP*VE*(TCv_3*tCo4_1+TCv_3*tCo4_2))),IF(ScI=2,H_3*hnh,0))</f>
        <v>#DIV/0!</v>
      </c>
      <c r="AF233" s="88" t="e">
        <f>IF(ScI=1,(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IF(ScI=2,H_4*hnh,0))</f>
        <v>#DIV/0!</v>
      </c>
      <c r="AG233" s="88" t="e">
        <f xml:space="preserve">
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H_5*hnh/(TP-H_1-H_2-H_3-H_4-(hnh*(H_1+H_2+H_3+H_4))-(TP*VE*(TCv_3*tCo4_1+TCv_3*tCo4_2+TCv_3*tCo4_3+TCv_3*tCo4_4))),IF(ScI=2,H_5*hnh,0))</f>
        <v>#DIV/0!</v>
      </c>
      <c r="AH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H_6*hnh/(TP-H_1-H_2-H_3-H_4-H_5-(hnh*(H_1+H_2+H_3+H_4+H_5))-(TP*VE*(TCv_3*tCo4_1+TCv_3*tCo4_2+TCv_3*tCo4_3+TCv_3*tCo4_4+TCv_3*tCo4_5))),IF(ScI=2,H_6*hnh,0))</f>
        <v>#DIV/0!</v>
      </c>
      <c r="AI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H_7*hnh/(TP-H_1-H_2-H_3-H_4-H_5-H_6-(hnh*(H_1+H_2+H_3+H_4+H_5+H_6))-(TP*VE*(TCv_3*tCo4_1+TCv_3*tCo4_2+TCv_3*tCo4_3+TCv_3*tCo4_4+TCv_3*tCo4_5+TCv_3*tCo4_6))),IF(ScI=2,H_7*hnh,0))</f>
        <v>#DIV/0!</v>
      </c>
      <c r="AJ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H_8*hnh/(TP-H_1-H_2-H_3-H_4-H_5-H_6-H_7-(hnh*(H_1+H_2+H_3+H_4+H_5+H_6+H_7))-(TP*VE*(TCv_3*tCo4_1+TCv_3*tCo4_2+TCv_3*tCo4_3+TCv_3*tCo4_4+TCv_3*tCo4_5+TCv_3*tCo4_6+TCv_3*tCo4_7))),IF(ScI=2,H_8*hnh,0))</f>
        <v>#DIV/0!</v>
      </c>
      <c r="AK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H_9*hnh/(TP-H_1-H_2-H_3-H_4-H_5-H_6-H_7-H_8-(hnh*(H_1+H_2+H_3+H_4+H_5+H_6+H_7+H_8))-(TP*VE*(TCv_3*tCo4_1+TCv_3*tCo4_2+TCv_3*tCo4_3+TCv_3*tCo4_4+TCv_3*tCo4_5+TCv_3*tCo4_6+TCv_3*tCo4_7+TCv_3*tCo4_8))),IF(ScI=2,H_9*hnh,0))</f>
        <v>#DIV/0!</v>
      </c>
      <c r="AL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H_10*hnh/(TP-H_1-H_2-H_3-H_4-H_5-H_6-H_7-H_8-H_9-(hnh*(H_1+H_2+H_3+H_4+H_5+H_6+H_7+H_8+H_9))-(TP*VE*(TCv_3*tCo4_1+TCv_3*tCo4_2+TCv_3*tCo4_3+TCv_3*tCo4_4+TCv_3*tCo4_5+TCv_3*tCo4_6+TCv_3*tCo4_7+TCv_3*tCo4_8+TCv_3*tCo4_9))),IF(ScI=2,H_10*hnh,0))</f>
        <v>#DIV/0!</v>
      </c>
      <c r="AM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H_11*hnh/(TP-H_1-H_2-H_3-H_4-H_5-H_6-H_7-H_8-H_9-H_10-(hnh*(H_1+H_2+H_3+H_4+H_5+H_6+H_7+H_8+H_9+H_10))-(TP*VE*(TCv_3*tCo4_1+TCv_3*tCo4_2+TCv_3*tCo4_3+TCv_3*tCo4_4+TCv_3*tCo4_5+TCv_3*tCo4_6+TCv_3*tCo4_7+TCv_3*tCo4_8+TCv_3*tCo4_9+TCv_3*tCo4_10))),IF(ScI=2,H_11*hnh,0))</f>
        <v>#DIV/0!</v>
      </c>
      <c r="AN233" s="88" t="e">
        <f>IF(ScI=1,(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BF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BF234)*H_12*hnh/(TP-H_1-H_2-H_3-H_4-H_5-H_6-H_7-H_8-H_9-H_10-H_11-(hnh*(H_1+H_2+H_3+H_4+H_5+H_6+H_7+H_8+H_9+H_10+H_11))-(TP*VE*(TCv_3*tCo4_1+TCv_3*tCo4_2+TCv_3*tCo4_3+TCv_3*tCo4_4+TCv_3*tCo4_5+TCv_3*tCo4_6+TCv_3*tCo4_7+TCv_3*tCo4_8+TCv_3*tCo4_9+TCv_3*tCo4_10+TCv_3*tCo4_11))),IF(ScI=2,H_12*hnh,0))</f>
        <v>#DIV/0!</v>
      </c>
      <c r="AP233" s="103" t="s">
        <v>82</v>
      </c>
      <c r="AQ233" s="103" t="s">
        <v>83</v>
      </c>
      <c r="AR233" s="103" t="s">
        <v>84</v>
      </c>
      <c r="AS233" s="103" t="s">
        <v>85</v>
      </c>
      <c r="AT233" s="103" t="s">
        <v>86</v>
      </c>
      <c r="AU233" s="103" t="s">
        <v>87</v>
      </c>
      <c r="AV233" s="103" t="s">
        <v>88</v>
      </c>
      <c r="AW233" s="103" t="s">
        <v>89</v>
      </c>
      <c r="AX233" s="103" t="s">
        <v>90</v>
      </c>
      <c r="AZ233" s="103" t="s">
        <v>106</v>
      </c>
      <c r="BA233" s="103" t="s">
        <v>92</v>
      </c>
      <c r="BB233" s="103" t="s">
        <v>98</v>
      </c>
      <c r="BC233" s="103" t="s">
        <v>99</v>
      </c>
      <c r="BD233" s="103" t="s">
        <v>100</v>
      </c>
      <c r="BE233" s="103" t="s">
        <v>101</v>
      </c>
      <c r="BF233" s="103" t="s">
        <v>102</v>
      </c>
    </row>
    <row r="234" spans="1:58" hidden="1" outlineLevel="1" x14ac:dyDescent="0.25">
      <c r="F234" s="113"/>
      <c r="G234" s="31"/>
      <c r="H234" s="31"/>
      <c r="I234" s="31"/>
      <c r="J234" s="31"/>
      <c r="K234" s="31"/>
      <c r="L234" s="31"/>
      <c r="M234" s="31"/>
      <c r="N234" s="31"/>
      <c r="Q234" s="31"/>
      <c r="R234" s="97"/>
      <c r="S234" s="97"/>
      <c r="T234" s="97"/>
      <c r="U234" s="97"/>
      <c r="V234" s="97"/>
      <c r="W234" s="97"/>
      <c r="X234" s="97"/>
      <c r="Y234" s="97"/>
      <c r="Z234" s="97"/>
      <c r="AA234" s="97"/>
      <c r="AB234" s="97"/>
      <c r="AC234" s="98"/>
      <c r="AD234" s="98"/>
      <c r="AE234" s="98"/>
      <c r="AF234" s="98"/>
      <c r="AG234" s="98"/>
      <c r="AH234" s="98"/>
      <c r="AI234" s="98"/>
      <c r="AJ234" s="98"/>
      <c r="AK234" s="98"/>
      <c r="AL234" s="98"/>
      <c r="AM234" s="98"/>
      <c r="AN234" s="98"/>
      <c r="AP234" s="103" t="e">
        <f>((TP-H_1-((TP-H_1-(H_1*hnh)-(TP*TCv_3*tCo4_1*VE))*H_2/(TP-H_1-(H_1*hnh)))-(H_1*hnh)-((TP-H_1-(H_1*hnh)-(TP*TCv_3*tCo4_1*VE))*H_2*hnh/(TP-H_1-(H_1*hnh)))-(TP*TCv_3*tCo4_1*VE)-(TP*TCv_3*tCo4_2*VE))*(H_3*hnh/(TP-H_1-H_2-(hnh*(H_1+H_2)))))</f>
        <v>#DIV/0!</v>
      </c>
      <c r="AQ234" s="103" t="e">
        <f>(TP-H_1-((TP-H_1-(H_1*hnh)-(TP*TCv_3*tCo4_1*VE))*H_2/(TP-H_1-(H_1*hnh)))-AP232-(H_1*hnh)-((TP-H_1-(H_1*hnh)-(TP*TCv_3*tCo4_1*VE))*H_2*hnh/(TP-H_1-(H_1*hnh)))-AP234-(TP*TCv_3*tCo4_1*VE)-(TP*TCv_3*tCo4_2*VE)-(TP*TCv_3*tCo4_3*VE))*(H_4*hnh/(TP-H_1-H_2-H_3-(hnh*(H_1+H_2+H_3))))</f>
        <v>#DIV/0!</v>
      </c>
      <c r="AR234" s="103" t="e">
        <f>(TP-H_1-((TP-H_1-(H_1*hnh)-(TP*TCv_3*tCo4_1*VE))*H_2/(TP-H_1-(H_1*hnh)))-AP232-AQ232-(H_1*hnh)-((TP-H_1-(H_1*hnh)-(TP*TCv_3*tCo4_1*VE))*H_2*hnh/(TP-H_1-(H_1*hnh)))-AP234-AQ234-(TP*TCv_3*tCo4_1*VE)-(TP*TCv_3*tCo4_2*VE)-(TP*TCv_3*tCo4_3*VE)-(TP*TCv_3*tCo4_4*VE))*(H_5*hnh/(TP-H_1-H_2-H_3-H_4-(hnh*(H_1+H_2+H_3+H_4))))</f>
        <v>#DIV/0!</v>
      </c>
      <c r="AS234" s="103" t="e">
        <f>(TP-H_1-((TP-H_1-(H_1*hnh)-(TP*TCv_3*tCo4_1*VE))*H_2/(TP-H_1-(H_1*hnh)))-AP232-AQ232-AR232-(H_1*hnh)-((TP-H_1-(H_1*hnh)-(TP*TCv_3*tCo4_1*VE))*H_2*hnh/(TP-H_1-(H_1*hnh)))-AP234-AQ234-AR234-(TP*TCv_3*tCo4_1*VE)-(TP*TCv_3*tCo4_2*VE)-(TP*TCv_3*tCo4_3*VE)-(TP*TCv_3*tCo4_4*VE)-(TP*TCv_3*tCo4_5*VE))*(H_6*hnh/(TP-H_1-H_2-H_3-H_4-H_5-(hnh*(H_1+H_2+H_3+H_4+H_5))))</f>
        <v>#DIV/0!</v>
      </c>
      <c r="AT234" s="103" t="e">
        <f>(TP-H_1-((TP-H_1-(H_1*hnh)-(TP*TCv_3*tCo4_1*VE))*H_2/(TP-H_1-(H_1*hnh)))-AP232-AQ232-AR232-AS232-(H_1*hnh)-((TP-H_1-(H_1*hnh)-(TP*TCv_3*tCo4_1*VE))*H_2*hnh/(TP-H_1-(H_1*hnh)))-AP234-AQ234-AR234-AS234-(TP*TCv_3*tCo4_1*VE)-(TP*TCv_3*tCo4_2*VE)-(TP*TCv_3*tCo4_3*VE)-(TP*TCv_3*tCo4_4*VE)-(TP*TCv_3*tCo4_5*VE)-(TP*TCv_3*tCo4_6*VE))*(H_7*hnh/(TP-H_1-H_2-H_3-H_4-H_5-H_6-(hnh*(H_1+H_2+H_3+H_4+H_5+H_6))))</f>
        <v>#DIV/0!</v>
      </c>
      <c r="AU234" s="103" t="e">
        <f>(TP-H_1-((TP-H_1-(H_1*hnh)-(TP*TCv_3*tCo4_1*VE))*H_2/(TP-H_1-(H_1*hnh)))-AP232-AQ232-AR232-AS232-AT232-(H_1*hnh)-((TP-H_1-(H_1*hnh)-(TP*TCv_3*tCo4_1*VE))*H_2*hnh/(TP-H_1-(H_1*hnh)))-AP234-AQ234-AR234-AS234-AT234-(TP*TCv_3*tCo4_1*VE)-(TP*TCv_3*tCo4_2*VE)-(TP*TCv_3*tCo4_3*VE)-(TP*TCv_3*tCo4_4*VE)-(TP*TCv_3*tCo4_5*VE)-(TP*TCv_3*tCo4_6*VE)-(TP*TCv_3*tCo4_7*VE))*(H_8*hnh/(TP-H_1-H_2-H_3-H_4-H_5-H_6-H_7-(hnh*(H_1+H_2+H_3+H_4+H_5+H_6+H_7))))</f>
        <v>#DIV/0!</v>
      </c>
      <c r="AV234" s="103" t="e">
        <f>(TP-H_1-((TP-H_1-(H_1*hnh)-(TP*TCv_3*tCo4_1*VE))*H_2/(TP-H_1-(H_1*hnh)))-AP232-AQ232-AR232-AS232-AT232-AU232-(H_1*hnh)-((TP-H_1-(H_1*hnh)-(TP*TCv_3*tCo4_1*VE))*H_2*hnh/(TP-H_1-(H_1*hnh)))-AP234-AQ234-AR234-AS234-AT234-AU234-(TP*TCv_3*tCo4_1*VE)-(TP*TCv_3*tCo4_2*VE)-(TP*TCv_3*tCo4_3*VE)-(TP*TCv_3*tCo4_4*VE)-(TP*TCv_3*tCo4_5*VE)-(TP*TCv_3*tCo4_6*VE)-(TP*TCv_3*tCo4_7*VE)-(TP*TCv_3*tCo4_8*VE))*(H_9*hnh/(TP-H_1-H_2-H_3-H_4-H_5-H_6-H_7-H_8-(hnh*(H_1+H_2+H_3+H_4+H_5+H_6+H_7+H_8))))</f>
        <v>#DIV/0!</v>
      </c>
      <c r="AW234" s="103" t="e">
        <f>(TP-H_1-((TP-H_1-(H_1*hnh)-(TP*TCv_3*tCo4_1*VE))*H_2/(TP-H_1-(H_1*hnh)))-AP232-AQ232-AR232-AS232-AT232-AU232-AV232-(H_1*hnh)-((TP-H_1-(H_1*hnh)-(TP*TCv_3*tCo4_1*VE))*H_2*hnh/(TP-H_1-(H_1*hnh)))-AP234-AQ234-AR234-AS234-AT234-AU234-AV234-(TP*TCv_3*tCo4_1*VE)-(TP*TCv_3*tCo4_2*VE)-(TP*TCv_3*tCo4_3*VE)-(TP*TCv_3*tCo4_4*VE)-(TP*TCv_3*tCo4_5*VE)-(TP*TCv_3*tCo4_6*VE)-(TP*TCv_3*tCo4_7*VE)-(TP*TCv_3*tCo4_8*VE)-(TP*TCv_3*tCo4_9*VE))*(H_10*hnh/(TP-H_1-H_2-H_3-H_4-H_5-H_6-H_7-H_8-H_9-(hnh*(H_1+H_2+H_3+H_4+H_5+H_6+H_7+H_8+H_9))))</f>
        <v>#DIV/0!</v>
      </c>
      <c r="AX234" s="103" t="e">
        <f>(TP-H_1-((TP-H_1-(H_1*hnh)-(TP*TCv_3*tCo4_1*VE))*H_2/(TP-H_1-(H_1*hnh)))-AP232-AQ232-AR232-AS232-AT232-AU232-AV232-AW232-(H_1*hnh)-((TP-H_1-(H_1*hnh)-(TP*TCv_3*tCo4_1*VE))*H_2*hnh/(TP-H_1-(H_1*hnh)))-AP234-AQ234-AR234-AS234-AT234-AU234-AV234-AW234-(TP*TCv_3*tCo4_1*VE)-(TP*TCv_3*tCo4_2*VE)-(TP*TCv_3*tCo4_3*VE)-(TP*TCv_3*tCo4_4*VE)-(TP*TCv_3*tCo4_5*VE)-(TP*TCv_3*tCo4_6*VE)-(TP*TCv_3*tCo4_7*VE)-(TP*TCv_3*tCo4_8*VE)-(TP*TCv_3*tCo4_9*VE)-(TP*TCv_3*tCo4_10*VE))*(H_11*hnh/(TP-H_1-H_2-H_3-H_4-H_5-H_6-H_7-H_8-H_9-H_10-(hnh*(H_1+H_2+H_3+H_4+H_5+H_6+H_7+H_8+H_9+H_10))))</f>
        <v>#DIV/0!</v>
      </c>
      <c r="AZ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H_5*hnh/(TP-H_1-H_2-H_3-H_4-(hnh*(H_1+H_2+H_3+H_4))-(TP*VE*(TCv_3*tCo4_1+TCv_3*tCo4_2+TCv_3*tCo4_3+TCv_3*tCo4_4)))</f>
        <v>#DIV/0!</v>
      </c>
      <c r="BA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H_6*hnh/(TP-H_1-H_2-H_3-H_4-H_5-(hnh*(H_1+H_2+H_3+H_4+H_5))-(TP*VE*(TCv_3*tCo4_1+TCv_3*tCo4_2+TCv_3*tCo4_3+TCv_3*tCo4_4+TCv_3*tCo4_5)))</f>
        <v>#DIV/0!</v>
      </c>
      <c r="BB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H_7*hnh/(TP-H_1-H_2-H_3-H_4-H_5-H_6-(hnh*(H_1+H_2+H_3+H_4+H_5+H_6))-(TP*VE*(TCv_3*tCo4_1+TCv_3*tCo4_2+TCv_3*tCo4_3+TCv_3*tCo4_4+TCv_3*tCo4_5+TCv_3*tCo4_6)))</f>
        <v>#DIV/0!</v>
      </c>
      <c r="BC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H_8*hnh/(TP-H_1-H_2-H_3-H_4-H_5-H_6-H_7-(hnh*(H_1+H_2+H_3+H_4+H_5+H_6+H_7))-(TP*VE*(TCv_3*tCo4_1+TCv_3*tCo4_2+TCv_3*tCo4_3+TCv_3*tCo4_4+TCv_3*tCo4_5+TCv_3*tCo4_6+TCv_3*tCo4_7)))</f>
        <v>#DIV/0!</v>
      </c>
      <c r="BD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H_9*hnh/(TP-H_1-H_2-H_3-H_4-H_5-H_6-H_7-H_8-(hnh*(H_1+H_2+H_3+H_4+H_5+H_6+H_7+H_8))-(TP*VE*(TCv_3*tCo4_1+TCv_3*tCo4_2+TCv_3*tCo4_3+TCv_3*tCo4_4+TCv_3*tCo4_5+TCv_3*tCo4_6+TCv_3*tCo4_7+TCv_3*tCo4_8)))</f>
        <v>#DIV/0!</v>
      </c>
      <c r="BE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H_10*hnh/(TP-H_1-H_2-H_3-H_4-H_5-H_6-H_7-H_8-H_9-(hnh*(H_1+H_2+H_3+H_4+H_5+H_6+H_7+H_8+H_9))-(TP*VE*(TCv_3*tCo4_1+TCv_3*tCo4_2+TCv_3*tCo4_3+TCv_3*tCo4_4+TCv_3*tCo4_5+TCv_3*tCo4_6+TCv_3*tCo4_7+TCv_3*tCo4_8+TCv_3*tCo4_9)))</f>
        <v>#DIV/0!</v>
      </c>
      <c r="BF234" s="103" t="e">
        <f>(TP-H_1-((TP-H_1-(H_1*hnh))*H_2/(TP-H_1-(H_1*hnh)-(TP*TCv_3*tCo4_1*VE)))-((TP-H_1-((TP-H_1-(H_1*hnh))*H_2/(TP-H_1-(H_1*hnh)-(TP*TCv_3*tCo4_1*VE)))-(H_1*hnh)-((TP-H_1-(H_1*hnh))*H_2*hnh/(TP-H_1-(H_1*hnh)-(TP*TCv_3*tCo4_1*VE))))*H_3/(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TP-H_1-H_2-H_3-(hnh*(H_1+H_2+H_3))-(TP*VE*(TCv_3*tCo4_1+TCv_3*tCo4_2+TCv_3*tCo4_3))))-AZ232-BA232-BB232-BC232-BD232-BE232-(H_1*hnh)-((TP-H_1-(H_1*hnh))*H_2*hnh/(TP-H_1-(H_1*hnh)-(TP*TCv_3*tCo4_1*VE)))-((TP-H_1-((TP-H_1-(H_1*hnh))*H_2/(TP-H_1-(H_1*hnh)-(TP*TCv_3*tCo4_1*VE)))-(H_1*hnh)-((TP-H_1-(H_1*hnh))*H_2*hnh/(TP-H_1-(H_1*hnh)-(TP*TCv_3*tCo4_1*VE))))*H_3*hnh/(TP-H_1-H_2-(hnh*(H_1+H_2))-(TP*VE*(TCv_3*tCo4_1+TCv_3*tCo4_2))))-((TP-H_1-((TP-H_1-(H_1*hnh))*H_2/(TP-H_1-(H_1*hnh)-(TP*TCv_3*tCo4_1*VE)))-((TP-H_1-((TP-H_1-(H_1*hnh))*H_2/(TP-H_1-(H_1*hnh)-(TP*TCv_3*tCo4_1*VE)))-(H_1*hnh)-((TP-H_1-(H_1*hnh))*H_2*hnh/(TP-H_1-(H_1*hnh)-(TP*TCv_3*tCo4_1*VE))))*H_3/(TP-H_1-H_2-(hnh*(H_1+H_2))-(TP*VE*(TCv_3*tCo4_1+TCv_3*tCo4_2))))-(H_1*hnh)-((TP-H_1-(H_1*hnh))*H_2*hnh/(TP-H_1-(H_1*hnh)-(TP*TCv_3*tCo4_1*VE)))-((TP-H_1-((TP-H_1-(H_1*hnh))*H_2/(TP-H_1-(H_1*hnh)-(TP*TCv_3*tCo4_1*VE)))-(H_1*hnh)-((TP-H_1-(H_1*hnh))*H_2*hnh/(TP-H_1-(H_1*hnh)-(TP*TCv_3*tCo4_1*VE))))*H_3*hnh/(TP-H_1-H_2-(hnh*(H_1+H_2))-(TP*VE*(TCv_3*tCo4_1+TCv_3*tCo4_2)))))*H_4*hnh/(TP-H_1-H_2-H_3-(hnh*(H_1+H_2+H_3))-(TP*VE*(TCv_3*tCo4_1+TCv_3*tCo4_2+TCv_3*tCo4_3))))-AZ234-BA234-BB234-BC234-BD234-BE234)*H_11*hnh/(TP-H_1-H_2-H_3-H_4-H_5-H_6-H_7-H_8-H_9-H_10-(hnh*(H_1+H_2+H_3+H_4+H_5+H_6+H_7+H_8+H_9+H_10))-(TP*VE*(TCv_3*tCo4_1+TCv_3*tCo4_2+TCv_3*tCo4_3+TCv_3*tCo4_4+TCv_3*tCo4_5+TCv_3*tCo4_6+TCv_3*tCo4_7+TCv_3*tCo4_8+TCv_3*tCo4_9+TCv_3*tCo4_10)))</f>
        <v>#DIV/0!</v>
      </c>
    </row>
    <row r="235" spans="1:58" hidden="1" outlineLevel="1" x14ac:dyDescent="0.25">
      <c r="F235" s="112"/>
    </row>
    <row r="236" spans="1:58" hidden="1" outlineLevel="1" x14ac:dyDescent="0.25">
      <c r="F236" s="112"/>
    </row>
    <row r="237" spans="1:58" collapsed="1" x14ac:dyDescent="0.25"/>
    <row r="238" spans="1:58" s="105" customFormat="1" x14ac:dyDescent="0.25">
      <c r="A238" s="104" t="s">
        <v>311</v>
      </c>
      <c r="B238" s="104"/>
    </row>
    <row r="239" spans="1:58" hidden="1" outlineLevel="1" x14ac:dyDescent="0.25">
      <c r="Q239" s="102" t="s">
        <v>72</v>
      </c>
      <c r="R239" s="102"/>
      <c r="S239" s="102"/>
      <c r="T239" s="102"/>
      <c r="U239" s="102"/>
      <c r="V239" s="102"/>
      <c r="W239" s="102"/>
      <c r="X239" s="102"/>
      <c r="Y239" s="102"/>
      <c r="Z239" s="102"/>
      <c r="AA239" s="102"/>
      <c r="AB239" s="102"/>
      <c r="AC239" s="101" t="s">
        <v>104</v>
      </c>
      <c r="AD239" s="101"/>
      <c r="AE239" s="101"/>
      <c r="AF239" s="101"/>
      <c r="AG239" s="101"/>
      <c r="AH239" s="101"/>
      <c r="AI239" s="101"/>
      <c r="AJ239" s="101"/>
      <c r="AK239" s="101"/>
      <c r="AL239" s="101"/>
      <c r="AM239" s="101"/>
      <c r="AN239" s="101"/>
      <c r="AP239" s="103">
        <v>3</v>
      </c>
      <c r="AQ239" s="103">
        <v>4</v>
      </c>
      <c r="AR239" s="103">
        <v>5</v>
      </c>
      <c r="AS239" s="103">
        <v>6</v>
      </c>
      <c r="AT239" s="103">
        <v>7</v>
      </c>
      <c r="AU239" s="103">
        <v>8</v>
      </c>
      <c r="AV239" s="103">
        <v>9</v>
      </c>
      <c r="AW239" s="103">
        <v>10</v>
      </c>
      <c r="AX239" s="103">
        <v>11</v>
      </c>
      <c r="AZ239" s="103">
        <v>5</v>
      </c>
      <c r="BA239" s="103">
        <v>6</v>
      </c>
      <c r="BB239" s="103">
        <v>7</v>
      </c>
      <c r="BC239" s="103">
        <v>8</v>
      </c>
      <c r="BD239" s="103">
        <v>9</v>
      </c>
      <c r="BE239" s="103">
        <v>10</v>
      </c>
      <c r="BF239" s="103">
        <v>11</v>
      </c>
    </row>
    <row r="240" spans="1:58" ht="28.7" hidden="1" customHeight="1" outlineLevel="1" x14ac:dyDescent="0.25">
      <c r="A240" s="11" t="s">
        <v>47</v>
      </c>
      <c r="B240" s="11"/>
      <c r="C240" s="11"/>
      <c r="D240" s="11"/>
      <c r="E240" s="11"/>
      <c r="F240" s="11"/>
      <c r="G240" s="109" t="s">
        <v>50</v>
      </c>
      <c r="H240" s="109"/>
      <c r="I240" s="110" t="s">
        <v>44</v>
      </c>
      <c r="J240" s="110"/>
      <c r="K240" s="101" t="s">
        <v>58</v>
      </c>
      <c r="L240" s="101"/>
      <c r="M240" s="110" t="s">
        <v>45</v>
      </c>
      <c r="N240" s="110"/>
      <c r="Q240" s="102" t="s">
        <v>1</v>
      </c>
      <c r="R240" s="102"/>
      <c r="S240" s="102"/>
      <c r="T240" s="102"/>
      <c r="U240" s="102"/>
      <c r="V240" s="102"/>
      <c r="W240" s="102"/>
      <c r="X240" s="102"/>
      <c r="Y240" s="102"/>
      <c r="Z240" s="102"/>
      <c r="AA240" s="102"/>
      <c r="AB240" s="102"/>
      <c r="AC240" s="101" t="s">
        <v>71</v>
      </c>
      <c r="AD240" s="101"/>
      <c r="AE240" s="101"/>
      <c r="AF240" s="101"/>
      <c r="AG240" s="101"/>
      <c r="AH240" s="101"/>
      <c r="AI240" s="101"/>
      <c r="AJ240" s="101"/>
      <c r="AK240" s="101"/>
      <c r="AL240" s="101"/>
      <c r="AM240" s="101"/>
      <c r="AN240" s="101"/>
      <c r="AP240" s="103" t="s">
        <v>73</v>
      </c>
      <c r="AQ240" s="103" t="s">
        <v>74</v>
      </c>
      <c r="AR240" s="103" t="s">
        <v>75</v>
      </c>
      <c r="AS240" s="103" t="s">
        <v>76</v>
      </c>
      <c r="AT240" s="103" t="s">
        <v>77</v>
      </c>
      <c r="AU240" s="103" t="s">
        <v>78</v>
      </c>
      <c r="AV240" s="103" t="s">
        <v>79</v>
      </c>
      <c r="AW240" s="103" t="s">
        <v>80</v>
      </c>
      <c r="AX240" s="103" t="s">
        <v>81</v>
      </c>
      <c r="AZ240" s="103" t="s">
        <v>105</v>
      </c>
      <c r="BA240" s="103" t="s">
        <v>91</v>
      </c>
      <c r="BB240" s="103" t="s">
        <v>93</v>
      </c>
      <c r="BC240" s="103" t="s">
        <v>94</v>
      </c>
      <c r="BD240" s="103" t="s">
        <v>95</v>
      </c>
      <c r="BE240" s="103" t="s">
        <v>96</v>
      </c>
      <c r="BF240" s="103" t="s">
        <v>97</v>
      </c>
    </row>
    <row r="241" spans="1:58" ht="45" hidden="1" outlineLevel="1" x14ac:dyDescent="0.25">
      <c r="A241" s="70" t="s">
        <v>40</v>
      </c>
      <c r="B241" s="70" t="s">
        <v>41</v>
      </c>
      <c r="C241" s="70" t="s">
        <v>53</v>
      </c>
      <c r="D241" s="70" t="s">
        <v>48</v>
      </c>
      <c r="E241" s="70" t="s">
        <v>42</v>
      </c>
      <c r="F241" s="76" t="s">
        <v>49</v>
      </c>
      <c r="G241" s="71" t="s">
        <v>51</v>
      </c>
      <c r="H241" s="71" t="s">
        <v>52</v>
      </c>
      <c r="I241" s="72" t="s">
        <v>51</v>
      </c>
      <c r="J241" s="72" t="s">
        <v>52</v>
      </c>
      <c r="K241" s="77" t="s">
        <v>51</v>
      </c>
      <c r="L241" s="77" t="s">
        <v>52</v>
      </c>
      <c r="M241" s="72" t="s">
        <v>51</v>
      </c>
      <c r="N241" s="72" t="s">
        <v>52</v>
      </c>
      <c r="Q241" s="102">
        <v>1</v>
      </c>
      <c r="R241" s="102">
        <v>2</v>
      </c>
      <c r="S241" s="102">
        <v>3</v>
      </c>
      <c r="T241" s="102">
        <v>4</v>
      </c>
      <c r="U241" s="102">
        <v>5</v>
      </c>
      <c r="V241" s="102">
        <v>6</v>
      </c>
      <c r="W241" s="102">
        <v>7</v>
      </c>
      <c r="X241" s="102">
        <v>8</v>
      </c>
      <c r="Y241" s="102">
        <v>9</v>
      </c>
      <c r="Z241" s="102">
        <v>10</v>
      </c>
      <c r="AA241" s="102">
        <v>11</v>
      </c>
      <c r="AB241" s="102">
        <v>12</v>
      </c>
      <c r="AC241" s="101">
        <v>1</v>
      </c>
      <c r="AD241" s="101">
        <v>2</v>
      </c>
      <c r="AE241" s="101">
        <v>3</v>
      </c>
      <c r="AF241" s="101">
        <v>4</v>
      </c>
      <c r="AG241" s="101">
        <v>5</v>
      </c>
      <c r="AH241" s="101">
        <v>6</v>
      </c>
      <c r="AI241" s="101">
        <v>7</v>
      </c>
      <c r="AJ241" s="101">
        <v>8</v>
      </c>
      <c r="AK241" s="101">
        <v>9</v>
      </c>
      <c r="AL241" s="101">
        <v>10</v>
      </c>
      <c r="AM241" s="101">
        <v>11</v>
      </c>
      <c r="AN241" s="101">
        <v>12</v>
      </c>
      <c r="AP241" s="103" t="e">
        <f>((TP-H_1-((TP-H_1-(H_1*hnh)-(TP*TCv_4*tCo4_1*VE))*H_2/(TP-H_1-(H_1*hnh)))-(H_1*hnh)-((TP-H_1-(H_1*hnh)-(TP*TCv_4*tCo4_1*VE))*H_2*hnh/(TP-H_1-(H_1*hnh)))-(TP*TCv_4*tCo4_1*VE)-(TP*TCv_4*tCo4_2*VE))*(H_3/(TP-H_1-H_2-(hnh*(H_1+H_2)))))</f>
        <v>#DIV/0!</v>
      </c>
      <c r="AQ241" s="103" t="e">
        <f>(TP-H_1-((TP-H_1-(H_1*hnh)-(TP*TCv_4*tCo4_1*VE))*H_2/(TP-H_1-(H_1*hnh)))-AP241-(H_1*hnh)-((TP-H_1-(H_1*hnh)-(TP*TCv_4*tCo4_1*VE))*H_2*hnh/(TP-H_1-(H_1*hnh)))-AP243-(TP*TCv_4*tCo4_1*VE)-(TP*TCv_4*tCo4_2*VE)-(TP*TCv_4*tCo4_3*VE))*(H_4/(TP-H_1-H_2-H_3-(hnh*(H_1+H_2+H_3))))</f>
        <v>#DIV/0!</v>
      </c>
      <c r="AR241" s="103" t="e">
        <f>(TP-H_1-((TP-H_1-(H_1*hnh)-(TP*TCv_4*tCo4_1*VE))*H_2/(TP-H_1-(H_1*hnh)))-AP241-AQ241-(H_1*hnh)-((TP-H_1-(H_1*hnh)-(TP*TCv_4*tCo4_1*VE))*H_2*hnh/(TP-H_1-(H_1*hnh)))-AP243-AQ243-(TP*TCv_4*tCo4_1*VE)-(TP*TCv_4*tCo4_2*VE)-(TP*TCv_4*tCo4_3*VE)-(TP*TCv_4*tCo4_4*VE))*(H_5/(TP-H_1-H_2-H_3-H_4-(hnh*(H_1+H_2+H_3+H_4))))</f>
        <v>#DIV/0!</v>
      </c>
      <c r="AS241" s="103" t="e">
        <f>(TP-H_1-((TP-H_1-(H_1*hnh)-(TP*TCv_4*tCo4_1*VE))*H_2/(TP-H_1-(H_1*hnh)))-AP241-AQ241-AR241-(H_1*hnh)-((TP-H_1-(H_1*hnh)-(TP*TCv_4*tCo4_1*VE))*H_2*hnh/(TP-H_1-(H_1*hnh)))-AP243-AQ243-AR243-(TP*TCv_4*tCo4_1*VE)-(TP*TCv_4*tCo4_2*VE)-(TP*TCv_4*tCo4_3*VE)-(TP*TCv_4*tCo4_4*VE)-(TP*TCv_4*tCo4_5*VE))*(H_6/(TP-H_1-H_2-H_3-H_4-H_5-(hnh*(H_1+H_2+H_3+H_4+H_5))))</f>
        <v>#DIV/0!</v>
      </c>
      <c r="AT241" s="103" t="e">
        <f>(TP-H_1-((TP-H_1-(H_1*hnh)-(TP*TCv_4*tCo4_1*VE))*H_2/(TP-H_1-(H_1*hnh)))-AP241-AQ241-AR241-AS241-(H_1*hnh)-((TP-H_1-(H_1*hnh)-(TP*TCv_4*tCo4_1*VE))*H_2*hnh/(TP-H_1-(H_1*hnh)))-AP243-AQ243-AR243-AS243-(TP*TCv_4*tCo4_1*VE)-(TP*TCv_4*tCo4_2*VE)-(TP*TCv_4*tCo4_3*VE)-(TP*TCv_4*tCo4_4*VE)-(TP*TCv_4*tCo4_5*VE)-(TP*TCv_4*tCo4_6*VE))*(H_7/(TP-H_1-H_2-H_3-H_4-H_5-H_6-(hnh*(H_1+H_2+H_3+H_4+H_5+H_6))))</f>
        <v>#DIV/0!</v>
      </c>
      <c r="AU241" s="103" t="e">
        <f>(TP-H_1-((TP-H_1-(H_1*hnh)-(TP*TCv_4*tCo4_1*VE))*H_2/(TP-H_1-(H_1*hnh)))-AP241-AQ241-AR241-AS241-AT241-(H_1*hnh)-((TP-H_1-(H_1*hnh)-(TP*TCv_4*tCo4_1*VE))*H_2*hnh/(TP-H_1-(H_1*hnh)))-AP243-AQ243-AR243-AS243-AT243-(TP*TCv_4*tCo4_1*VE)-(TP*TCv_4*tCo4_2*VE)-(TP*TCv_4*tCo4_3*VE)-(TP*TCv_4*tCo4_4*VE)-(TP*TCv_4*tCo4_5*VE)-(TP*TCv_4*tCo4_6*VE)-(TP*TCv_4*tCo4_7*VE))*(H_8/(TP-H_1-H_2-H_3-H_4-H_5-H_6-H_7-(hnh*(H_1+H_2+H_3+H_4+H_5+H_6+H_7))))</f>
        <v>#DIV/0!</v>
      </c>
      <c r="AV241" s="103" t="e">
        <f>(TP-H_1-((TP-H_1-(H_1*hnh)-(TP*TCv_4*tCo4_1*VE))*H_2/(TP-H_1-(H_1*hnh)))-AP241-AQ241-AR241-AS241-AT241-AU241-(H_1*hnh)-((TP-H_1-(H_1*hnh)-(TP*TCv_4*tCo4_1*VE))*H_2*hnh/(TP-H_1-(H_1*hnh)))-AP243-AQ243-AR243-AS243-AT243-AU243-(TP*TCv_4*tCo4_1*VE)-(TP*TCv_4*tCo4_2*VE)-(TP*TCv_4*tCo4_3*VE)-(TP*TCv_4*tCo4_4*VE)-(TP*TCv_4*tCo4_5*VE)-(TP*TCv_4*tCo4_6*VE)-(TP*TCv_4*tCo4_7*VE)-(TP*TCv_4*tCo4_8*VE))*(H_9/(TP-H_1-H_2-H_3-H_4-H_5-H_6-H_7-H_8-(hnh*(H_1+H_2+H_3+H_4+H_5+H_6+H_7+H_8))))</f>
        <v>#DIV/0!</v>
      </c>
      <c r="AW241" s="103" t="e">
        <f>(TP-H_1-((TP-H_1-(H_1*hnh)-(TP*TCv_4*tCo4_1*VE))*H_2/(TP-H_1-(H_1*hnh)))-AP241-AQ241-AR241-AS241-AT241-AU241-AV241-(H_1*hnh)-((TP-H_1-(H_1*hnh)-(TP*TCv_4*tCo4_1*VE))*H_2*hnh/(TP-H_1-(H_1*hnh)))-AP243-AQ243-AR243-AS243-AT243-AU243-AV243-(TP*TCv_4*tCo4_1*VE)-(TP*TCv_4*tCo4_2*VE)-(TP*TCv_4*tCo4_3*VE)-(TP*TCv_4*tCo4_4*VE)-(TP*TCv_4*tCo4_5*VE)-(TP*TCv_4*tCo4_6*VE)-(TP*TCv_4*tCo4_7*VE)-(TP*TCv_4*tCo4_8*VE)-(TP*TCv_4*tCo4_9*VE))*(H_10/(TP-H_1-H_2-H_3-H_4-H_5-H_6-H_7-H_8-H_9-(hnh*(H_1+H_2+H_3+H_4+H_5+H_6+H_7+H_8+H_9))))</f>
        <v>#DIV/0!</v>
      </c>
      <c r="AX241" s="103" t="e">
        <f>(TP-H_1-((TP-H_1-(H_1*hnh)-(TP*TCv_4*tCo4_1*VE))*H_2/(TP-H_1-(H_1*hnh)))-AP241-AQ241-AR241-AS241-AT241-AU241-AV241-AW241-(H_1*hnh)-((TP-H_1-(H_1*hnh)-(TP*TCv_4*tCo4_1*VE))*H_2*hnh/(TP-H_1-(H_1*hnh)))-AP243-AQ243-AR243-AS243-AT243-AU243-AV243-AW243-(TP*TCv_4*tCo4_1*VE)-(TP*TCv_4*tCo4_2*VE)-(TP*TCv_4*tCo4_3*VE)-(TP*TCv_4*tCo4_4*VE)-(TP*TCv_4*tCo4_5*VE)-(TP*TCv_4*tCo4_6*VE)-(TP*TCv_4*tCo4_7*VE)-(TP*TCv_4*tCo4_8*VE)-(TP*TCv_4*tCo4_9*VE)-(TP*TCv_4*tCo4_10*VE))*(H_11/(TP-H_1-H_2-H_3-H_4-H_5-H_6-H_7-H_8-H_9-H_10-(hnh*(H_1+H_2+H_3+H_4+H_5+H_6+H_7+H_8+H_9+H_10))))</f>
        <v>#DIV/0!</v>
      </c>
      <c r="AZ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H_5/(TP-H_1-H_2-H_3-H_4-(hnh*(H_1+H_2+H_3+H_4))-(TP*VE*(TCv_4*tCo4_1+TCv_4*tCo4_2+TCv_4*tCo4_3+TCv_4*tCo4_4)))</f>
        <v>#DIV/0!</v>
      </c>
      <c r="BA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H_6/(TP-H_1-H_2-H_3-H_4-H_5-(hnh*(H_1+H_2+H_3+H_4+H_5))-(TP*VE*(TCv_4*tCo4_1+TCv_4*tCo4_2+TCv_4*tCo4_3+TCv_4*tCo4_4+TCv_4*tCo4_5)))</f>
        <v>#DIV/0!</v>
      </c>
      <c r="BB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H_7/(TP-H_1-H_2-H_3-H_4-H_5-H_6-(hnh*(H_1+H_2+H_3+H_4+H_5+H_6))-(TP*VE*(TCv_4*tCo4_1+TCv_4*tCo4_2+TCv_4*tCo4_3+TCv_4*tCo4_4+TCv_4*tCo4_5+TCv_4*tCo4_6)))</f>
        <v>#DIV/0!</v>
      </c>
      <c r="BC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H_8/(TP-H_1-H_2-H_3-H_4-H_5-H_6-H_7-(hnh*(H_1+H_2+H_3+H_4+H_5+H_6+H_7))-(TP*VE*(TCv_4*tCo4_1+TCv_4*tCo4_2+TCv_4*tCo4_3+TCv_4*tCo4_4+TCv_4*tCo4_5+TCv_4*tCo4_6+TCv_4*tCo4_7)))</f>
        <v>#DIV/0!</v>
      </c>
      <c r="BD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H_9/(TP-H_1-H_2-H_3-H_4-H_5-H_6-H_7-H_8-(hnh*(H_1+H_2+H_3+H_4+H_5+H_6+H_7+H_8))-(TP*VE*(TCv_4*tCo4_1+TCv_4*tCo4_2+TCv_4*tCo4_3+TCv_4*tCo4_4+TCv_4*tCo4_5+TCv_4*tCo4_6+TCv_4*tCo4_7+TCv_4*tCo4_8)))</f>
        <v>#DIV/0!</v>
      </c>
      <c r="BE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H_10/(TP-H_1-H_2-H_3-H_4-H_5-H_6-H_7-H_8-H_9-(hnh*(H_1+H_2+H_3+H_4+H_5+H_6+H_7+H_8+H_9))-(TP*VE*(TCv_4*tCo4_1+TCv_4*tCo4_2+TCv_4*tCo4_3+TCv_4*tCo4_4+TCv_4*tCo4_5+TCv_4*tCo4_6+TCv_4*tCo4_7+TCv_4*tCo4_8+TCv_4*tCo4_9)))</f>
        <v>#DIV/0!</v>
      </c>
      <c r="BF241"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H_11/(TP-H_1-H_2-H_3-H_4-H_5-H_6-H_7-H_8-H_9-H_10-(hnh*(H_1+H_2+H_3+H_4+H_5+H_6+H_7+H_8+H_9+H_10))-(TP*VE*(TCv_4*tCo4_1+TCv_4*tCo4_2+TCv_4*tCo4_3+TCv_4*tCo4_4+TCv_4*tCo4_5+TCv_4*tCo4_6+TCv_4*tCo4_7+TCv_4*tCo4_8+TCv_4*tCo4_9+TCv_4*tCo4_10)))</f>
        <v>#DIV/0!</v>
      </c>
    </row>
    <row r="242" spans="1:58" hidden="1" outlineLevel="1" x14ac:dyDescent="0.25">
      <c r="A242" s="73">
        <f>season</f>
        <v>0</v>
      </c>
      <c r="B242" s="73">
        <f>TG</f>
        <v>0</v>
      </c>
      <c r="C242" s="73">
        <f>TP</f>
        <v>0</v>
      </c>
      <c r="D242" s="74">
        <f>TCv</f>
        <v>0</v>
      </c>
      <c r="E242" s="75">
        <f>VE</f>
        <v>0</v>
      </c>
      <c r="F242" s="78" t="e">
        <f>G242/IF(mb=1,SUM(AC242:AN242),IF(mb=2,SUM(AD242:AN242),IF(mb=3,SUM(AE242:AN242),IF(mb=4,SUM(AF242:AN242),IF(mb=5,SUM(AG242:AN242),IF(mb=6,SUM(AH242:AN242),IF(mb=7,SUM(AI242:AN242),IF(mb=8,SUM(AJ242:AN242),0))))))))</f>
        <v>#DIV/0!</v>
      </c>
      <c r="G242" s="42">
        <f>IF(mb=1,SUM(AC242:AN242)-SUM(Q242:AB242),IF(mb=2,SUM(AD242:AN242)-SUM(R242:AB242),IF(mb=3,SUM(AE242:AN242)-SUM(S242:AB242),IF(mb=4,SUM(AF242:AN242)-SUM(T242:AB242),IF(mb=5,SUM(AG242:AN242)-SUM(U242:AB242),IF(mb=6,SUM(AH242:AN242)-SUM(V242:AB242),IF(mb=7,SUM(AI242:AN242)-SUM(W242:AB242),IF(mb=8,SUM(AJ242:AN242)-SUM(X242:AB242),0))))))))</f>
        <v>0</v>
      </c>
      <c r="H242" s="96" t="e">
        <f>1/(VE*IF(mb=1,SUM(AC242:AN242),IF(mb=2,SUM(AD242:AN242),IF(mb=3,SUM(AE242:AN242),IF(mb=4,SUM(AF242:AN242),IF(mb=5,SUM(AG242:AN242),IF(mb=6,SUM(AH242:AN242),IF(mb=7,SUM(AI242:AN242),IF(mb=8,SUM(AJ242:AN242),0))))))))/TP)</f>
        <v>#DIV/0!</v>
      </c>
      <c r="I242" s="93" t="e">
        <f>G242/hnh</f>
        <v>#DIV/0!</v>
      </c>
      <c r="J242" s="42" t="e">
        <f>1/(VE*IF(mb=1,SUM(AC242:AN242),IF(mb=2,SUM(AD242:AN242),IF(mb=3,SUM(AE242:AN242),IF(mb=4,SUM(AF242:AN242),IF(mb=5,SUM(AG242:AN242),IF(mb=6,SUM(AH242:AN242),IF(mb=7,SUM(AI242:AN242),IF(mb=8,SUM(AJ242:AN242),0))))))))/(TP*hnh))</f>
        <v>#DIV/0!</v>
      </c>
      <c r="K242" s="42" t="e">
        <f>M242*mai</f>
        <v>#DIV/0!</v>
      </c>
      <c r="L242" s="42" t="e">
        <f>1/(VE*((IF(mb=1,SUM(AC242:AN242),IF(mb=2,SUM(AD242:AN242),IF(mb=3,SUM(AE242:AN242),IF(mb=4,SUM(AF242:AN242),IF(mb=5,SUM(AG242:AN242),IF(mb=6,SUM(AH242:AN242),IF(mb=7,SUM(AI242:AN242),IF(mb=8,SUM(AJ242:AN242),0))))))))+(IF(mb=1,SUM(AC242:AN242),IF(mb=2,SUM(AD242:AN242),IF(mb=3,SUM(AE242:AN242),IF(mb=4,SUM(AF242:AN242),IF(mb=5,SUM(AG242:AN242),IF(mb=6,SUM(AH242:AN242),IF(mb=7,SUM(AI242:AN242),IF(mb=8,SUM(AJ242:AN242),0)))))))))/hnh)*mai)/TP)</f>
        <v>#DIV/0!</v>
      </c>
      <c r="M242" s="42" t="e">
        <f>G242+I242</f>
        <v>#DIV/0!</v>
      </c>
      <c r="N242" s="42" t="e">
        <f>1/(VE*(IF(mb=1,SUM(AC242:AN242),IF(mb=2,SUM(AD242:AN242),IF(mb=3,SUM(AE242:AN242),IF(mb=4,SUM(AF242:AN242),IF(mb=5,SUM(AG242:AN242),IF(mb=6,SUM(AH242:AN242),IF(mb=7,SUM(AI242:AN242),IF(mb=8,SUM(AJ242:AN242),0))))))))+(IF(mb=1,SUM(AC242:AN242),IF(mb=2,SUM(AD242:AN242),IF(mb=3,SUM(AE242:AN242),IF(mb=4,SUM(AF242:AN242),IF(mb=5,SUM(AG242:AN242),IF(mb=6,SUM(AH242:AN242),IF(mb=7,SUM(AI242:AN242),IF(mb=8,SUM(AJ242:AN242),0)))))))))/hnh)/TP)</f>
        <v>#DIV/0!</v>
      </c>
      <c r="Q242" s="86" t="e">
        <f>IF(ISc=1,nh1_1,IF(ISc=2,H_1*hnh,0))</f>
        <v>#DIV/0!</v>
      </c>
      <c r="R242" s="111" t="e">
        <f>IF(ScI=1,((nh1_2/(TP-(nh1_1/hnh)-nh1_1))*(TP-(nh1_1/hnh)-nh1_1-(TP*TCv_4*tCo4_1*VE))),IF(ScI=2,(TP-H_1-(H_1*hnh)-(TP*TCv_4*tCo4_1*VE))*(H_2*hnh/(TP-H_1-(H_1*hnh))),"fal"))</f>
        <v>#DIV/0!</v>
      </c>
      <c r="S242" s="137" t="e">
        <f>IF(ScI=1,(nh1_3/(TP-((nh1_1+nh1_2)/hnh)-nh1_1-nh1_2))*(TP-(nh1_1/hnh)-(R242/hnh)-nh1_1-R242-(TP*VE*(TCv_4*tCo4_1+TCv_4*tCo4_2))),IF(ScI=2,(TP-H_1-((TP-H_1-(H_1*hnh)-(TP*TCv_4*tCo4_1*VE))*H_2/(TP-H_1-(H_1*hnh)))-(H_1*hnh)-((TP-H_1-(H_1*hnh)-(TP*TCv_4*tCo4_1*VE))*H_2*hnh/(TP-H_1-(H_1*hnh)))-(TP*TCv_4*tCo4_1*VE)-(TP*TCv_4*tCo4_2*VE))*(H_3*hnh/(TP-H_1-H_2-(hnh*(H_1+H_2)))),0))</f>
        <v>#DIV/0!</v>
      </c>
      <c r="T242" s="86" t="e">
        <f>IF(ScI=1,(nh1_4/(TP-(nh1_1/hnh)-(nh1_2/hnh)-(nh1_3/hnh)-nh1_1-nh1_2-nh1_3))*(TP-(nh1_1/hnh)-(R242/hnh)-(S242/hnh)-nh1_1-R242-S242-(TP*VE*(TCv_4*tCo4_1+TCv_4*tCo4_2+TCv_4*tCo4_3))),IF(ScI=2,(TP-H_1-((TP-H_1-(H_1*hnh)-(TP*TCv_4*tCo4_1*VE))*H_2/(TP-H_1-(H_1*hnh)))-((TP-H_1-(((TP-H_1-(H_1*hnh)-(TP*TCv_4*tCo4_1*VE))*H_2/(TP-H_1-(H_1*hnh))))-(H_1*hnh)-((TP-H_1-(H_1*hnh)-(TP*TCv_4*tCo4_1*VE))*H_2*hnh/(TP-H_1-(H_1*hnh)))-(TP*TCv_4*tCo4_1*VE)-(TP*TCv_4*tCo4_2*VE))*(H_3/(TP-H_1-H_2-(hnh*(H_1+H_2)))))-(H_1*hnh)-((TP-H_1-(H_1*hnh)-(TP*TCv_4*tCo4_1*VE))*H_2*hnh/(TP-H_1-(H_1*hnh)))-((TP-H_1-(((TP-H_1-(H_1*hnh)-(TP*TCv_4*tCo4_1*VE))*H_2/(TP-H_1-(H_1*hnh))))-(H_1*hnh)-(((TP-H_1-(H_1*hnh)-(TP*TCv_4*tCo4_1*VE))*H_2*hnh/(TP-H_1-(H_1*hnh))))-(TP*TCv_4*tCo4_1*VE)-(TP*TCv_4*tCo4_2*VE))*(H_3*hnh/(TP-H_1-H_2-(hnh*(H_1+H_2)))))-(TP*TCv_4*tCo4_1*VE)-(TP*TCv_4*tCo4_2*VE)-(TP*TCv_4*tCo4_3*VE))*(H_4*hnh/(TP-H_1-H_2-H_3-(hnh*(H_1+H_2+H_3)))),0))</f>
        <v>#DIV/0!</v>
      </c>
      <c r="U242" s="86" t="e">
        <f>IF(ScI=1,(nh1_5/(TP-(nh1_1/hnh)-(nh1_2/hnh)-(nh1_3/hnh)-(nh1_4/hnh)-nh1_1-nh1_2-nh1_3-nh1_4))*(TP-(nh1_1/hnh)-(R242/hnh)-(S242/hnh)-(T242/hnh)-nh1_1-R242-S242-T242-(TP*VE*(TCv_4*tCo4_1+TCv_4*tCo4_2+TCv_4*tCo4_3+TCv_4*tCo4_4))),IF(ScI=2,(TP-H_1-(((TP-H_1-(H_1*hnh)-(TP*TCv_4*tCo4_1*VE))*H_2/(TP-H_1-(H_1*hnh))))-AP241-AQ241-(H_1*hnh)-((TP-H_1-(H_1*hnh)-(TP*TCv_4*tCo4_1*VE))*H_2*hnh/(TP-H_1-(H_1*hnh)))-AP243-AQ243-(TP*TCv_4*tCo4_1*VE)-(TP*TCv_4*tCo4_2*VE)-(TP*TCv_4*tCo4_3*VE)-(TP*TCv_4*tCo4_4*VE))*(H_5*hnh/(TP-H_1-H_2-H_3-H_4-(hnh*(H_1+H_2+H_3+H_4)))),0))</f>
        <v>#DIV/0!</v>
      </c>
      <c r="V242" s="86" t="e">
        <f>IF(ScI=1,(nh1_6/(TP-(nh1_1/hnh)-(nh1_2/hnh)-(nh1_3/hnh)-(nh1_4/hnh)-(nh1_5/hnh)-nh1_1-nh1_2-nh1_3-nh1_4-nh1_5))*(TP-(nh1_1/hnh)-(R242/hnh)-(S242/hnh)-(T242/hnh)-(U242/hnh)-nh1_1-R242-S242-T242-U242-(TP*VE*(TCv_4*tCo4_1+TCv_4*tCo4_2+TCv_4*tCo4_3+TCv_4*tCo4_4+TCv_4*tCo4_5))),IF(ScI=2,(TP-H_1-((TP-H_1-(H_1*hnh)-(TP*TCv_4*tCo4_1*VE))*H_2/(TP-H_1-(H_1*hnh)))-AP241-AQ241-AR241-(H_1*hnh)-((TP-H_1-(H_1*hnh)-(TP*TCv_4*tCo4_1*VE))*H_2*hnh/(TP-H_1-(H_1*hnh)))-AP243-AQ243-AR243-(TP*TCv_4*tCo4_1*VE)-(TP*TCv_4*tCo4_2*VE)-(TP*TCv_4*tCo4_3*VE)-(TP*TCv_4*tCo4_4*VE)-(TP*TCv_4*tCo4_5*VE))*(H_6*hnh/(TP-H_1-H_2-H_3-H_4-H_5-(hnh*(H_1+H_2+H_3+H_4+H_5)))),0))</f>
        <v>#DIV/0!</v>
      </c>
      <c r="W242" s="86" t="e">
        <f>IF(ScI=1,(nh1_7/(TP-(nh1_1/hnh)-(nh1_2/hnh)-(nh1_3/hnh)-(nh1_4/hnh)-(nh1_5/hnh)-(nh1_6/hnh)-nh1_1-nh1_2-nh1_3-nh1_4-nh1_5-nh1_6))*(TP-(nh1_1/hnh)-(R242/hnh)-(S242/hnh)-(T242/hnh)-(U242/hnh)-(V242/hnh)-nh1_1-R242-S242-T242-U242-V242-(TP*VE*(TCv_4*tCo4_1+TCv_4*tCo4_2+TCv_4*tCo4_3+TCv_4*tCo4_4+TCv_4*tCo4_5+TCv_4*tCo4_6))),IF(ScI=2,(TP-H_1-((TP-H_1-(H_1*hnh)-(TP*TCv_4*tCo4_1*VE))*H_2/(TP-H_1-(H_1*hnh)))-AP241-AQ241-AR241-AS241-(H_1*hnh)-((TP-H_1-(H_1*hnh)-(TP*TCv_4*tCo4_1*VE))*H_2*hnh/(TP-H_1-(H_1*hnh)))-AP243-AQ243-AR243-AS243-(TP*TCv_4*tCo4_1*VE)-(TP*TCv_4*tCo4_2*VE)-(TP*TCv_4*tCo4_3*VE)-(TP*TCv_4*tCo4_4*VE)-(TP*TCv_4*tCo4_5*VE)-(TP*TCv_4*tCo4_6*VE))*(H_7*hnh/(TP-H_1-H_2-H_3-H_4-H_5-H_6-(hnh*(H_1+H_2+H_3+H_4+H_5+H_6)))),0))</f>
        <v>#DIV/0!</v>
      </c>
      <c r="X242" s="86" t="e">
        <f>IF(ScI=1,(nh1_8/(TP-(nh1_1/hnh)-(nh1_2/hnh)-(nh1_3/hnh)-(nh1_4/hnh)-(nh1_5/hnh)-(nh1_6/hnh)-(nh1_7/hnh)-nh1_1-nh1_2-nh1_3-nh1_4-nh1_5-nh1_6-nh1_7))*(TP-(nh1_1/hnh)-(R242/hnh)-(S242/hnh)-(T242/hnh)-(U242/hnh)-(V242/hnh)-(W242/hnh)-nh1_1-R242-S242-T242-U242-V242-W242-(TP*VE*(TCv_4*tCo4_1+TCv_4*tCo4_2+TCv_4*tCo4_3+TCv_4*tCo4_4+TCv_4*tCo4_5+TCv_4*tCo4_6+TCv_4*tCo4_7))),IF(ScI=2,(TP-H_1-((TP-H_1-(H_1*hnh)-(TP*TCv_4*tCo4_1*VE))*H_2/(TP-H_1-(H_1*hnh)))-AP241-AQ241-AR241-AS241-AT241-(H_1*hnh)-((TP-H_1-(H_1*hnh)-(TP*TCv_4*tCo4_1*VE))*H_2*hnh/(TP-H_1-(H_1*hnh)))-AP243-AQ243-AR243-AS243-AT243-(TP*TCv_4*tCo4_1*VE)-(TP*TCv_4*tCo4_2*VE)-(TP*TCv_4*tCo4_3*VE)-(TP*TCv_4*tCo4_4*VE)-(TP*TCv_4*tCo4_5*VE)-(TP*TCv_4*tCo4_6*VE)-(TP*TCv_4*tCo4_7*VE))*(H_8*hnh/(TP-H_1-H_2-H_3-H_4-H_5-H_6-H_7-(hnh*(H_1+H_2+H_3+H_4+H_5+H_6+H_7)))),0))</f>
        <v>#DIV/0!</v>
      </c>
      <c r="Y242" s="86" t="e">
        <f>IF(ScI=1,(nh1_9/(TP-(nh1_1/hnh)-(nh1_2/hnh)-(nh1_3/hnh)-(nh1_4/hnh)-(nh1_5/hnh)-(nh1_6/hnh)-(nh1_7/hnh)-(nh1_8/hnh)-nh1_1-nh1_2-nh1_3-nh1_4-nh1_5-nh1_6-nh1_7-nh1_8))*(TP-(nh1_1/hnh)-(R242/hnh)-(S242/hnh)-(T242/hnh)-(U242/hnh)-(V242/hnh)-(W242/hnh)-(X242/hnh)-nh1_1-R242-S242-T242-U242-V242-W242-X242-(TP*VE*(TCv_4*tCo4_1+TCv_4*tCo4_2+TCv_4*tCo4_3+TCv_4*tCo4_4+TCv_4*tCo4_5+TCv_4*tCo4_6+TCv_4*tCo4_7+TCv_4*tCo4_8))),IF(ScI=2,(TP-H_1-((TP-H_1-(H_1*hnh)-(TP*TCv_4*tCo4_1*VE))*H_2/(TP-H_1-(H_1*hnh)))-AP241-AQ241-AR241-AS241-AT241-AU241-(H_1*hnh)-((TP-H_1-(H_1*hnh)-(TP*TCv_4*tCo4_1*VE))*H_2*hnh/(TP-H_1-(H_1*hnh)))-AP243-AQ243-AR243-AS243-AT243-AU243-(TP*TCv_4*tCo4_1*VE)-(TP*TCv_4*tCo4_2*VE)-(TP*TCv_4*tCo4_3*VE)-(TP*TCv_4*tCo4_4*VE)-(TP*TCv_4*tCo4_5*VE)-(TP*TCv_4*tCo4_6*VE)-(TP*TCv_4*tCo4_7*VE)-(TP*TCv_4*tCo4_8*VE))*(H_9*hnh/(TP-H_1-H_2-H_3-H_4-H_5-H_6-H_7-H_8-(hnh*(H_1+H_2+H_3+H_4+H_5+H_6+H_7+H_8)))),0))</f>
        <v>#DIV/0!</v>
      </c>
      <c r="Z242" s="86" t="e">
        <f>IF(ScI=1,(nh1_10/(TP-(nh1_1/hnh)-(nh1_2/hnh)-(nh1_3/hnh)-(nh1_4/hnh)-(nh1_5/hnh)-(nh1_6/hnh)-(nh1_7/hnh)-(nh1_8/hnh)-(nh1_9/hnh)-nh1_1-nh1_2-nh1_3-nh1_4-nh1_5-nh1_6-nh1_7-nh1_8-nh1_9))*(TP-(nh1_1/hnh)-(R242/hnh)-(S242/hnh)-(T242/hnh)-(U242/hnh)-(V242/hnh)-(W242/hnh)-(X242/hnh)-(Y242/hnh)-nh1_1-R242-S242-T242-U242-V242-W242-X242-Y242-(TP*VE*(TCv_4*tCo4_1+TCv_4*tCo4_2+TCv_4*tCo4_3+TCv_4*tCo4_4+TCv_4*tCo4_5+TCv_4*tCo4_6+TCv_4*tCo4_7+TCv_4*tCo4_8+TCv_4*tCo4_9))),IF(ScI=2,(TP-H_1-((TP-H_1-(H_1*hnh)-(TP*TCv_4*tCo4_1*VE))*H_2/(TP-H_1-(H_1*hnh)))-AP241-AQ241-AR241-AS241-AT241-AU241-AV241-(H_1*hnh)-((TP-H_1-(H_1*hnh)-(TP*TCv_4*tCo4_1*VE))*H_2*hnh/(TP-H_1-(H_1*hnh)))-AP243-AQ243-AR243-AS243-AT243-AU243-AV243-(TP*TCv_4*tCo4_1*VE)-(TP*TCv_4*tCo4_2*VE)-(TP*TCv_4*tCo4_3*VE)-(TP*TCv_4*tCo4_4*VE)-(TP*TCv_4*tCo4_5*VE)-(TP*TCv_4*tCo4_6*VE)-(TP*TCv_4*tCo4_7*VE)-(TP*TCv_4*tCo4_8*VE)-(TP*TCv_4*tCo4_9*VE))*(H_10*hnh/(TP-H_1-H_2-H_3-H_4-H_5-H_6-H_7-H_8-H_9-(hnh*(H_1+H_2+H_3+H_4+H_5+H_6+H_7+H_8+H_9)))),0))</f>
        <v>#DIV/0!</v>
      </c>
      <c r="AA242" s="86" t="e">
        <f>IF(ScI=1,(nh1_11/(TP-(nh1_1/hnh)-(nh1_2/hnh)-(nh1_3/hnh)-(nh1_4/hnh)-(nh1_5/hnh)-(nh1_6/hnh)-(nh1_7/hnh)-(nh1_8/hnh)-(nh1_9/hnh)-(nh1_10/hnh)-nh1_1-nh1_2-nh1_3-nh1_4-nh1_5-nh1_6-nh1_7-nh1_8-nh1_9-nh1_10))*(TP-(nh1_1/hnh)-(R242/hnh)-(S242/hnh)-(T242/hnh)-(U242/hnh)-(V242/hnh)-(W242/hnh)-(X242/hnh)-(Y242/hnh)-(Z242/hnh)-nh1_1-R242-S242-T242-U242-V242-W242-X242-Y242-Z242-(TP*VE*(TCv_4*tCo4_1+TCv_4*tCo4_2+TCv_4*tCo4_3+TCv_4*tCo4_4+TCv_4*tCo4_5+TCv_4*tCo4_6+TCv_4*tCo4_7+TCv_4*tCo4_8+TCv_4*tCo4_9+TCv_4*tCo4_10))),IF(ScI=2,(TP-H_1-((TP-H_1-(H_1*hnh)-(TP*TCv_4*tCo4_1*VE))*H_2/(TP-H_1-(H_1*hnh)))-AP241-AQ241-AR241-AS241-AT241-AU241-AV241-AW241-(H_1*hnh)-((TP-H_1-(H_1*hnh)-(TP*TCv_4*tCo4_1*VE))*H_2*hnh/(TP-H_1-(H_1*hnh)))-AP243-AQ243-AR243-AS243-AT243-AU243-AV243-AW243-(TP*TCv_4*tCo4_1*VE)-(TP*TCv_4*tCo4_2*VE)-(TP*TCv_4*tCo4_3*VE)-(TP*TCv_4*tCo4_4*VE)-(TP*TCv_4*tCo4_5*VE)-(TP*TCv_4*tCo4_6*VE)-(TP*TCv_4*tCo4_7*VE)-(TP*TCv_4*tCo4_8*VE)-(TP*TCv_4*tCo4_9*VE)-(TP*TCv_4*tCo4_10*VE))*(H_11*hnh/(TP-H_1-H_2-H_3-H_4-H_5-H_6-H_7-H_8-H_9-H_10-(hnh*(H_1+H_2+H_3+H_4+H_5+H_6+H_7+H_8+H_9+H_10)))),0))</f>
        <v>#DIV/0!</v>
      </c>
      <c r="AB242" s="86" t="e">
        <f>IF(ScI=1,(nh1_12/(TP-(nh1_1/hnh)-(nh1_2/hnh)-(nh1_3/hnh)-(nh1_4/hnh)-(nh1_5/hnh)-(nh1_6/hnh)-(nh1_7/hnh)-(nh1_8/hnh)-(nh1_9/hnh)-(nh1_10/hnh)-(nh1_11/hnh)-nh1_1-nh1_2-nh1_3-nh1_4-nh1_5-nh1_6-nh1_7-nh1_8-nh1_9-nh1_10-nh1_11))*(TP-(nh1_1/hnh)-(R242/hnh)-(S242/hnh)-(T242/hnh)-(U242/hnh)-(V242/hnh)-(W242/hnh)-(X242/hnh)-(Y242/hnh)-(Z242/hnh)-(AA242/hnh)-nh1_1-R242-S242-T242-U242-V242-W242-X242-Y242-Z242-AA242-(TP*VE*(TCv_4*tCo4_1+TCv_4*tCo4_2+TCv_4*tCo4_3+TCv_4*tCo4_4+TCv_4*tCo4_5+TCv_4*tCo4_6+TCv_4*tCo4_7+TCv_4*tCo4_8+TCv_4*tCo4_9+TCv_4*tCo4_10+TCv_4*tCo4_11))),IF(ScI=2,(TP-H_1-((TP-H_1-(H_1*hnh)-(TP*TCv_4*tCo4_1*VE))*H_2/(TP-H_1-(H_1*hnh)))-AP241-AQ241-AR241-AS241-AT241-AU241-AV241-AW241-AX241-(H_1*hnh)-((TP-H_1-(H_1*hnh)-(TP*TCv_4*tCo4_1*VE))*H_2*hnh/(TP-H_1-(H_1*hnh)))-AP243-AQ243-AR243-AS243-AT243-AU243-AV243-AW243-AX243-(TP*TCv_4*tCo4_1*VE)-(TP*TCv_4*tCo4_2*VE)-(TP*TCv_4*tCo4_3*VE)-(TP*TCv_4*tCo4_4*VE)-(TP*TCv_4*tCo4_5*VE)-(TP*TCv_4*tCo4_6*VE)-(TP*TCv_4*tCo4_7*VE)-(TP*TCv_4*tCo4_8*VE)-(TP*TCv_4*tCo4_9*VE)-(TP*TCv_4*tCo4_10*VE)-(TP*TCv_4*tCo4_11*VE))*(H_12*hnh/(TP-H_1-H_2-H_3-H_4-H_5-H_6-H_7-H_8-H_9-H_10-H_11-(hnh*(H_1+H_2+H_3+H_4+H_5+H_6+H_7+H_8+H_9+H_10+H_11)))),0))</f>
        <v>#DIV/0!</v>
      </c>
      <c r="AC242" s="88">
        <f>IF(ScI=1,H_1*hnh,IF(ScI=2,H_1*hnh,0))</f>
        <v>0</v>
      </c>
      <c r="AD242" s="88" t="e">
        <f>IF(ScI=1,(TP-H_1-(H_1*hnh))*H_2*hnh/(TP-H_1-(H_1*hnh)-(TP*TCv_4*tCo4_1*VE)),IF(ScI=2,H_2*hnh,0))</f>
        <v>#DIV/0!</v>
      </c>
      <c r="AE242" s="88" t="e">
        <f>IF(ScI=1,(TP-H_1-((TP-H_1-(H_1*hnh))*H_2/(TP-H_1-(H_1*hnh)-(TP*TCv_4*tCo4_1*VE)))-(H_1*hnh)-((TP-H_1-(H_1*hnh))*H_2*hnh/(TP-H_1-(H_1*hnh)-(TP*TCv_4*tCo4_1*VE))))*H_3*hnh/(TP-H_1-H_2-(hnh*(H_1+H_2))-(TP*VE*(TCv_4*tCo4_1+TCv_4*tCo4_2))),IF(ScI=2,H_3*hnh,0))</f>
        <v>#DIV/0!</v>
      </c>
      <c r="AF242" s="88" t="e">
        <f>IF(ScI=1,(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IF(ScI=2,H_4*hnh,0))</f>
        <v>#DIV/0!</v>
      </c>
      <c r="AG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H_5*hnh/(TP-H_1-H_2-H_3-H_4-(hnh*(H_1+H_2+H_3+H_4))-(TP*VE*(TCv_4*tCo4_1+TCv_4*tCo4_2+TCv_4*tCo4_3+TCv_4*tCo4_4))),IF(ScI=2,H_5*hnh,0))</f>
        <v>#DIV/0!</v>
      </c>
      <c r="AH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H_6*hnh/(TP-H_1-H_2-H_3-H_4-H_5-(hnh*(H_1+H_2+H_3+H_4+H_5))-(TP*VE*(TCv_4*tCo4_1+TCv_4*tCo4_2+TCv_4*tCo4_3+TCv_4*tCo4_4+TCv_4*tCo4_5))),IF(ScI=2,H_6*hnh,0))</f>
        <v>#DIV/0!</v>
      </c>
      <c r="AI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H_7*hnh/(TP-H_1-H_2-H_3-H_4-H_5-H_6-(hnh*(H_1+H_2+H_3+H_4+H_5+H_6))-(TP*VE*(TCv_4*tCo4_1+TCv_4*tCo4_2+TCv_4*tCo4_3+TCv_4*tCo4_4+TCv_4*tCo4_5+TCv_4*tCo4_6))),IF(ScI=2,H_7*hnh,0))</f>
        <v>#DIV/0!</v>
      </c>
      <c r="AJ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H_8*hnh/(TP-H_1-H_2-H_3-H_4-H_5-H_6-H_7-(hnh*(H_1+H_2+H_3+H_4+H_5+H_6+H_7))-(TP*VE*(TCv_4*tCo4_1+TCv_4*tCo4_2+TCv_4*tCo4_3+TCv_4*tCo4_4+TCv_4*tCo4_5+TCv_4*tCo4_6+TCv_4*tCo4_7))),IF(ScI=2,H_8*hnh,0))</f>
        <v>#DIV/0!</v>
      </c>
      <c r="AK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H_9*hnh/(TP-H_1-H_2-H_3-H_4-H_5-H_6-H_7-H_8-(hnh*(H_1+H_2+H_3+H_4+H_5+H_6+H_7+H_8))-(TP*VE*(TCv_4*tCo4_1+TCv_4*tCo4_2+TCv_4*tCo4_3+TCv_4*tCo4_4+TCv_4*tCo4_5+TCv_4*tCo4_6+TCv_4*tCo4_7+TCv_4*tCo4_8))),IF(ScI=2,H_9*hnh,0))</f>
        <v>#DIV/0!</v>
      </c>
      <c r="AL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H_10*hnh/(TP-H_1-H_2-H_3-H_4-H_5-H_6-H_7-H_8-H_9-(hnh*(H_1+H_2+H_3+H_4+H_5+H_6+H_7+H_8+H_9))-(TP*VE*(TCv_4*tCo4_1+TCv_4*tCo4_2+TCv_4*tCo4_3+TCv_4*tCo4_4+TCv_4*tCo4_5+TCv_4*tCo4_6+TCv_4*tCo4_7+TCv_4*tCo4_8+TCv_4*tCo4_9))),IF(ScI=2,H_10*hnh,0))</f>
        <v>#DIV/0!</v>
      </c>
      <c r="AM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H_11*hnh/(TP-H_1-H_2-H_3-H_4-H_5-H_6-H_7-H_8-H_9-H_10-(hnh*(H_1+H_2+H_3+H_4+H_5+H_6+H_7+H_8+H_9+H_10))-(TP*VE*(TCv_4*tCo4_1+TCv_4*tCo4_2+TCv_4*tCo4_3+TCv_4*tCo4_4+TCv_4*tCo4_5+TCv_4*tCo4_6+TCv_4*tCo4_7+TCv_4*tCo4_8+TCv_4*tCo4_9+TCv_4*tCo4_10))),IF(ScI=2,H_11*hnh,0))</f>
        <v>#DIV/0!</v>
      </c>
      <c r="AN242" s="88" t="e">
        <f>IF(ScI=1,(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BF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BF243)*H_12*hnh/(TP-H_1-H_2-H_3-H_4-H_5-H_6-H_7-H_8-H_9-H_10-H_11-(hnh*(H_1+H_2+H_3+H_4+H_5+H_6+H_7+H_8+H_9+H_10+H_11))-(TP*VE*(TCv_4*tCo4_1+TCv_4*tCo4_2+TCv_4*tCo4_3+TCv_4*tCo4_4+TCv_4*tCo4_5+TCv_4*tCo4_6+TCv_4*tCo4_7+TCv_4*tCo4_8+TCv_4*tCo4_9+TCv_4*tCo4_10+TCv_4*tCo4_11))),IF(ScI=2,H_12*hnh,0))</f>
        <v>#DIV/0!</v>
      </c>
      <c r="AP242" s="103" t="s">
        <v>82</v>
      </c>
      <c r="AQ242" s="103" t="s">
        <v>83</v>
      </c>
      <c r="AR242" s="103" t="s">
        <v>84</v>
      </c>
      <c r="AS242" s="103" t="s">
        <v>85</v>
      </c>
      <c r="AT242" s="103" t="s">
        <v>86</v>
      </c>
      <c r="AU242" s="103" t="s">
        <v>87</v>
      </c>
      <c r="AV242" s="103" t="s">
        <v>88</v>
      </c>
      <c r="AW242" s="103" t="s">
        <v>89</v>
      </c>
      <c r="AX242" s="103" t="s">
        <v>90</v>
      </c>
      <c r="AZ242" s="103" t="s">
        <v>106</v>
      </c>
      <c r="BA242" s="103" t="s">
        <v>92</v>
      </c>
      <c r="BB242" s="103" t="s">
        <v>98</v>
      </c>
      <c r="BC242" s="103" t="s">
        <v>99</v>
      </c>
      <c r="BD242" s="103" t="s">
        <v>100</v>
      </c>
      <c r="BE242" s="103" t="s">
        <v>101</v>
      </c>
      <c r="BF242" s="103" t="s">
        <v>102</v>
      </c>
    </row>
    <row r="243" spans="1:58" hidden="1" outlineLevel="1" x14ac:dyDescent="0.25">
      <c r="F243" s="113"/>
      <c r="G243" s="31"/>
      <c r="H243" s="31"/>
      <c r="I243" s="31"/>
      <c r="J243" s="31"/>
      <c r="K243" s="31"/>
      <c r="L243" s="31"/>
      <c r="M243" s="31"/>
      <c r="N243" s="31"/>
      <c r="Q243" s="31"/>
      <c r="R243" s="97"/>
      <c r="S243" s="97"/>
      <c r="T243" s="97"/>
      <c r="U243" s="97"/>
      <c r="V243" s="97"/>
      <c r="W243" s="97"/>
      <c r="X243" s="97"/>
      <c r="Y243" s="97"/>
      <c r="Z243" s="97"/>
      <c r="AA243" s="97"/>
      <c r="AB243" s="97"/>
      <c r="AC243" s="98"/>
      <c r="AD243" s="98"/>
      <c r="AE243" s="98"/>
      <c r="AF243" s="98"/>
      <c r="AG243" s="98"/>
      <c r="AH243" s="98"/>
      <c r="AI243" s="98"/>
      <c r="AJ243" s="98"/>
      <c r="AK243" s="98"/>
      <c r="AL243" s="98"/>
      <c r="AM243" s="98"/>
      <c r="AN243" s="98"/>
      <c r="AP243" s="103" t="e">
        <f>((TP-H_1-((TP-H_1-(H_1*hnh)-(TP*TCv_4*tCo4_1*VE))*H_2/(TP-H_1-(H_1*hnh)))-(H_1*hnh)-((TP-H_1-(H_1*hnh)-(TP*TCv_4*tCo4_1*VE))*H_2*hnh/(TP-H_1-(H_1*hnh)))-(TP*TCv_4*tCo4_1*VE)-(TP*TCv_4*tCo4_2*VE))*(H_3*hnh/(TP-H_1-H_2-(hnh*(H_1+H_2)))))</f>
        <v>#DIV/0!</v>
      </c>
      <c r="AQ243" s="103" t="e">
        <f>(TP-H_1-((TP-H_1-(H_1*hnh)-(TP*TCv_4*tCo4_1*VE))*H_2/(TP-H_1-(H_1*hnh)))-AP241-(H_1*hnh)-((TP-H_1-(H_1*hnh)-(TP*TCv_4*tCo4_1*VE))*H_2*hnh/(TP-H_1-(H_1*hnh)))-AP243-(TP*TCv_4*tCo4_1*VE)-(TP*TCv_4*tCo4_2*VE)-(TP*TCv_4*tCo4_3*VE))*(H_4*hnh/(TP-H_1-H_2-H_3-(hnh*(H_1+H_2+H_3))))</f>
        <v>#DIV/0!</v>
      </c>
      <c r="AR243" s="103" t="e">
        <f>(TP-H_1-((TP-H_1-(H_1*hnh)-(TP*TCv_4*tCo4_1*VE))*H_2/(TP-H_1-(H_1*hnh)))-AP241-AQ241-(H_1*hnh)-((TP-H_1-(H_1*hnh)-(TP*TCv_4*tCo4_1*VE))*H_2*hnh/(TP-H_1-(H_1*hnh)))-AP243-AQ243-(TP*TCv_4*tCo4_1*VE)-(TP*TCv_4*tCo4_2*VE)-(TP*TCv_4*tCo4_3*VE)-(TP*TCv_4*tCo4_4*VE))*(H_5*hnh/(TP-H_1-H_2-H_3-H_4-(hnh*(H_1+H_2+H_3+H_4))))</f>
        <v>#DIV/0!</v>
      </c>
      <c r="AS243" s="103" t="e">
        <f>(TP-H_1-((TP-H_1-(H_1*hnh)-(TP*TCv_4*tCo4_1*VE))*H_2/(TP-H_1-(H_1*hnh)))-AP241-AQ241-AR241-(H_1*hnh)-((TP-H_1-(H_1*hnh)-(TP*TCv_4*tCo4_1*VE))*H_2*hnh/(TP-H_1-(H_1*hnh)))-AP243-AQ243-AR243-(TP*TCv_4*tCo4_1*VE)-(TP*TCv_4*tCo4_2*VE)-(TP*TCv_4*tCo4_3*VE)-(TP*TCv_4*tCo4_4*VE)-(TP*TCv_4*tCo4_5*VE))*(H_6*hnh/(TP-H_1-H_2-H_3-H_4-H_5-(hnh*(H_1+H_2+H_3+H_4+H_5))))</f>
        <v>#DIV/0!</v>
      </c>
      <c r="AT243" s="103" t="e">
        <f>(TP-H_1-((TP-H_1-(H_1*hnh)-(TP*TCv_4*tCo4_1*VE))*H_2/(TP-H_1-(H_1*hnh)))-AP241-AQ241-AR241-AS241-(H_1*hnh)-((TP-H_1-(H_1*hnh)-(TP*TCv_4*tCo4_1*VE))*H_2*hnh/(TP-H_1-(H_1*hnh)))-AP243-AQ243-AR243-AS243-(TP*TCv_4*tCo4_1*VE)-(TP*TCv_4*tCo4_2*VE)-(TP*TCv_4*tCo4_3*VE)-(TP*TCv_4*tCo4_4*VE)-(TP*TCv_4*tCo4_5*VE)-(TP*TCv_4*tCo4_6*VE))*(H_7*hnh/(TP-H_1-H_2-H_3-H_4-H_5-H_6-(hnh*(H_1+H_2+H_3+H_4+H_5+H_6))))</f>
        <v>#DIV/0!</v>
      </c>
      <c r="AU243" s="103" t="e">
        <f>(TP-H_1-((TP-H_1-(H_1*hnh)-(TP*TCv_4*tCo4_1*VE))*H_2/(TP-H_1-(H_1*hnh)))-AP241-AQ241-AR241-AS241-AT241-(H_1*hnh)-((TP-H_1-(H_1*hnh)-(TP*TCv_4*tCo4_1*VE))*H_2*hnh/(TP-H_1-(H_1*hnh)))-AP243-AQ243-AR243-AS243-AT243-(TP*TCv_4*tCo4_1*VE)-(TP*TCv_4*tCo4_2*VE)-(TP*TCv_4*tCo4_3*VE)-(TP*TCv_4*tCo4_4*VE)-(TP*TCv_4*tCo4_5*VE)-(TP*TCv_4*tCo4_6*VE)-(TP*TCv_4*tCo4_7*VE))*(H_8*hnh/(TP-H_1-H_2-H_3-H_4-H_5-H_6-H_7-(hnh*(H_1+H_2+H_3+H_4+H_5+H_6+H_7))))</f>
        <v>#DIV/0!</v>
      </c>
      <c r="AV243" s="103" t="e">
        <f>(TP-H_1-((TP-H_1-(H_1*hnh)-(TP*TCv_4*tCo4_1*VE))*H_2/(TP-H_1-(H_1*hnh)))-AP241-AQ241-AR241-AS241-AT241-AU241-(H_1*hnh)-((TP-H_1-(H_1*hnh)-(TP*TCv_4*tCo4_1*VE))*H_2*hnh/(TP-H_1-(H_1*hnh)))-AP243-AQ243-AR243-AS243-AT243-AU243-(TP*TCv_4*tCo4_1*VE)-(TP*TCv_4*tCo4_2*VE)-(TP*TCv_4*tCo4_3*VE)-(TP*TCv_4*tCo4_4*VE)-(TP*TCv_4*tCo4_5*VE)-(TP*TCv_4*tCo4_6*VE)-(TP*TCv_4*tCo4_7*VE)-(TP*TCv_4*tCo4_8*VE))*(H_9*hnh/(TP-H_1-H_2-H_3-H_4-H_5-H_6-H_7-H_8-(hnh*(H_1+H_2+H_3+H_4+H_5+H_6+H_7+H_8))))</f>
        <v>#DIV/0!</v>
      </c>
      <c r="AW243" s="103" t="e">
        <f>(TP-H_1-((TP-H_1-(H_1*hnh)-(TP*TCv_4*tCo4_1*VE))*H_2/(TP-H_1-(H_1*hnh)))-AP241-AQ241-AR241-AS241-AT241-AU241-AV241-(H_1*hnh)-((TP-H_1-(H_1*hnh)-(TP*TCv_4*tCo4_1*VE))*H_2*hnh/(TP-H_1-(H_1*hnh)))-AP243-AQ243-AR243-AS243-AT243-AU243-AV243-(TP*TCv_4*tCo4_1*VE)-(TP*TCv_4*tCo4_2*VE)-(TP*TCv_4*tCo4_3*VE)-(TP*TCv_4*tCo4_4*VE)-(TP*TCv_4*tCo4_5*VE)-(TP*TCv_4*tCo4_6*VE)-(TP*TCv_4*tCo4_7*VE)-(TP*TCv_4*tCo4_8*VE)-(TP*TCv_4*tCo4_9*VE))*(H_10*hnh/(TP-H_1-H_2-H_3-H_4-H_5-H_6-H_7-H_8-H_9-(hnh*(H_1+H_2+H_3+H_4+H_5+H_6+H_7+H_8+H_9))))</f>
        <v>#DIV/0!</v>
      </c>
      <c r="AX243" s="103" t="e">
        <f>(TP-H_1-((TP-H_1-(H_1*hnh)-(TP*TCv_4*tCo4_1*VE))*H_2/(TP-H_1-(H_1*hnh)))-AP241-AQ241-AR241-AS241-AT241-AU241-AV241-AW241-(H_1*hnh)-((TP-H_1-(H_1*hnh)-(TP*TCv_4*tCo4_1*VE))*H_2*hnh/(TP-H_1-(H_1*hnh)))-AP243-AQ243-AR243-AS243-AT243-AU243-AV243-AW243-(TP*TCv_4*tCo4_1*VE)-(TP*TCv_4*tCo4_2*VE)-(TP*TCv_4*tCo4_3*VE)-(TP*TCv_4*tCo4_4*VE)-(TP*TCv_4*tCo4_5*VE)-(TP*TCv_4*tCo4_6*VE)-(TP*TCv_4*tCo4_7*VE)-(TP*TCv_4*tCo4_8*VE)-(TP*TCv_4*tCo4_9*VE)-(TP*TCv_4*tCo4_10*VE))*(H_11*hnh/(TP-H_1-H_2-H_3-H_4-H_5-H_6-H_7-H_8-H_9-H_10-(hnh*(H_1+H_2+H_3+H_4+H_5+H_6+H_7+H_8+H_9+H_10))))</f>
        <v>#DIV/0!</v>
      </c>
      <c r="AZ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H_5*hnh/(TP-H_1-H_2-H_3-H_4-(hnh*(H_1+H_2+H_3+H_4))-(TP*VE*(TCv_4*tCo4_1+TCv_4*tCo4_2+TCv_4*tCo4_3+TCv_4*tCo4_4)))</f>
        <v>#DIV/0!</v>
      </c>
      <c r="BA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H_6*hnh/(TP-H_1-H_2-H_3-H_4-H_5-(hnh*(H_1+H_2+H_3+H_4+H_5))-(TP*VE*(TCv_4*tCo4_1+TCv_4*tCo4_2+TCv_4*tCo4_3+TCv_4*tCo4_4+TCv_4*tCo4_5)))</f>
        <v>#DIV/0!</v>
      </c>
      <c r="BB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H_7*hnh/(TP-H_1-H_2-H_3-H_4-H_5-H_6-(hnh*(H_1+H_2+H_3+H_4+H_5+H_6))-(TP*VE*(TCv_4*tCo4_1+TCv_4*tCo4_2+TCv_4*tCo4_3+TCv_4*tCo4_4+TCv_4*tCo4_5+TCv_4*tCo4_6)))</f>
        <v>#DIV/0!</v>
      </c>
      <c r="BC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H_8*hnh/(TP-H_1-H_2-H_3-H_4-H_5-H_6-H_7-(hnh*(H_1+H_2+H_3+H_4+H_5+H_6+H_7))-(TP*VE*(TCv_4*tCo4_1+TCv_4*tCo4_2+TCv_4*tCo4_3+TCv_4*tCo4_4+TCv_4*tCo4_5+TCv_4*tCo4_6+TCv_4*tCo4_7)))</f>
        <v>#DIV/0!</v>
      </c>
      <c r="BD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H_9*hnh/(TP-H_1-H_2-H_3-H_4-H_5-H_6-H_7-H_8-(hnh*(H_1+H_2+H_3+H_4+H_5+H_6+H_7+H_8))-(TP*VE*(TCv_4*tCo4_1+TCv_4*tCo4_2+TCv_4*tCo4_3+TCv_4*tCo4_4+TCv_4*tCo4_5+TCv_4*tCo4_6+TCv_4*tCo4_7+TCv_4*tCo4_8)))</f>
        <v>#DIV/0!</v>
      </c>
      <c r="BE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H_10*hnh/(TP-H_1-H_2-H_3-H_4-H_5-H_6-H_7-H_8-H_9-(hnh*(H_1+H_2+H_3+H_4+H_5+H_6+H_7+H_8+H_9))-(TP*VE*(TCv_4*tCo4_1+TCv_4*tCo4_2+TCv_4*tCo4_3+TCv_4*tCo4_4+TCv_4*tCo4_5+TCv_4*tCo4_6+TCv_4*tCo4_7+TCv_4*tCo4_8+TCv_4*tCo4_9)))</f>
        <v>#DIV/0!</v>
      </c>
      <c r="BF243" s="103" t="e">
        <f>(TP-H_1-((TP-H_1-(H_1*hnh))*H_2/(TP-H_1-(H_1*hnh)-(TP*TCv_4*tCo4_1*VE)))-((TP-H_1-((TP-H_1-(H_1*hnh))*H_2/(TP-H_1-(H_1*hnh)-(TP*TCv_4*tCo4_1*VE)))-(H_1*hnh)-((TP-H_1-(H_1*hnh))*H_2*hnh/(TP-H_1-(H_1*hnh)-(TP*TCv_4*tCo4_1*VE))))*H_3/(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TP-H_1-H_2-H_3-(hnh*(H_1+H_2+H_3))-(TP*VE*(TCv_4*tCo4_1+TCv_4*tCo4_2+TCv_4*tCo4_3))))-AZ241-BA241-BB241-BC241-BD241-BE241-(H_1*hnh)-((TP-H_1-(H_1*hnh))*H_2*hnh/(TP-H_1-(H_1*hnh)-(TP*TCv_4*tCo4_1*VE)))-((TP-H_1-((TP-H_1-(H_1*hnh))*H_2/(TP-H_1-(H_1*hnh)-(TP*TCv_4*tCo4_1*VE)))-(H_1*hnh)-((TP-H_1-(H_1*hnh))*H_2*hnh/(TP-H_1-(H_1*hnh)-(TP*TCv_4*tCo4_1*VE))))*H_3*hnh/(TP-H_1-H_2-(hnh*(H_1+H_2))-(TP*VE*(TCv_4*tCo4_1+TCv_4*tCo4_2))))-((TP-H_1-((TP-H_1-(H_1*hnh))*H_2/(TP-H_1-(H_1*hnh)-(TP*TCv_4*tCo4_1*VE)))-((TP-H_1-((TP-H_1-(H_1*hnh))*H_2/(TP-H_1-(H_1*hnh)-(TP*TCv_4*tCo4_1*VE)))-(H_1*hnh)-((TP-H_1-(H_1*hnh))*H_2*hnh/(TP-H_1-(H_1*hnh)-(TP*TCv_4*tCo4_1*VE))))*H_3/(TP-H_1-H_2-(hnh*(H_1+H_2))-(TP*VE*(TCv_4*tCo4_1+TCv_4*tCo4_2))))-(H_1*hnh)-((TP-H_1-(H_1*hnh))*H_2*hnh/(TP-H_1-(H_1*hnh)-(TP*TCv_4*tCo4_1*VE)))-((TP-H_1-((TP-H_1-(H_1*hnh))*H_2/(TP-H_1-(H_1*hnh)-(TP*TCv_4*tCo4_1*VE)))-(H_1*hnh)-((TP-H_1-(H_1*hnh))*H_2*hnh/(TP-H_1-(H_1*hnh)-(TP*TCv_4*tCo4_1*VE))))*H_3*hnh/(TP-H_1-H_2-(hnh*(H_1+H_2))-(TP*VE*(TCv_4*tCo4_1+TCv_4*tCo4_2)))))*H_4*hnh/(TP-H_1-H_2-H_3-(hnh*(H_1+H_2+H_3))-(TP*VE*(TCv_4*tCo4_1+TCv_4*tCo4_2+TCv_4*tCo4_3))))-AZ243-BA243-BB243-BC243-BD243-BE243)*H_11*hnh/(TP-H_1-H_2-H_3-H_4-H_5-H_6-H_7-H_8-H_9-H_10-(hnh*(H_1+H_2+H_3+H_4+H_5+H_6+H_7+H_8+H_9+H_10))-(TP*VE*(TCv_4*tCo4_1+TCv_4*tCo4_2+TCv_4*tCo4_3+TCv_4*tCo4_4+TCv_4*tCo4_5+TCv_4*tCo4_6+TCv_4*tCo4_7+TCv_4*tCo4_8+TCv_4*tCo4_9+TCv_4*tCo4_10)))</f>
        <v>#DIV/0!</v>
      </c>
    </row>
    <row r="244" spans="1:58" hidden="1" outlineLevel="1" x14ac:dyDescent="0.25">
      <c r="F244" s="112"/>
    </row>
    <row r="245" spans="1:58" hidden="1" outlineLevel="1" x14ac:dyDescent="0.25">
      <c r="F245" s="112"/>
    </row>
    <row r="246" spans="1:58" collapsed="1" x14ac:dyDescent="0.25"/>
    <row r="252" spans="1:58" x14ac:dyDescent="0.25">
      <c r="F252" t="s">
        <v>49</v>
      </c>
    </row>
    <row r="253" spans="1:58" x14ac:dyDescent="0.25">
      <c r="F253" t="s">
        <v>134</v>
      </c>
    </row>
    <row r="254" spans="1:58" x14ac:dyDescent="0.25">
      <c r="F254" s="38" t="str">
        <f>Scenarios!B40</f>
        <v>0% (base)</v>
      </c>
      <c r="G254" s="38">
        <f>Scenarios!C40</f>
        <v>0.05</v>
      </c>
      <c r="H254" s="38">
        <f>Scenarios!D40</f>
        <v>0.1</v>
      </c>
      <c r="I254" s="38">
        <f>Scenarios!E40</f>
        <v>0.15</v>
      </c>
      <c r="J254" s="38">
        <f>Scenarios!F40</f>
        <v>0.2</v>
      </c>
    </row>
    <row r="255" spans="1:58" x14ac:dyDescent="0.25">
      <c r="E255" t="s">
        <v>312</v>
      </c>
      <c r="F255" s="31">
        <f>IF(Scenarios!$J$60="Prevented fraction", TEXT(Scenarios!B41,"0,0%"),IF(Scenarios!$J$60="Hospitalized infections",Scenarios!B50,IF(Scenarios!$J$60="Non-hospitalized infections",Scenarios!B59-Scenarios!B50,IF(Scenarios!$J$60="Overall infections",Scenarios!B59,0))))</f>
        <v>0</v>
      </c>
      <c r="G255" s="31" t="e">
        <f>IF(Scenarios!$J$60="Prevented fraction", TEXT(Scenarios!C41,"0,0%"),IF(Scenarios!$J$60="Hospitalized infections",Scenarios!C50,IF(Scenarios!$J$60="Non-hospitalized infections",Scenarios!C59-Scenarios!C50,IF(Scenarios!$J$60="Overall infections",Scenarios!C59,0))))</f>
        <v>#DIV/0!</v>
      </c>
      <c r="H255" s="31" t="e">
        <f>IF(Scenarios!$J$60="Prevented fraction", TEXT(Scenarios!D41,"0,0%"),IF(Scenarios!$J$60="Hospitalized infections",Scenarios!D50,IF(Scenarios!$J$60="Non-hospitalized infections",Scenarios!D59-Scenarios!D50,IF(Scenarios!$J$60="Overall infections",Scenarios!D59,0))))</f>
        <v>#DIV/0!</v>
      </c>
      <c r="I255" s="31" t="e">
        <f>IF(Scenarios!$J$60="Prevented fraction", TEXT(Scenarios!E41,"0,0%"),IF(Scenarios!$J$60="Hospitalized infections",Scenarios!E50,IF(Scenarios!$J$60="Non-hospitalized infections",Scenarios!E59-Scenarios!E50,IF(Scenarios!$J$60="Overall infections",Scenarios!E59,0))))</f>
        <v>#DIV/0!</v>
      </c>
      <c r="J255" s="31" t="e">
        <f>IF(Scenarios!$J$60="Prevented fraction", TEXT(Scenarios!F41,"0,0%"),IF(Scenarios!$J$60="Hospitalized infections",Scenarios!F50,IF(Scenarios!$J$60="Non-hospitalized infections",Scenarios!F59-Scenarios!F50,IF(Scenarios!$J$60="Overall infections",Scenarios!F59,0))))</f>
        <v>#DIV/0!</v>
      </c>
    </row>
    <row r="256" spans="1:58" x14ac:dyDescent="0.25">
      <c r="E256" t="s">
        <v>156</v>
      </c>
      <c r="F256" s="31" t="e">
        <f>IF(Scenarios!$J$60="Prevented fraction", TEXT(Scenarios!B42,"0,0%"),IF(Scenarios!$J$60="Hospitalized infections",Scenarios!B51,IF(Scenarios!$J$60="Non-hospitalized infections",Scenarios!B60-Scenarios!B51,IF(Scenarios!$J$60="Overall infections",Scenarios!B60,0))))</f>
        <v>#DIV/0!</v>
      </c>
      <c r="G256" s="31" t="e">
        <f>IF(Scenarios!$J$60="Prevented fraction", TEXT(Scenarios!C42,"0,0%"),IF(Scenarios!$J$60="Hospitalized infections",Scenarios!C51,IF(Scenarios!$J$60="Non-hospitalized infections",Scenarios!C60-Scenarios!C51,IF(Scenarios!$J$60="Overall infections",Scenarios!C60,0))))</f>
        <v>#DIV/0!</v>
      </c>
      <c r="H256" s="31" t="e">
        <f>IF(Scenarios!$J$60="Prevented fraction", TEXT(Scenarios!D42,"0,0%"),IF(Scenarios!$J$60="Hospitalized infections",Scenarios!D51,IF(Scenarios!$J$60="Non-hospitalized infections",Scenarios!D60-Scenarios!D51,IF(Scenarios!$J$60="Overall infections",Scenarios!D60,0))))</f>
        <v>#DIV/0!</v>
      </c>
      <c r="I256" s="31" t="e">
        <f>IF(Scenarios!$J$60="Prevented fraction", TEXT(Scenarios!E42,"0,0%"),IF(Scenarios!$J$60="Hospitalized infections",Scenarios!E51,IF(Scenarios!$J$60="Non-hospitalized infections",Scenarios!E60-Scenarios!E51,IF(Scenarios!$J$60="Overall infections",Scenarios!E60,0))))</f>
        <v>#DIV/0!</v>
      </c>
      <c r="J256" s="31" t="e">
        <f>IF(Scenarios!$J$60="Prevented fraction", TEXT(Scenarios!F42,"0,0%"),IF(Scenarios!$J$60="Hospitalized infections",Scenarios!F51,IF(Scenarios!$J$60="Non-hospitalized infections",Scenarios!F60-Scenarios!F51,IF(Scenarios!$J$60="Overall infections",Scenarios!F60,0))))</f>
        <v>#DIV/0!</v>
      </c>
    </row>
    <row r="257" spans="5:10" x14ac:dyDescent="0.25">
      <c r="E257" t="s">
        <v>157</v>
      </c>
      <c r="F257" s="31" t="e">
        <f>IF(Scenarios!$J$60="Prevented fraction", TEXT(Scenarios!B43,"0,0%"),IF(Scenarios!$J$60="Hospitalized infections",Scenarios!B52,IF(Scenarios!$J$60="Non-hospitalized infections",Scenarios!B61-Scenarios!B52,IF(Scenarios!$J$60="Overall infections",Scenarios!B61,0))))</f>
        <v>#DIV/0!</v>
      </c>
      <c r="G257" s="31" t="e">
        <f>IF(Scenarios!$J$60="Prevented fraction", TEXT(Scenarios!C43,"0,0%"),IF(Scenarios!$J$60="Hospitalized infections",Scenarios!C52,IF(Scenarios!$J$60="Non-hospitalized infections",Scenarios!C61-Scenarios!C52,IF(Scenarios!$J$60="Overall infections",Scenarios!C61,0))))</f>
        <v>#DIV/0!</v>
      </c>
      <c r="H257" s="31" t="e">
        <f>IF(Scenarios!$J$60="Prevented fraction", TEXT(Scenarios!D43,"0,0%"),IF(Scenarios!$J$60="Hospitalized infections",Scenarios!D52,IF(Scenarios!$J$60="Non-hospitalized infections",Scenarios!D61-Scenarios!D52,IF(Scenarios!$J$60="Overall infections",Scenarios!D61,0))))</f>
        <v>#DIV/0!</v>
      </c>
      <c r="I257" s="31" t="e">
        <f>IF(Scenarios!$J$60="Prevented fraction", TEXT(Scenarios!E43,"0,0%"),IF(Scenarios!$J$60="Hospitalized infections",Scenarios!E52,IF(Scenarios!$J$60="Non-hospitalized infections",Scenarios!E61-Scenarios!E52,IF(Scenarios!$J$60="Overall infections",Scenarios!E61,0))))</f>
        <v>#DIV/0!</v>
      </c>
      <c r="J257" s="31" t="e">
        <f>IF(Scenarios!$J$60="Prevented fraction", TEXT(Scenarios!F43,"0,0%"),IF(Scenarios!$J$60="Hospitalized infections",Scenarios!F52,IF(Scenarios!$J$60="Non-hospitalized infections",Scenarios!F61-Scenarios!F52,IF(Scenarios!$J$60="Overall infections",Scenarios!F61,0))))</f>
        <v>#DIV/0!</v>
      </c>
    </row>
    <row r="258" spans="5:10" x14ac:dyDescent="0.25">
      <c r="E258" t="s">
        <v>158</v>
      </c>
      <c r="F258" s="31" t="e">
        <f>IF(Scenarios!$J$60="Prevented fraction", TEXT(Scenarios!B44,"0,0%"),IF(Scenarios!$J$60="Hospitalized infections",Scenarios!B53,IF(Scenarios!$J$60="Non-hospitalized infections",Scenarios!B62-Scenarios!B53,IF(Scenarios!$J$60="Overall infections",Scenarios!B62,0))))</f>
        <v>#DIV/0!</v>
      </c>
      <c r="G258" s="31" t="e">
        <f>IF(Scenarios!$J$60="Prevented fraction", TEXT(Scenarios!C44,"0,0%"),IF(Scenarios!$J$60="Hospitalized infections",Scenarios!C53,IF(Scenarios!$J$60="Non-hospitalized infections",Scenarios!C62-Scenarios!C53,IF(Scenarios!$J$60="Overall infections",Scenarios!C62,0))))</f>
        <v>#DIV/0!</v>
      </c>
      <c r="H258" s="31" t="e">
        <f>IF(Scenarios!$J$60="Prevented fraction", TEXT(Scenarios!D44,"0,0%"),IF(Scenarios!$J$60="Hospitalized infections",Scenarios!D53,IF(Scenarios!$J$60="Non-hospitalized infections",Scenarios!D62-Scenarios!D53,IF(Scenarios!$J$60="Overall infections",Scenarios!D62,0))))</f>
        <v>#DIV/0!</v>
      </c>
      <c r="I258" s="31" t="e">
        <f>IF(Scenarios!$J$60="Prevented fraction", TEXT(Scenarios!E44,"0,0%"),IF(Scenarios!$J$60="Hospitalized infections",Scenarios!E53,IF(Scenarios!$J$60="Non-hospitalized infections",Scenarios!E62-Scenarios!E53,IF(Scenarios!$J$60="Overall infections",Scenarios!E62,0))))</f>
        <v>#DIV/0!</v>
      </c>
      <c r="J258" s="31" t="e">
        <f>IF(Scenarios!$J$60="Prevented fraction", TEXT(Scenarios!F44,"0,0%"),IF(Scenarios!$J$60="Hospitalized infections",Scenarios!F53,IF(Scenarios!$J$60="Non-hospitalized infections",Scenarios!F62-Scenarios!F53,IF(Scenarios!$J$60="Overall infections",Scenarios!F62,0))))</f>
        <v>#DIV/0!</v>
      </c>
    </row>
    <row r="259" spans="5:10" x14ac:dyDescent="0.25">
      <c r="E259" t="s">
        <v>159</v>
      </c>
      <c r="F259" s="31" t="e">
        <f>IF(Scenarios!$J$60="Prevented fraction", TEXT(Scenarios!B45,"0,0%"),IF(Scenarios!$J$60="Hospitalized infections",Scenarios!B54,IF(Scenarios!$J$60="Non-hospitalized infections",Scenarios!B63-Scenarios!B54,IF(Scenarios!$J$60="Overall infections",Scenarios!B63,0))))</f>
        <v>#DIV/0!</v>
      </c>
      <c r="G259" s="31" t="e">
        <f>IF(Scenarios!$J$60="Prevented fraction", TEXT(Scenarios!C45,"0,0%"),IF(Scenarios!$J$60="Hospitalized infections",Scenarios!C54,IF(Scenarios!$J$60="Non-hospitalized infections",Scenarios!C63-Scenarios!C54,IF(Scenarios!$J$60="Overall infections",Scenarios!C63,0))))</f>
        <v>#DIV/0!</v>
      </c>
      <c r="H259" s="31" t="e">
        <f>IF(Scenarios!$J$60="Prevented fraction", TEXT(Scenarios!D45,"0,0%"),IF(Scenarios!$J$60="Hospitalized infections",Scenarios!D54,IF(Scenarios!$J$60="Non-hospitalized infections",Scenarios!D63-Scenarios!D54,IF(Scenarios!$J$60="Overall infections",Scenarios!D63,0))))</f>
        <v>#DIV/0!</v>
      </c>
      <c r="I259" s="31" t="e">
        <f>IF(Scenarios!$J$60="Prevented fraction", TEXT(Scenarios!E45,"0,0%"),IF(Scenarios!$J$60="Hospitalized infections",Scenarios!E54,IF(Scenarios!$J$60="Non-hospitalized infections",Scenarios!E63-Scenarios!E54,IF(Scenarios!$J$60="Overall infections",Scenarios!E63,0))))</f>
        <v>#DIV/0!</v>
      </c>
      <c r="J259" s="31" t="e">
        <f>IF(Scenarios!$J$60="Prevented fraction", TEXT(Scenarios!F45,"0,0%"),IF(Scenarios!$J$60="Hospitalized infections",Scenarios!F54,IF(Scenarios!$J$60="Non-hospitalized infections",Scenarios!F63-Scenarios!F54,IF(Scenarios!$J$60="Overall infections",Scenarios!F63,0))))</f>
        <v>#DIV/0!</v>
      </c>
    </row>
  </sheetData>
  <mergeCells count="17">
    <mergeCell ref="C11:D11"/>
    <mergeCell ref="Q50:AB50"/>
    <mergeCell ref="AC50:AN50"/>
    <mergeCell ref="AC51:AN51"/>
    <mergeCell ref="Q31:AB31"/>
    <mergeCell ref="AC31:AN31"/>
    <mergeCell ref="G32:H32"/>
    <mergeCell ref="I32:J32"/>
    <mergeCell ref="K32:L32"/>
    <mergeCell ref="M32:N32"/>
    <mergeCell ref="G51:H51"/>
    <mergeCell ref="I51:J51"/>
    <mergeCell ref="K51:L51"/>
    <mergeCell ref="M51:N51"/>
    <mergeCell ref="Q51:AB51"/>
    <mergeCell ref="Q32:AB32"/>
    <mergeCell ref="AC32:AN32"/>
  </mergeCells>
  <phoneticPr fontId="8"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01A2F-3B7E-4C58-9D21-2677806473E3}">
  <sheetPr>
    <tabColor rgb="FF92D050"/>
  </sheetPr>
  <dimension ref="A1:GC82"/>
  <sheetViews>
    <sheetView tabSelected="1" zoomScale="80" zoomScaleNormal="80" workbookViewId="0">
      <selection activeCell="M45" sqref="M45"/>
    </sheetView>
  </sheetViews>
  <sheetFormatPr defaultColWidth="10.85546875" defaultRowHeight="15" x14ac:dyDescent="0.25"/>
  <cols>
    <col min="1" max="1" width="53.28515625" customWidth="1"/>
    <col min="2" max="2" width="12.42578125" customWidth="1"/>
    <col min="3" max="3" width="6.42578125" customWidth="1"/>
    <col min="4" max="4" width="11.85546875" customWidth="1"/>
    <col min="5" max="5" width="16.85546875" customWidth="1"/>
    <col min="6" max="6" width="13.7109375" customWidth="1"/>
    <col min="7" max="7" width="27.140625" customWidth="1"/>
    <col min="8" max="8" width="14.140625" customWidth="1"/>
    <col min="9" max="9" width="17.7109375" customWidth="1"/>
    <col min="10" max="10" width="14.42578125" customWidth="1"/>
    <col min="11" max="11" width="8.42578125" customWidth="1"/>
    <col min="12" max="12" width="18.140625" customWidth="1"/>
    <col min="13" max="13" width="7.28515625" customWidth="1"/>
    <col min="14" max="15" width="16.85546875" customWidth="1"/>
    <col min="16" max="16" width="14.7109375" customWidth="1"/>
  </cols>
  <sheetData>
    <row r="1" spans="1:185" s="230" customFormat="1" ht="35.25" customHeight="1" x14ac:dyDescent="0.3">
      <c r="A1" s="229" t="s">
        <v>162</v>
      </c>
      <c r="B1" s="238"/>
      <c r="C1" s="238"/>
      <c r="D1" s="233" t="s">
        <v>353</v>
      </c>
      <c r="E1" s="238"/>
      <c r="F1" s="238"/>
      <c r="G1" s="233"/>
      <c r="H1" s="233" t="s">
        <v>354</v>
      </c>
      <c r="I1" s="233"/>
      <c r="J1" s="233"/>
      <c r="K1" s="233" t="s">
        <v>352</v>
      </c>
      <c r="L1" s="232"/>
      <c r="M1" s="232"/>
      <c r="N1" s="232"/>
      <c r="O1" s="232"/>
      <c r="P1" s="234"/>
      <c r="Q1" s="234"/>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row>
    <row r="2" spans="1:185" ht="34.5" customHeight="1" thickBot="1" x14ac:dyDescent="0.3">
      <c r="A2" s="226"/>
      <c r="B2" s="226"/>
      <c r="C2" s="226"/>
      <c r="D2" s="226"/>
      <c r="E2" s="226"/>
      <c r="F2" s="226"/>
      <c r="G2" s="226"/>
      <c r="H2" s="226"/>
      <c r="I2" s="226"/>
      <c r="J2" s="226"/>
      <c r="K2" s="273"/>
      <c r="L2" s="326" t="s">
        <v>368</v>
      </c>
      <c r="M2" s="326"/>
      <c r="N2" s="326"/>
      <c r="O2" s="326"/>
      <c r="P2" s="326"/>
      <c r="Q2" s="226"/>
    </row>
    <row r="3" spans="1:185" ht="34.5" customHeight="1" thickBot="1" x14ac:dyDescent="0.3">
      <c r="A3" s="307" t="s">
        <v>388</v>
      </c>
      <c r="B3" s="141">
        <v>1</v>
      </c>
      <c r="C3" s="226"/>
      <c r="D3" s="226" t="s">
        <v>269</v>
      </c>
      <c r="E3" s="141"/>
      <c r="F3" s="226"/>
      <c r="G3" s="226" t="s">
        <v>271</v>
      </c>
      <c r="H3" s="141"/>
      <c r="I3" s="226"/>
      <c r="J3" s="235"/>
      <c r="K3" s="273"/>
      <c r="L3" s="326"/>
      <c r="M3" s="326"/>
      <c r="N3" s="326"/>
      <c r="O3" s="326"/>
      <c r="P3" s="326"/>
      <c r="Q3" s="226"/>
    </row>
    <row r="4" spans="1:185" ht="34.5" customHeight="1" thickBot="1" x14ac:dyDescent="0.3">
      <c r="A4" s="236" t="s">
        <v>266</v>
      </c>
      <c r="B4" s="236"/>
      <c r="C4" s="226"/>
      <c r="D4" s="226" t="s">
        <v>270</v>
      </c>
      <c r="E4" s="141" t="s">
        <v>383</v>
      </c>
      <c r="F4" s="226"/>
      <c r="G4" s="226" t="s">
        <v>272</v>
      </c>
      <c r="H4" s="294"/>
      <c r="I4" s="226"/>
      <c r="J4" s="235"/>
      <c r="K4" s="273"/>
      <c r="L4" s="326"/>
      <c r="M4" s="326"/>
      <c r="N4" s="326"/>
      <c r="O4" s="326"/>
      <c r="P4" s="326"/>
      <c r="Q4" s="226"/>
    </row>
    <row r="5" spans="1:185" ht="19.5" customHeight="1" x14ac:dyDescent="0.25">
      <c r="A5" s="236" t="s">
        <v>267</v>
      </c>
      <c r="B5" s="236"/>
      <c r="C5" s="226"/>
      <c r="D5" s="226"/>
      <c r="E5" s="226"/>
      <c r="F5" s="226"/>
      <c r="G5" s="226"/>
      <c r="I5" s="226"/>
      <c r="J5" s="235"/>
      <c r="K5" s="273"/>
      <c r="L5" s="326"/>
      <c r="M5" s="326"/>
      <c r="N5" s="326"/>
      <c r="O5" s="326"/>
      <c r="P5" s="326"/>
      <c r="Q5" s="226"/>
    </row>
    <row r="6" spans="1:185" s="230" customFormat="1" ht="18.75" x14ac:dyDescent="0.3">
      <c r="A6" s="231" t="s">
        <v>321</v>
      </c>
      <c r="B6" s="237"/>
      <c r="C6" s="234"/>
      <c r="D6" s="234"/>
      <c r="E6" s="234"/>
      <c r="F6" s="234"/>
      <c r="G6" s="234"/>
      <c r="H6" s="234"/>
      <c r="I6" s="234"/>
      <c r="J6" s="234"/>
      <c r="K6" s="234"/>
      <c r="L6" s="234"/>
      <c r="M6" s="234"/>
      <c r="N6" s="234"/>
      <c r="O6" s="234"/>
      <c r="P6" s="234"/>
      <c r="Q6" s="234"/>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row>
    <row r="7" spans="1:185" ht="15.75" customHeight="1" thickBot="1" x14ac:dyDescent="0.3">
      <c r="A7" s="226"/>
      <c r="B7" s="226"/>
      <c r="C7" s="226"/>
      <c r="D7" s="226"/>
      <c r="E7" s="226"/>
      <c r="F7" s="226"/>
      <c r="G7" s="226"/>
      <c r="H7" s="226"/>
      <c r="I7" s="226"/>
      <c r="J7" s="226"/>
      <c r="K7" s="226"/>
      <c r="L7" s="318" t="s">
        <v>389</v>
      </c>
      <c r="M7" s="318"/>
      <c r="N7" s="318"/>
      <c r="O7" s="318"/>
      <c r="P7" s="318"/>
      <c r="Q7" s="226"/>
    </row>
    <row r="8" spans="1:185" ht="29.25" customHeight="1" thickBot="1" x14ac:dyDescent="0.3">
      <c r="A8" s="299" t="s">
        <v>268</v>
      </c>
      <c r="B8" s="301"/>
      <c r="C8" s="226"/>
      <c r="D8" s="264"/>
      <c r="E8" s="267" t="s">
        <v>275</v>
      </c>
      <c r="F8" s="268" t="s">
        <v>290</v>
      </c>
      <c r="G8" s="226"/>
      <c r="H8" s="264"/>
      <c r="I8" s="268" t="s">
        <v>276</v>
      </c>
      <c r="J8" s="261" t="s">
        <v>324</v>
      </c>
      <c r="K8" s="226"/>
      <c r="L8" s="318"/>
      <c r="M8" s="318"/>
      <c r="N8" s="318"/>
      <c r="O8" s="318"/>
      <c r="P8" s="318"/>
      <c r="Q8" s="226"/>
    </row>
    <row r="9" spans="1:185" x14ac:dyDescent="0.25">
      <c r="A9" s="255" t="s">
        <v>273</v>
      </c>
      <c r="B9" s="253"/>
      <c r="C9" s="298"/>
      <c r="D9" s="297">
        <f>B23</f>
        <v>0</v>
      </c>
      <c r="E9" s="196"/>
      <c r="F9" s="266" t="e">
        <f>Co_1/SUM(E$9:E$20)</f>
        <v>#DIV/0!</v>
      </c>
      <c r="G9" s="226"/>
      <c r="H9" s="262">
        <f t="shared" ref="H9:H20" si="0">D9</f>
        <v>0</v>
      </c>
      <c r="I9" s="271"/>
      <c r="J9" s="272">
        <f>SUM(I9:I20)</f>
        <v>0</v>
      </c>
      <c r="K9" s="274"/>
      <c r="L9" s="318"/>
      <c r="M9" s="318"/>
      <c r="N9" s="318"/>
      <c r="O9" s="318"/>
      <c r="P9" s="318"/>
      <c r="Q9" s="226"/>
    </row>
    <row r="10" spans="1:185" x14ac:dyDescent="0.25">
      <c r="A10" s="255" t="s">
        <v>274</v>
      </c>
      <c r="B10" s="254"/>
      <c r="C10" s="226"/>
      <c r="D10" s="262">
        <f t="shared" ref="D10:D20" si="1">IF(D9="Jan","Feb",IF(D9="Feb","Mar",IF(D9="Mar","Apr",IF(D9="Apr","May",IF(D9="May","jun",IF(D9="Jun","Jul",IF(D9="Jul","Aug",IF(D9="Aug","Sep",IF(D9="Sep","Oct",IF(D9="Oct","Nov",IF(D9="Nov","Dec",IF(D9="Dec","Jan",0))))))))))))</f>
        <v>0</v>
      </c>
      <c r="E10" s="196"/>
      <c r="F10" s="149" t="e">
        <f>Co_2/SUM(E$9:E$20)</f>
        <v>#DIV/0!</v>
      </c>
      <c r="G10" s="226"/>
      <c r="H10" s="262">
        <f t="shared" si="0"/>
        <v>0</v>
      </c>
      <c r="I10" s="188"/>
      <c r="J10" s="226"/>
      <c r="K10" s="226"/>
      <c r="L10" s="318"/>
      <c r="M10" s="318"/>
      <c r="N10" s="318"/>
      <c r="O10" s="318"/>
      <c r="P10" s="318"/>
      <c r="Q10" s="226"/>
    </row>
    <row r="11" spans="1:185" x14ac:dyDescent="0.25">
      <c r="A11" s="226"/>
      <c r="B11" s="226"/>
      <c r="C11" s="226"/>
      <c r="D11" s="262">
        <f t="shared" si="1"/>
        <v>0</v>
      </c>
      <c r="E11" s="187"/>
      <c r="F11" s="146" t="e">
        <f>Co_3/SUM(E$9:E$20)</f>
        <v>#DIV/0!</v>
      </c>
      <c r="G11" s="226"/>
      <c r="H11" s="262">
        <f>D11</f>
        <v>0</v>
      </c>
      <c r="I11" s="188"/>
      <c r="J11" s="226"/>
      <c r="K11" s="226"/>
      <c r="L11" s="318"/>
      <c r="M11" s="318"/>
      <c r="N11" s="318"/>
      <c r="O11" s="318"/>
      <c r="P11" s="318"/>
      <c r="Q11" s="226"/>
    </row>
    <row r="12" spans="1:185" x14ac:dyDescent="0.25">
      <c r="A12" s="226"/>
      <c r="B12" s="226"/>
      <c r="C12" s="226"/>
      <c r="D12" s="262">
        <f>IF(D11="Jan","Feb",IF(D11="Feb","Mar",IF(D11="Mar","Apr",IF(D11="Apr","May",IF(D11="May","Jun",IF(D11="Jun","Jul",IF(D11="Jul","Aug",IF(D11="Aug","Sep",IF(D11="Sep","Oct",IF(D11="Oct","Nov",IF(D11="Nov","Dec",IF(D11="Dec","Jan",0))))))))))))</f>
        <v>0</v>
      </c>
      <c r="E12" s="187"/>
      <c r="F12" s="146" t="e">
        <f>Co_4/SUM(E$9:E$20)</f>
        <v>#DIV/0!</v>
      </c>
      <c r="G12" s="226"/>
      <c r="H12" s="262">
        <f>D12</f>
        <v>0</v>
      </c>
      <c r="I12" s="296"/>
      <c r="J12" s="226"/>
      <c r="K12" s="226"/>
      <c r="L12" s="318"/>
      <c r="M12" s="318"/>
      <c r="N12" s="318"/>
      <c r="O12" s="318"/>
      <c r="P12" s="318"/>
      <c r="Q12" s="226"/>
    </row>
    <row r="13" spans="1:185" ht="15.75" thickBot="1" x14ac:dyDescent="0.3">
      <c r="A13" s="244" t="s">
        <v>43</v>
      </c>
      <c r="B13" s="226"/>
      <c r="C13" s="226"/>
      <c r="D13" s="262">
        <f t="shared" si="1"/>
        <v>0</v>
      </c>
      <c r="E13" s="187"/>
      <c r="F13" s="146" t="e">
        <f>Co_5/SUM(E$9:E$20)</f>
        <v>#DIV/0!</v>
      </c>
      <c r="G13" s="226"/>
      <c r="H13" s="262">
        <f t="shared" si="0"/>
        <v>0</v>
      </c>
      <c r="I13" s="188"/>
      <c r="J13" s="226"/>
      <c r="K13" s="226"/>
      <c r="L13" s="318"/>
      <c r="M13" s="318"/>
      <c r="N13" s="318"/>
      <c r="O13" s="318"/>
      <c r="P13" s="318"/>
      <c r="Q13" s="226"/>
    </row>
    <row r="14" spans="1:185" ht="15.75" thickBot="1" x14ac:dyDescent="0.3">
      <c r="A14" s="300" t="s">
        <v>317</v>
      </c>
      <c r="B14" s="141"/>
      <c r="C14" s="226"/>
      <c r="D14" s="262">
        <f t="shared" si="1"/>
        <v>0</v>
      </c>
      <c r="E14" s="187"/>
      <c r="F14" s="146" t="e">
        <f>Co_6/SUM(E$9:E$20)</f>
        <v>#DIV/0!</v>
      </c>
      <c r="G14" s="226"/>
      <c r="H14" s="262">
        <f t="shared" si="0"/>
        <v>0</v>
      </c>
      <c r="I14" s="188"/>
      <c r="J14" s="226"/>
      <c r="K14" s="226"/>
      <c r="L14" s="318"/>
      <c r="M14" s="318"/>
      <c r="N14" s="318"/>
      <c r="O14" s="318"/>
      <c r="P14" s="318"/>
      <c r="Q14" s="226"/>
    </row>
    <row r="15" spans="1:185" x14ac:dyDescent="0.25">
      <c r="A15" s="255" t="s">
        <v>313</v>
      </c>
      <c r="B15" s="256"/>
      <c r="C15" s="226"/>
      <c r="D15" s="262">
        <f t="shared" si="1"/>
        <v>0</v>
      </c>
      <c r="E15" s="187"/>
      <c r="F15" s="146" t="e">
        <f>Co_7/SUM(E$9:E$20)</f>
        <v>#DIV/0!</v>
      </c>
      <c r="G15" s="226"/>
      <c r="H15" s="262">
        <f t="shared" si="0"/>
        <v>0</v>
      </c>
      <c r="I15" s="188"/>
      <c r="J15" s="226"/>
      <c r="K15" s="226"/>
      <c r="L15" s="318"/>
      <c r="M15" s="318"/>
      <c r="N15" s="318"/>
      <c r="O15" s="318"/>
      <c r="P15" s="318"/>
      <c r="Q15" s="226"/>
    </row>
    <row r="16" spans="1:185" x14ac:dyDescent="0.25">
      <c r="A16" s="255" t="s">
        <v>314</v>
      </c>
      <c r="B16" s="257"/>
      <c r="C16" s="226"/>
      <c r="D16" s="262">
        <f t="shared" si="1"/>
        <v>0</v>
      </c>
      <c r="E16" s="187"/>
      <c r="F16" s="146" t="e">
        <f>Co_8/SUM(E$9:E$20)</f>
        <v>#DIV/0!</v>
      </c>
      <c r="G16" s="226"/>
      <c r="H16" s="262">
        <f t="shared" si="0"/>
        <v>0</v>
      </c>
      <c r="I16" s="188"/>
      <c r="J16" s="226"/>
      <c r="K16" s="226"/>
      <c r="L16" s="318"/>
      <c r="M16" s="318"/>
      <c r="N16" s="318"/>
      <c r="O16" s="318"/>
      <c r="P16" s="318"/>
      <c r="Q16" s="226"/>
    </row>
    <row r="17" spans="1:17" x14ac:dyDescent="0.25">
      <c r="A17" s="226"/>
      <c r="B17" s="226"/>
      <c r="C17" s="226"/>
      <c r="D17" s="262">
        <f t="shared" si="1"/>
        <v>0</v>
      </c>
      <c r="E17" s="187"/>
      <c r="F17" s="146" t="e">
        <f>Co_9/SUM(E$9:E$20)</f>
        <v>#DIV/0!</v>
      </c>
      <c r="G17" s="226"/>
      <c r="H17" s="262">
        <f t="shared" si="0"/>
        <v>0</v>
      </c>
      <c r="I17" s="188"/>
      <c r="J17" s="226"/>
      <c r="K17" s="226"/>
      <c r="L17" s="318"/>
      <c r="M17" s="318"/>
      <c r="N17" s="318"/>
      <c r="O17" s="318"/>
      <c r="P17" s="318"/>
      <c r="Q17" s="226"/>
    </row>
    <row r="18" spans="1:17" x14ac:dyDescent="0.25">
      <c r="A18" s="226"/>
      <c r="B18" s="226"/>
      <c r="C18" s="226"/>
      <c r="D18" s="262">
        <f t="shared" si="1"/>
        <v>0</v>
      </c>
      <c r="E18" s="187"/>
      <c r="F18" s="146" t="e">
        <f>Co_10/SUM(E$9:E$20)</f>
        <v>#DIV/0!</v>
      </c>
      <c r="G18" s="226"/>
      <c r="H18" s="262">
        <f t="shared" si="0"/>
        <v>0</v>
      </c>
      <c r="I18" s="188"/>
      <c r="J18" s="226"/>
      <c r="K18" s="226"/>
      <c r="L18" s="318"/>
      <c r="M18" s="318"/>
      <c r="N18" s="318"/>
      <c r="O18" s="318"/>
      <c r="P18" s="318"/>
      <c r="Q18" s="226"/>
    </row>
    <row r="19" spans="1:17" ht="30" x14ac:dyDescent="0.25">
      <c r="A19" s="258" t="s">
        <v>322</v>
      </c>
      <c r="B19" s="257"/>
      <c r="C19" s="226"/>
      <c r="D19" s="262">
        <f t="shared" si="1"/>
        <v>0</v>
      </c>
      <c r="E19" s="187"/>
      <c r="F19" s="146" t="e">
        <f>Co_11/SUM(E$9:E$20)</f>
        <v>#DIV/0!</v>
      </c>
      <c r="G19" s="226"/>
      <c r="H19" s="262">
        <f t="shared" si="0"/>
        <v>0</v>
      </c>
      <c r="I19" s="188"/>
      <c r="J19" s="226"/>
      <c r="K19" s="226"/>
      <c r="L19" s="318"/>
      <c r="M19" s="318"/>
      <c r="N19" s="318"/>
      <c r="O19" s="318"/>
      <c r="P19" s="318"/>
      <c r="Q19" s="226"/>
    </row>
    <row r="20" spans="1:17" x14ac:dyDescent="0.25">
      <c r="A20" s="226"/>
      <c r="B20" s="226"/>
      <c r="C20" s="226"/>
      <c r="D20" s="262">
        <f t="shared" si="1"/>
        <v>0</v>
      </c>
      <c r="E20" s="187"/>
      <c r="F20" s="150" t="e">
        <f>Co_12/SUM(E$9:E$20)</f>
        <v>#DIV/0!</v>
      </c>
      <c r="G20" s="226"/>
      <c r="H20" s="262">
        <f t="shared" si="0"/>
        <v>0</v>
      </c>
      <c r="I20" s="188"/>
      <c r="J20" s="226"/>
      <c r="K20" s="226"/>
      <c r="L20" s="318"/>
      <c r="M20" s="318"/>
      <c r="N20" s="318"/>
      <c r="O20" s="318"/>
      <c r="P20" s="318"/>
      <c r="Q20" s="226"/>
    </row>
    <row r="21" spans="1:17" x14ac:dyDescent="0.25">
      <c r="A21" s="226"/>
      <c r="B21" s="226"/>
      <c r="C21" s="226"/>
      <c r="D21" s="265"/>
      <c r="E21" s="226"/>
      <c r="F21" s="226"/>
      <c r="G21" s="226"/>
      <c r="H21" s="265"/>
      <c r="I21" s="226"/>
      <c r="J21" s="226"/>
      <c r="K21" s="226"/>
      <c r="L21" s="318"/>
      <c r="M21" s="318"/>
      <c r="N21" s="318"/>
      <c r="O21" s="318"/>
      <c r="P21" s="318"/>
      <c r="Q21" s="226"/>
    </row>
    <row r="22" spans="1:17" ht="15.75" thickBot="1" x14ac:dyDescent="0.3">
      <c r="A22" s="226"/>
      <c r="B22" s="302"/>
      <c r="C22" s="226"/>
      <c r="D22" s="265"/>
      <c r="E22" s="226"/>
      <c r="F22" s="226"/>
      <c r="G22" s="226"/>
      <c r="H22" s="265"/>
      <c r="I22" s="226"/>
      <c r="J22" s="226"/>
      <c r="K22" s="226"/>
      <c r="L22" s="318"/>
      <c r="M22" s="318"/>
      <c r="N22" s="318"/>
      <c r="O22" s="318"/>
      <c r="P22" s="318"/>
      <c r="Q22" s="226"/>
    </row>
    <row r="23" spans="1:17" ht="14.45" customHeight="1" thickBot="1" x14ac:dyDescent="0.3">
      <c r="A23" s="304" t="s">
        <v>366</v>
      </c>
      <c r="B23" s="141"/>
      <c r="C23" s="263"/>
      <c r="D23" s="262"/>
      <c r="E23" s="226"/>
      <c r="F23" s="226"/>
      <c r="G23" s="226"/>
      <c r="H23" s="265"/>
      <c r="I23" s="226"/>
      <c r="J23" s="226"/>
      <c r="K23" s="226"/>
      <c r="L23" s="318"/>
      <c r="M23" s="318"/>
      <c r="N23" s="318"/>
      <c r="O23" s="318"/>
      <c r="P23" s="318"/>
      <c r="Q23" s="226"/>
    </row>
    <row r="24" spans="1:17" ht="15.75" thickBot="1" x14ac:dyDescent="0.3">
      <c r="A24" s="284" t="s">
        <v>277</v>
      </c>
      <c r="B24" s="305"/>
      <c r="C24" s="306"/>
      <c r="D24" s="265"/>
      <c r="E24" s="248" t="s">
        <v>132</v>
      </c>
      <c r="F24" s="248" t="s">
        <v>133</v>
      </c>
      <c r="G24" s="226"/>
      <c r="H24" s="265"/>
      <c r="I24" s="248" t="s">
        <v>132</v>
      </c>
      <c r="J24" s="248" t="s">
        <v>133</v>
      </c>
      <c r="K24" s="226"/>
      <c r="L24" s="318"/>
      <c r="M24" s="318"/>
      <c r="N24" s="318"/>
      <c r="O24" s="318"/>
      <c r="P24" s="318"/>
      <c r="Q24" s="226"/>
    </row>
    <row r="25" spans="1:17" ht="28.5" customHeight="1" x14ac:dyDescent="0.25">
      <c r="A25" s="285" t="s">
        <v>367</v>
      </c>
      <c r="B25" s="303"/>
      <c r="C25" s="283"/>
      <c r="D25" s="262"/>
      <c r="E25" s="269"/>
      <c r="F25" s="270"/>
      <c r="G25" s="226"/>
      <c r="H25" s="262"/>
      <c r="I25" s="142"/>
      <c r="J25" s="142"/>
      <c r="K25" s="226"/>
      <c r="L25" s="318"/>
      <c r="M25" s="318"/>
      <c r="N25" s="318"/>
      <c r="O25" s="318"/>
      <c r="P25" s="318"/>
      <c r="Q25" s="226"/>
    </row>
    <row r="26" spans="1:17" x14ac:dyDescent="0.25">
      <c r="C26" s="263"/>
      <c r="D26" s="262">
        <f>D9</f>
        <v>0</v>
      </c>
      <c r="E26" s="147" t="e">
        <f t="shared" ref="E26:E37" si="2">E$25*F9</f>
        <v>#DIV/0!</v>
      </c>
      <c r="F26" s="148" t="e">
        <f t="shared" ref="F26:F37" si="3">F$25*F9</f>
        <v>#DIV/0!</v>
      </c>
      <c r="G26" s="226"/>
      <c r="H26" s="262">
        <f t="shared" ref="H26:H37" si="4">H9</f>
        <v>0</v>
      </c>
      <c r="I26" s="120" t="e">
        <f>lH_1*(H_1/$J$9)</f>
        <v>#DIV/0!</v>
      </c>
      <c r="J26" s="120" t="e">
        <f>uH_1*(H_1/$J$9)</f>
        <v>#DIV/0!</v>
      </c>
      <c r="K26" s="226"/>
      <c r="L26" s="318"/>
      <c r="M26" s="318"/>
      <c r="N26" s="318"/>
      <c r="O26" s="318"/>
      <c r="P26" s="318"/>
      <c r="Q26" s="226"/>
    </row>
    <row r="27" spans="1:17" x14ac:dyDescent="0.25">
      <c r="C27" s="263"/>
      <c r="D27" s="262">
        <f t="shared" ref="D27:D37" si="5">D10</f>
        <v>0</v>
      </c>
      <c r="E27" s="144" t="e">
        <f t="shared" si="2"/>
        <v>#DIV/0!</v>
      </c>
      <c r="F27" s="145" t="e">
        <f t="shared" si="3"/>
        <v>#DIV/0!</v>
      </c>
      <c r="G27" s="226"/>
      <c r="H27" s="262">
        <f t="shared" si="4"/>
        <v>0</v>
      </c>
      <c r="I27" s="120" t="e">
        <f>lH_1*(H_2/$J$9)</f>
        <v>#DIV/0!</v>
      </c>
      <c r="J27" s="120" t="e">
        <f>uH_1*(H_2/$J$9)</f>
        <v>#DIV/0!</v>
      </c>
      <c r="K27" s="226"/>
      <c r="L27" s="318"/>
      <c r="M27" s="318"/>
      <c r="N27" s="318"/>
      <c r="O27" s="318"/>
      <c r="P27" s="318"/>
      <c r="Q27" s="226"/>
    </row>
    <row r="28" spans="1:17" x14ac:dyDescent="0.25">
      <c r="A28" s="248" t="s">
        <v>127</v>
      </c>
      <c r="B28" s="259"/>
      <c r="C28" s="263"/>
      <c r="D28" s="262">
        <f t="shared" si="5"/>
        <v>0</v>
      </c>
      <c r="E28" s="144" t="e">
        <f t="shared" si="2"/>
        <v>#DIV/0!</v>
      </c>
      <c r="F28" s="145" t="e">
        <f t="shared" si="3"/>
        <v>#DIV/0!</v>
      </c>
      <c r="G28" s="226"/>
      <c r="H28" s="262">
        <f t="shared" si="4"/>
        <v>0</v>
      </c>
      <c r="I28" s="120" t="e">
        <f>lH_1*(H_3/$J$9)</f>
        <v>#DIV/0!</v>
      </c>
      <c r="J28" s="120" t="e">
        <f>uH_1*(H_3/$J$9)</f>
        <v>#DIV/0!</v>
      </c>
      <c r="K28" s="226"/>
      <c r="L28" s="318"/>
      <c r="M28" s="318"/>
      <c r="N28" s="318"/>
      <c r="O28" s="318"/>
      <c r="P28" s="318"/>
      <c r="Q28" s="226"/>
    </row>
    <row r="29" spans="1:17" x14ac:dyDescent="0.25">
      <c r="A29" s="261" t="s">
        <v>323</v>
      </c>
      <c r="B29" s="260"/>
      <c r="C29" s="263"/>
      <c r="D29" s="262">
        <f t="shared" si="5"/>
        <v>0</v>
      </c>
      <c r="E29" s="144" t="e">
        <f t="shared" si="2"/>
        <v>#DIV/0!</v>
      </c>
      <c r="F29" s="145" t="e">
        <f t="shared" si="3"/>
        <v>#DIV/0!</v>
      </c>
      <c r="G29" s="226"/>
      <c r="H29" s="262">
        <f t="shared" si="4"/>
        <v>0</v>
      </c>
      <c r="I29" s="120" t="e">
        <f>lH_1*(H_4/$J$9)</f>
        <v>#DIV/0!</v>
      </c>
      <c r="J29" s="120" t="e">
        <f>uH_1*(H_4/$J$9)</f>
        <v>#DIV/0!</v>
      </c>
      <c r="K29" s="226"/>
      <c r="L29" s="318"/>
      <c r="M29" s="318"/>
      <c r="N29" s="318"/>
      <c r="O29" s="318"/>
      <c r="P29" s="318"/>
      <c r="Q29" s="226"/>
    </row>
    <row r="30" spans="1:17" x14ac:dyDescent="0.25">
      <c r="A30" s="263"/>
      <c r="B30" s="263"/>
      <c r="C30" s="263"/>
      <c r="D30" s="262">
        <f t="shared" si="5"/>
        <v>0</v>
      </c>
      <c r="E30" s="144" t="e">
        <f t="shared" si="2"/>
        <v>#DIV/0!</v>
      </c>
      <c r="F30" s="145" t="e">
        <f t="shared" si="3"/>
        <v>#DIV/0!</v>
      </c>
      <c r="G30" s="226"/>
      <c r="H30" s="262">
        <f t="shared" si="4"/>
        <v>0</v>
      </c>
      <c r="I30" s="120" t="e">
        <f>lH_1*(H_5/$J$9)</f>
        <v>#DIV/0!</v>
      </c>
      <c r="J30" s="120" t="e">
        <f>uH_1*(H_5/$J$9)</f>
        <v>#DIV/0!</v>
      </c>
      <c r="K30" s="226"/>
      <c r="L30" s="318"/>
      <c r="M30" s="318"/>
      <c r="N30" s="318"/>
      <c r="O30" s="318"/>
      <c r="P30" s="318"/>
      <c r="Q30" s="226"/>
    </row>
    <row r="31" spans="1:17" x14ac:dyDescent="0.25">
      <c r="A31" s="263"/>
      <c r="B31" s="263"/>
      <c r="C31" s="263"/>
      <c r="D31" s="262">
        <f t="shared" si="5"/>
        <v>0</v>
      </c>
      <c r="E31" s="144" t="e">
        <f t="shared" si="2"/>
        <v>#DIV/0!</v>
      </c>
      <c r="F31" s="145" t="e">
        <f t="shared" si="3"/>
        <v>#DIV/0!</v>
      </c>
      <c r="G31" s="226"/>
      <c r="H31" s="262">
        <f t="shared" si="4"/>
        <v>0</v>
      </c>
      <c r="I31" s="120" t="e">
        <f>lH_1*(H_6/$J$9)</f>
        <v>#DIV/0!</v>
      </c>
      <c r="J31" s="120" t="e">
        <f>uH_1*(H_6/$J$9)</f>
        <v>#DIV/0!</v>
      </c>
      <c r="K31" s="226"/>
      <c r="L31" s="318"/>
      <c r="M31" s="318"/>
      <c r="N31" s="318"/>
      <c r="O31" s="318"/>
      <c r="P31" s="318"/>
      <c r="Q31" s="226"/>
    </row>
    <row r="32" spans="1:17" x14ac:dyDescent="0.25">
      <c r="A32" s="263"/>
      <c r="B32" s="263"/>
      <c r="C32" s="263"/>
      <c r="D32" s="262">
        <f t="shared" si="5"/>
        <v>0</v>
      </c>
      <c r="E32" s="144" t="e">
        <f t="shared" si="2"/>
        <v>#DIV/0!</v>
      </c>
      <c r="F32" s="145" t="e">
        <f t="shared" si="3"/>
        <v>#DIV/0!</v>
      </c>
      <c r="G32" s="226"/>
      <c r="H32" s="262">
        <f t="shared" si="4"/>
        <v>0</v>
      </c>
      <c r="I32" s="120" t="e">
        <f>lH_1*(H_7/$J$9)</f>
        <v>#DIV/0!</v>
      </c>
      <c r="J32" s="120" t="e">
        <f>uH_1*(H_7/$J$9)</f>
        <v>#DIV/0!</v>
      </c>
      <c r="K32" s="226"/>
      <c r="L32" s="318"/>
      <c r="M32" s="318"/>
      <c r="N32" s="318"/>
      <c r="O32" s="318"/>
      <c r="P32" s="318"/>
      <c r="Q32" s="226"/>
    </row>
    <row r="33" spans="1:17" x14ac:dyDescent="0.25">
      <c r="A33" s="263"/>
      <c r="B33" s="263"/>
      <c r="C33" s="263"/>
      <c r="D33" s="262">
        <f t="shared" si="5"/>
        <v>0</v>
      </c>
      <c r="E33" s="144" t="e">
        <f t="shared" si="2"/>
        <v>#DIV/0!</v>
      </c>
      <c r="F33" s="145" t="e">
        <f t="shared" si="3"/>
        <v>#DIV/0!</v>
      </c>
      <c r="G33" s="226"/>
      <c r="H33" s="262">
        <f t="shared" si="4"/>
        <v>0</v>
      </c>
      <c r="I33" s="120" t="e">
        <f>lH_1*(H_8/$J$9)</f>
        <v>#DIV/0!</v>
      </c>
      <c r="J33" s="120" t="e">
        <f>uH_1*(H_8/$J$9)</f>
        <v>#DIV/0!</v>
      </c>
      <c r="K33" s="226"/>
      <c r="L33" s="318"/>
      <c r="M33" s="318"/>
      <c r="N33" s="318"/>
      <c r="O33" s="318"/>
      <c r="P33" s="318"/>
      <c r="Q33" s="226"/>
    </row>
    <row r="34" spans="1:17" x14ac:dyDescent="0.25">
      <c r="A34" s="263"/>
      <c r="B34" s="263"/>
      <c r="C34" s="263"/>
      <c r="D34" s="262">
        <f t="shared" si="5"/>
        <v>0</v>
      </c>
      <c r="E34" s="144" t="e">
        <f t="shared" si="2"/>
        <v>#DIV/0!</v>
      </c>
      <c r="F34" s="145" t="e">
        <f t="shared" si="3"/>
        <v>#DIV/0!</v>
      </c>
      <c r="G34" s="226"/>
      <c r="H34" s="262">
        <f t="shared" si="4"/>
        <v>0</v>
      </c>
      <c r="I34" s="120" t="e">
        <f>lH_1*(H_9/$J$9)</f>
        <v>#DIV/0!</v>
      </c>
      <c r="J34" s="120" t="e">
        <f>uH_1*(H_9/$J$9)</f>
        <v>#DIV/0!</v>
      </c>
      <c r="K34" s="226"/>
      <c r="L34" s="318"/>
      <c r="M34" s="318"/>
      <c r="N34" s="318"/>
      <c r="O34" s="318"/>
      <c r="P34" s="318"/>
      <c r="Q34" s="226"/>
    </row>
    <row r="35" spans="1:17" x14ac:dyDescent="0.25">
      <c r="A35" s="263"/>
      <c r="B35" s="263"/>
      <c r="C35" s="263"/>
      <c r="D35" s="262">
        <f t="shared" si="5"/>
        <v>0</v>
      </c>
      <c r="E35" s="144" t="e">
        <f t="shared" si="2"/>
        <v>#DIV/0!</v>
      </c>
      <c r="F35" s="145" t="e">
        <f t="shared" si="3"/>
        <v>#DIV/0!</v>
      </c>
      <c r="G35" s="226"/>
      <c r="H35" s="262">
        <f t="shared" si="4"/>
        <v>0</v>
      </c>
      <c r="I35" s="120" t="e">
        <f>lH_1*(H_10/$J$9)</f>
        <v>#DIV/0!</v>
      </c>
      <c r="J35" s="120" t="e">
        <f>uH_1*(H_10/$J$9)</f>
        <v>#DIV/0!</v>
      </c>
      <c r="K35" s="226"/>
      <c r="L35" s="318"/>
      <c r="M35" s="318"/>
      <c r="N35" s="318"/>
      <c r="O35" s="318"/>
      <c r="P35" s="318"/>
      <c r="Q35" s="226"/>
    </row>
    <row r="36" spans="1:17" x14ac:dyDescent="0.25">
      <c r="A36" s="263"/>
      <c r="B36" s="263"/>
      <c r="C36" s="263"/>
      <c r="D36" s="262">
        <f t="shared" si="5"/>
        <v>0</v>
      </c>
      <c r="E36" s="144" t="e">
        <f t="shared" si="2"/>
        <v>#DIV/0!</v>
      </c>
      <c r="F36" s="145" t="e">
        <f t="shared" si="3"/>
        <v>#DIV/0!</v>
      </c>
      <c r="G36" s="226"/>
      <c r="H36" s="262">
        <f t="shared" si="4"/>
        <v>0</v>
      </c>
      <c r="I36" s="120" t="e">
        <f>lH_1*(H_11/$J$9)</f>
        <v>#DIV/0!</v>
      </c>
      <c r="J36" s="120" t="e">
        <f>uH_1*(H_11/$J$9)</f>
        <v>#DIV/0!</v>
      </c>
      <c r="K36" s="226"/>
      <c r="L36" s="318"/>
      <c r="M36" s="318"/>
      <c r="N36" s="318"/>
      <c r="O36" s="318"/>
      <c r="P36" s="318"/>
      <c r="Q36" s="226"/>
    </row>
    <row r="37" spans="1:17" x14ac:dyDescent="0.25">
      <c r="A37" s="263"/>
      <c r="B37" s="263"/>
      <c r="C37" s="263"/>
      <c r="D37" s="262">
        <f t="shared" si="5"/>
        <v>0</v>
      </c>
      <c r="E37" s="144" t="e">
        <f t="shared" si="2"/>
        <v>#DIV/0!</v>
      </c>
      <c r="F37" s="145" t="e">
        <f t="shared" si="3"/>
        <v>#DIV/0!</v>
      </c>
      <c r="G37" s="226"/>
      <c r="H37" s="262">
        <f t="shared" si="4"/>
        <v>0</v>
      </c>
      <c r="I37" s="120" t="e">
        <f>lH_1*(H_12/$J$9)</f>
        <v>#DIV/0!</v>
      </c>
      <c r="J37" s="120" t="e">
        <f>uH_1*(H_12/$J$9)</f>
        <v>#DIV/0!</v>
      </c>
      <c r="K37" s="226"/>
      <c r="L37" s="318"/>
      <c r="M37" s="318"/>
      <c r="N37" s="318"/>
      <c r="O37" s="318"/>
      <c r="P37" s="318"/>
      <c r="Q37" s="226"/>
    </row>
    <row r="38" spans="1:17" x14ac:dyDescent="0.25">
      <c r="A38" s="263"/>
      <c r="B38" s="263"/>
      <c r="C38" s="263"/>
      <c r="D38" s="226"/>
      <c r="E38" s="226"/>
      <c r="F38" s="226"/>
      <c r="G38" s="226"/>
      <c r="H38" s="226"/>
      <c r="I38" s="226"/>
      <c r="J38" s="226"/>
      <c r="K38" s="226"/>
      <c r="L38" s="318"/>
      <c r="M38" s="318"/>
      <c r="N38" s="318"/>
      <c r="O38" s="318"/>
      <c r="P38" s="318"/>
      <c r="Q38" s="226"/>
    </row>
    <row r="39" spans="1:17" x14ac:dyDescent="0.25">
      <c r="A39" s="263"/>
      <c r="B39" s="263"/>
      <c r="C39" s="263"/>
      <c r="D39" s="263"/>
      <c r="E39" s="263"/>
      <c r="F39" s="263"/>
      <c r="G39" s="226"/>
      <c r="H39" s="226"/>
      <c r="I39" s="226"/>
      <c r="J39" s="226"/>
      <c r="K39" s="226"/>
      <c r="L39" s="318"/>
      <c r="M39" s="318"/>
      <c r="N39" s="318"/>
      <c r="O39" s="318"/>
      <c r="P39" s="318"/>
      <c r="Q39" s="226"/>
    </row>
    <row r="40" spans="1:17" x14ac:dyDescent="0.25">
      <c r="A40" s="263"/>
      <c r="B40" s="263"/>
      <c r="C40" s="263"/>
      <c r="D40" s="263"/>
      <c r="E40" s="263"/>
      <c r="F40" s="263"/>
      <c r="G40" s="226"/>
      <c r="H40" s="226"/>
      <c r="I40" s="226"/>
      <c r="J40" s="226"/>
      <c r="K40" s="226"/>
      <c r="L40" s="318"/>
      <c r="M40" s="318"/>
      <c r="N40" s="318"/>
      <c r="O40" s="318"/>
      <c r="P40" s="318"/>
      <c r="Q40" s="226"/>
    </row>
    <row r="41" spans="1:17" x14ac:dyDescent="0.25">
      <c r="A41" s="24"/>
      <c r="B41" s="24"/>
      <c r="C41" s="263"/>
      <c r="D41" s="263"/>
      <c r="E41" s="263"/>
      <c r="F41" s="263"/>
      <c r="G41" s="226"/>
      <c r="H41" s="226"/>
      <c r="I41" s="226"/>
      <c r="J41" s="226"/>
      <c r="K41" s="226"/>
      <c r="L41" s="318"/>
      <c r="M41" s="318"/>
      <c r="N41" s="318"/>
      <c r="O41" s="318"/>
      <c r="P41" s="318"/>
      <c r="Q41" s="226"/>
    </row>
    <row r="42" spans="1:17" x14ac:dyDescent="0.25">
      <c r="A42" s="24"/>
      <c r="B42" s="24"/>
      <c r="C42" s="24"/>
      <c r="D42" s="24"/>
      <c r="E42" s="24"/>
      <c r="F42" s="24"/>
    </row>
    <row r="43" spans="1:17" x14ac:dyDescent="0.25">
      <c r="A43" s="24"/>
      <c r="B43" s="24"/>
      <c r="C43" s="24"/>
      <c r="D43" s="24"/>
      <c r="E43" s="24"/>
      <c r="F43" s="24"/>
    </row>
    <row r="44" spans="1:17" x14ac:dyDescent="0.25">
      <c r="A44" s="24"/>
      <c r="B44" s="24"/>
      <c r="C44" s="24"/>
      <c r="D44" s="24"/>
      <c r="E44" s="24"/>
      <c r="F44" s="24"/>
    </row>
    <row r="45" spans="1:17" x14ac:dyDescent="0.25">
      <c r="A45" s="24"/>
      <c r="B45" s="24"/>
      <c r="C45" s="24"/>
      <c r="D45" s="24"/>
      <c r="E45" s="24"/>
      <c r="F45" s="24"/>
    </row>
    <row r="46" spans="1:17" x14ac:dyDescent="0.25">
      <c r="A46" s="24"/>
      <c r="B46" s="24"/>
      <c r="C46" s="24"/>
      <c r="D46" s="24"/>
      <c r="F46" s="24"/>
    </row>
    <row r="47" spans="1:17" x14ac:dyDescent="0.25">
      <c r="A47" s="24"/>
      <c r="B47" s="24"/>
      <c r="C47" s="24"/>
      <c r="D47" s="24"/>
      <c r="E47" s="24"/>
      <c r="F47" s="24"/>
    </row>
    <row r="48" spans="1:17" x14ac:dyDescent="0.25">
      <c r="A48" s="24"/>
      <c r="B48" s="24"/>
      <c r="C48" s="24"/>
      <c r="D48" s="24"/>
      <c r="E48" s="24"/>
      <c r="F48" s="24"/>
    </row>
    <row r="56" spans="5:5" x14ac:dyDescent="0.25">
      <c r="E56">
        <v>1</v>
      </c>
    </row>
    <row r="57" spans="5:5" x14ac:dyDescent="0.25">
      <c r="E57">
        <v>2</v>
      </c>
    </row>
    <row r="70" spans="2:14" x14ac:dyDescent="0.25">
      <c r="C70" t="s">
        <v>278</v>
      </c>
      <c r="D70" t="s">
        <v>279</v>
      </c>
      <c r="E70" t="s">
        <v>280</v>
      </c>
      <c r="F70" t="s">
        <v>281</v>
      </c>
      <c r="G70" t="s">
        <v>282</v>
      </c>
      <c r="H70" t="s">
        <v>283</v>
      </c>
      <c r="I70" t="s">
        <v>284</v>
      </c>
      <c r="J70" t="s">
        <v>285</v>
      </c>
      <c r="K70" t="s">
        <v>286</v>
      </c>
      <c r="L70" t="s">
        <v>287</v>
      </c>
      <c r="M70" t="s">
        <v>288</v>
      </c>
      <c r="N70" t="s">
        <v>289</v>
      </c>
    </row>
    <row r="71" spans="2:14" x14ac:dyDescent="0.25">
      <c r="B71" t="s">
        <v>278</v>
      </c>
      <c r="C71">
        <v>1</v>
      </c>
      <c r="D71">
        <v>2</v>
      </c>
      <c r="E71">
        <v>3</v>
      </c>
      <c r="F71">
        <v>4</v>
      </c>
      <c r="G71">
        <v>5</v>
      </c>
      <c r="H71">
        <v>6</v>
      </c>
      <c r="I71">
        <v>7</v>
      </c>
      <c r="J71">
        <v>8</v>
      </c>
      <c r="K71">
        <v>9</v>
      </c>
      <c r="L71">
        <v>10</v>
      </c>
      <c r="M71">
        <v>11</v>
      </c>
      <c r="N71">
        <v>12</v>
      </c>
    </row>
    <row r="72" spans="2:14" x14ac:dyDescent="0.25">
      <c r="B72" t="s">
        <v>279</v>
      </c>
      <c r="C72">
        <v>12</v>
      </c>
      <c r="D72">
        <v>1</v>
      </c>
      <c r="E72">
        <v>2</v>
      </c>
      <c r="F72">
        <v>3</v>
      </c>
      <c r="G72">
        <v>4</v>
      </c>
      <c r="H72">
        <v>5</v>
      </c>
      <c r="I72">
        <v>6</v>
      </c>
      <c r="J72">
        <v>7</v>
      </c>
      <c r="K72">
        <v>8</v>
      </c>
      <c r="L72">
        <v>9</v>
      </c>
      <c r="M72">
        <v>10</v>
      </c>
      <c r="N72">
        <v>11</v>
      </c>
    </row>
    <row r="73" spans="2:14" x14ac:dyDescent="0.25">
      <c r="B73" t="s">
        <v>280</v>
      </c>
      <c r="C73">
        <v>11</v>
      </c>
      <c r="D73">
        <v>12</v>
      </c>
      <c r="E73">
        <v>1</v>
      </c>
      <c r="F73">
        <v>2</v>
      </c>
      <c r="G73">
        <v>3</v>
      </c>
      <c r="H73">
        <v>4</v>
      </c>
      <c r="I73">
        <v>5</v>
      </c>
      <c r="J73">
        <v>6</v>
      </c>
      <c r="K73">
        <v>7</v>
      </c>
      <c r="L73">
        <v>8</v>
      </c>
      <c r="M73">
        <v>9</v>
      </c>
      <c r="N73">
        <v>10</v>
      </c>
    </row>
    <row r="74" spans="2:14" x14ac:dyDescent="0.25">
      <c r="B74" t="s">
        <v>281</v>
      </c>
      <c r="C74">
        <v>10</v>
      </c>
      <c r="D74">
        <v>11</v>
      </c>
      <c r="E74">
        <v>12</v>
      </c>
      <c r="F74">
        <v>1</v>
      </c>
      <c r="G74">
        <v>2</v>
      </c>
      <c r="H74">
        <v>3</v>
      </c>
      <c r="I74">
        <v>4</v>
      </c>
      <c r="J74">
        <v>5</v>
      </c>
      <c r="K74">
        <v>6</v>
      </c>
      <c r="L74">
        <v>7</v>
      </c>
      <c r="M74">
        <v>8</v>
      </c>
      <c r="N74">
        <v>9</v>
      </c>
    </row>
    <row r="75" spans="2:14" x14ac:dyDescent="0.25">
      <c r="B75" t="s">
        <v>282</v>
      </c>
      <c r="C75">
        <v>9</v>
      </c>
      <c r="D75">
        <v>10</v>
      </c>
      <c r="E75">
        <v>11</v>
      </c>
      <c r="F75">
        <v>12</v>
      </c>
      <c r="G75">
        <v>1</v>
      </c>
      <c r="H75">
        <v>2</v>
      </c>
      <c r="I75">
        <v>3</v>
      </c>
      <c r="J75">
        <v>4</v>
      </c>
      <c r="K75">
        <v>5</v>
      </c>
      <c r="L75">
        <v>6</v>
      </c>
      <c r="M75">
        <v>7</v>
      </c>
      <c r="N75">
        <v>8</v>
      </c>
    </row>
    <row r="76" spans="2:14" x14ac:dyDescent="0.25">
      <c r="B76" t="s">
        <v>283</v>
      </c>
      <c r="C76">
        <v>8</v>
      </c>
      <c r="D76">
        <v>9</v>
      </c>
      <c r="E76">
        <v>10</v>
      </c>
      <c r="F76">
        <v>11</v>
      </c>
      <c r="G76">
        <v>12</v>
      </c>
      <c r="H76">
        <v>1</v>
      </c>
      <c r="I76">
        <v>2</v>
      </c>
      <c r="J76">
        <v>3</v>
      </c>
      <c r="K76">
        <v>4</v>
      </c>
      <c r="L76">
        <v>5</v>
      </c>
      <c r="M76">
        <v>6</v>
      </c>
      <c r="N76">
        <v>7</v>
      </c>
    </row>
    <row r="77" spans="2:14" x14ac:dyDescent="0.25">
      <c r="B77" t="s">
        <v>284</v>
      </c>
      <c r="C77">
        <v>7</v>
      </c>
      <c r="D77">
        <v>8</v>
      </c>
      <c r="E77">
        <v>9</v>
      </c>
      <c r="F77">
        <v>10</v>
      </c>
      <c r="G77">
        <v>11</v>
      </c>
      <c r="H77">
        <v>12</v>
      </c>
      <c r="I77">
        <v>1</v>
      </c>
      <c r="J77">
        <v>2</v>
      </c>
      <c r="K77">
        <v>3</v>
      </c>
      <c r="L77">
        <v>4</v>
      </c>
      <c r="M77">
        <v>5</v>
      </c>
      <c r="N77">
        <v>6</v>
      </c>
    </row>
    <row r="78" spans="2:14" x14ac:dyDescent="0.25">
      <c r="B78" t="s">
        <v>285</v>
      </c>
      <c r="C78">
        <v>6</v>
      </c>
      <c r="D78">
        <v>7</v>
      </c>
      <c r="E78">
        <v>8</v>
      </c>
      <c r="F78">
        <v>9</v>
      </c>
      <c r="G78">
        <v>10</v>
      </c>
      <c r="H78">
        <v>11</v>
      </c>
      <c r="I78">
        <v>12</v>
      </c>
      <c r="J78">
        <v>1</v>
      </c>
      <c r="K78">
        <v>2</v>
      </c>
      <c r="L78">
        <v>3</v>
      </c>
      <c r="M78">
        <v>4</v>
      </c>
      <c r="N78">
        <v>5</v>
      </c>
    </row>
    <row r="79" spans="2:14" x14ac:dyDescent="0.25">
      <c r="B79" t="s">
        <v>286</v>
      </c>
      <c r="C79">
        <v>5</v>
      </c>
      <c r="D79">
        <v>6</v>
      </c>
      <c r="E79">
        <v>7</v>
      </c>
      <c r="F79">
        <v>8</v>
      </c>
      <c r="G79">
        <v>9</v>
      </c>
      <c r="H79">
        <v>10</v>
      </c>
      <c r="I79">
        <v>11</v>
      </c>
      <c r="J79">
        <v>12</v>
      </c>
      <c r="K79">
        <v>1</v>
      </c>
      <c r="L79">
        <v>2</v>
      </c>
      <c r="M79">
        <v>3</v>
      </c>
      <c r="N79">
        <v>4</v>
      </c>
    </row>
    <row r="80" spans="2:14" x14ac:dyDescent="0.25">
      <c r="B80" t="s">
        <v>287</v>
      </c>
      <c r="C80">
        <v>4</v>
      </c>
      <c r="D80">
        <v>5</v>
      </c>
      <c r="E80">
        <v>6</v>
      </c>
      <c r="F80">
        <v>7</v>
      </c>
      <c r="G80">
        <v>8</v>
      </c>
      <c r="H80">
        <v>9</v>
      </c>
      <c r="I80">
        <v>10</v>
      </c>
      <c r="J80">
        <v>11</v>
      </c>
      <c r="K80">
        <v>12</v>
      </c>
      <c r="L80">
        <v>1</v>
      </c>
      <c r="M80">
        <v>2</v>
      </c>
      <c r="N80">
        <v>3</v>
      </c>
    </row>
    <row r="81" spans="2:14" x14ac:dyDescent="0.25">
      <c r="B81" t="s">
        <v>288</v>
      </c>
      <c r="C81">
        <v>3</v>
      </c>
      <c r="D81">
        <v>4</v>
      </c>
      <c r="E81">
        <v>5</v>
      </c>
      <c r="F81">
        <v>6</v>
      </c>
      <c r="G81">
        <v>7</v>
      </c>
      <c r="H81">
        <v>8</v>
      </c>
      <c r="I81">
        <v>9</v>
      </c>
      <c r="J81">
        <v>10</v>
      </c>
      <c r="K81">
        <v>11</v>
      </c>
      <c r="L81">
        <v>12</v>
      </c>
      <c r="M81">
        <v>1</v>
      </c>
      <c r="N81">
        <v>2</v>
      </c>
    </row>
    <row r="82" spans="2:14" x14ac:dyDescent="0.25">
      <c r="B82" t="s">
        <v>289</v>
      </c>
      <c r="C82">
        <v>2</v>
      </c>
      <c r="D82">
        <v>3</v>
      </c>
      <c r="E82">
        <v>4</v>
      </c>
      <c r="F82">
        <v>5</v>
      </c>
      <c r="G82">
        <v>6</v>
      </c>
      <c r="H82">
        <v>7</v>
      </c>
      <c r="I82">
        <v>8</v>
      </c>
      <c r="J82">
        <v>9</v>
      </c>
      <c r="K82">
        <v>10</v>
      </c>
      <c r="L82">
        <v>11</v>
      </c>
      <c r="M82">
        <v>12</v>
      </c>
      <c r="N82">
        <v>1</v>
      </c>
    </row>
  </sheetData>
  <mergeCells count="2">
    <mergeCell ref="L2:P5"/>
    <mergeCell ref="L7:P41"/>
  </mergeCells>
  <phoneticPr fontId="8" type="noConversion"/>
  <dataValidations count="3">
    <dataValidation type="whole" allowBlank="1" showInputMessage="1" showErrorMessage="1" sqref="I56 C70" xr:uid="{90727866-3366-4F95-B962-B33A53E3614F}">
      <formula1>1</formula1>
      <formula2>12</formula2>
    </dataValidation>
    <dataValidation type="list" allowBlank="1" showInputMessage="1" showErrorMessage="1" sqref="B3" xr:uid="{41A5C6D5-EC77-4E05-A796-62D1362EDCE4}">
      <formula1>$E$56:$E$57</formula1>
    </dataValidation>
    <dataValidation type="list" allowBlank="1" showInputMessage="1" showErrorMessage="1" sqref="B23:B24" xr:uid="{B28BF481-29FC-428C-9E21-18CF45FC0787}">
      <formula1>$B$71:$B$82</formula1>
    </dataValidation>
  </dataValidations>
  <pageMargins left="0.7" right="0.7" top="0.75" bottom="0.75" header="0.3" footer="0.3"/>
  <pageSetup orientation="portrait" r:id="rId1"/>
  <ignoredErrors>
    <ignoredError sqref="D1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0D324-578C-454A-905F-8DD3F1F7B270}">
  <sheetPr>
    <tabColor rgb="FF92D050"/>
  </sheetPr>
  <dimension ref="A1:W50"/>
  <sheetViews>
    <sheetView topLeftCell="A11" zoomScale="75" zoomScaleNormal="75" workbookViewId="0">
      <selection activeCell="F11" sqref="F11:N12"/>
    </sheetView>
  </sheetViews>
  <sheetFormatPr defaultColWidth="10.85546875" defaultRowHeight="15" x14ac:dyDescent="0.25"/>
  <cols>
    <col min="1" max="1" width="27.42578125" customWidth="1"/>
    <col min="2" max="2" width="15.140625" customWidth="1"/>
    <col min="3" max="3" width="15.42578125" customWidth="1"/>
    <col min="4" max="4" width="23.42578125" customWidth="1"/>
    <col min="5" max="5" width="13.140625" customWidth="1"/>
    <col min="6" max="9" width="12.85546875" customWidth="1"/>
    <col min="10" max="10" width="14.140625" bestFit="1" customWidth="1"/>
    <col min="11" max="12" width="13.7109375" customWidth="1"/>
    <col min="13" max="13" width="16.140625" bestFit="1" customWidth="1"/>
    <col min="14" max="14" width="13.140625" bestFit="1" customWidth="1"/>
  </cols>
  <sheetData>
    <row r="1" spans="1:23" ht="22.7" customHeight="1" x14ac:dyDescent="0.35">
      <c r="A1" s="240" t="s">
        <v>355</v>
      </c>
      <c r="B1" s="234"/>
      <c r="C1" s="234"/>
      <c r="D1" s="234"/>
      <c r="E1" s="234"/>
      <c r="F1" s="234"/>
      <c r="G1" s="234"/>
      <c r="H1" s="234"/>
      <c r="I1" s="234"/>
      <c r="J1" s="234"/>
      <c r="K1" s="234"/>
      <c r="L1" s="234"/>
      <c r="M1" s="234"/>
      <c r="N1" s="234"/>
      <c r="O1" s="234"/>
      <c r="P1" s="234"/>
      <c r="Q1" s="234"/>
      <c r="R1" s="234"/>
      <c r="S1" s="234"/>
      <c r="T1" s="234"/>
      <c r="U1" s="234"/>
    </row>
    <row r="2" spans="1:23" ht="28.7" customHeight="1" x14ac:dyDescent="0.25">
      <c r="A2" s="11"/>
      <c r="B2" s="197" t="s">
        <v>62</v>
      </c>
      <c r="C2" s="197" t="s">
        <v>46</v>
      </c>
      <c r="D2" s="236"/>
      <c r="E2" s="236"/>
      <c r="F2" s="236"/>
      <c r="G2" s="236"/>
      <c r="H2" s="318" t="s">
        <v>356</v>
      </c>
      <c r="I2" s="318"/>
      <c r="J2" s="318"/>
      <c r="K2" s="318"/>
      <c r="L2" s="318"/>
      <c r="M2" s="318"/>
      <c r="N2" s="318"/>
      <c r="O2" s="318"/>
      <c r="P2" s="318"/>
      <c r="Q2" s="318"/>
      <c r="R2" s="318"/>
      <c r="S2" s="226"/>
    </row>
    <row r="3" spans="1:23" x14ac:dyDescent="0.25">
      <c r="A3" s="158" t="s">
        <v>325</v>
      </c>
      <c r="B3" s="68">
        <f>'3. Model'!D18</f>
        <v>0</v>
      </c>
      <c r="C3" s="68" t="e">
        <f>'3. Model'!S18</f>
        <v>#DIV/0!</v>
      </c>
      <c r="D3" s="236"/>
      <c r="E3" s="236"/>
      <c r="F3" s="236"/>
      <c r="G3" s="236"/>
      <c r="H3" s="318"/>
      <c r="I3" s="318"/>
      <c r="J3" s="318"/>
      <c r="K3" s="318"/>
      <c r="L3" s="318"/>
      <c r="M3" s="318"/>
      <c r="N3" s="318"/>
      <c r="O3" s="318"/>
      <c r="P3" s="318"/>
      <c r="Q3" s="318"/>
      <c r="R3" s="318"/>
      <c r="S3" s="226"/>
    </row>
    <row r="4" spans="1:23" x14ac:dyDescent="0.25">
      <c r="A4" s="158" t="s">
        <v>44</v>
      </c>
      <c r="B4" s="69">
        <f>'3. Model'!B18</f>
        <v>0</v>
      </c>
      <c r="C4" s="68" t="e">
        <f>'3. Model'!Q18</f>
        <v>#DIV/0!</v>
      </c>
      <c r="D4" s="236"/>
      <c r="E4" s="236"/>
      <c r="F4" s="236"/>
      <c r="G4" s="236"/>
      <c r="H4" s="318"/>
      <c r="I4" s="318"/>
      <c r="J4" s="318"/>
      <c r="K4" s="318"/>
      <c r="L4" s="318"/>
      <c r="M4" s="318"/>
      <c r="N4" s="318"/>
      <c r="O4" s="318"/>
      <c r="P4" s="318"/>
      <c r="Q4" s="318"/>
      <c r="R4" s="318"/>
      <c r="S4" s="226"/>
    </row>
    <row r="5" spans="1:23" ht="30" x14ac:dyDescent="0.25">
      <c r="A5" s="158" t="s">
        <v>326</v>
      </c>
      <c r="B5" s="60">
        <f>'3. Model'!F18</f>
        <v>0</v>
      </c>
      <c r="C5" s="60" t="e">
        <f>'3. Model'!V18</f>
        <v>#DIV/0!</v>
      </c>
      <c r="D5" s="236"/>
      <c r="E5" s="236"/>
      <c r="F5" s="236"/>
      <c r="G5" s="236"/>
      <c r="H5" s="318"/>
      <c r="I5" s="318"/>
      <c r="J5" s="318"/>
      <c r="K5" s="318"/>
      <c r="L5" s="318"/>
      <c r="M5" s="318"/>
      <c r="N5" s="318"/>
      <c r="O5" s="318"/>
      <c r="P5" s="318"/>
      <c r="Q5" s="318"/>
      <c r="R5" s="318"/>
      <c r="S5" s="226"/>
    </row>
    <row r="6" spans="1:23" x14ac:dyDescent="0.25">
      <c r="A6" s="158" t="s">
        <v>45</v>
      </c>
      <c r="B6" s="68">
        <f>B3+B4</f>
        <v>0</v>
      </c>
      <c r="C6" s="68" t="e">
        <f>C3+C4</f>
        <v>#DIV/0!</v>
      </c>
      <c r="D6" s="236"/>
      <c r="E6" s="236"/>
      <c r="F6" s="236"/>
      <c r="G6" s="236"/>
      <c r="H6" s="318"/>
      <c r="I6" s="318"/>
      <c r="J6" s="318"/>
      <c r="K6" s="318"/>
      <c r="L6" s="318"/>
      <c r="M6" s="318"/>
      <c r="N6" s="318"/>
      <c r="O6" s="318"/>
      <c r="P6" s="318"/>
      <c r="Q6" s="318"/>
      <c r="R6" s="318"/>
      <c r="S6" s="226"/>
    </row>
    <row r="7" spans="1:23" x14ac:dyDescent="0.25">
      <c r="A7" s="236"/>
      <c r="B7" s="236"/>
      <c r="C7" s="236"/>
      <c r="D7" s="236"/>
      <c r="E7" s="236"/>
      <c r="F7" s="236"/>
      <c r="G7" s="236"/>
      <c r="H7" s="236"/>
      <c r="I7" s="236"/>
      <c r="J7" s="236"/>
      <c r="K7" s="236"/>
      <c r="L7" s="236"/>
      <c r="M7" s="236"/>
      <c r="N7" s="236"/>
      <c r="O7" s="226"/>
      <c r="P7" s="226"/>
      <c r="Q7" s="226"/>
      <c r="R7" s="226"/>
      <c r="S7" s="226"/>
    </row>
    <row r="8" spans="1:23" ht="18.75" x14ac:dyDescent="0.3">
      <c r="A8" s="231" t="s">
        <v>327</v>
      </c>
      <c r="B8" s="245"/>
      <c r="C8" s="245"/>
      <c r="D8" s="236"/>
      <c r="E8" s="236"/>
      <c r="F8" s="236"/>
      <c r="G8" s="330" t="s">
        <v>50</v>
      </c>
      <c r="H8" s="330"/>
      <c r="I8" s="331" t="s">
        <v>44</v>
      </c>
      <c r="J8" s="331"/>
      <c r="K8" s="332" t="s">
        <v>326</v>
      </c>
      <c r="L8" s="332"/>
      <c r="M8" s="331" t="s">
        <v>45</v>
      </c>
      <c r="N8" s="331"/>
      <c r="O8" s="236"/>
      <c r="P8" s="226"/>
      <c r="Q8" s="226"/>
      <c r="R8" s="226"/>
      <c r="S8" s="226"/>
    </row>
    <row r="9" spans="1:23" ht="30" x14ac:dyDescent="0.25">
      <c r="A9" s="156" t="s">
        <v>40</v>
      </c>
      <c r="B9" s="156" t="s">
        <v>41</v>
      </c>
      <c r="C9" s="156" t="s">
        <v>53</v>
      </c>
      <c r="D9" s="156" t="s">
        <v>48</v>
      </c>
      <c r="E9" s="156" t="s">
        <v>328</v>
      </c>
      <c r="F9" s="157" t="s">
        <v>49</v>
      </c>
      <c r="G9" s="158" t="s">
        <v>51</v>
      </c>
      <c r="H9" s="158" t="s">
        <v>52</v>
      </c>
      <c r="I9" s="159" t="s">
        <v>51</v>
      </c>
      <c r="J9" s="159" t="s">
        <v>52</v>
      </c>
      <c r="K9" s="160" t="s">
        <v>51</v>
      </c>
      <c r="L9" s="160" t="s">
        <v>52</v>
      </c>
      <c r="M9" s="159" t="s">
        <v>51</v>
      </c>
      <c r="N9" s="159" t="s">
        <v>52</v>
      </c>
      <c r="O9" s="236"/>
      <c r="P9" s="226"/>
      <c r="Q9" s="226"/>
      <c r="R9" s="226"/>
      <c r="S9" s="226"/>
    </row>
    <row r="10" spans="1:23" x14ac:dyDescent="0.25">
      <c r="A10" s="73">
        <f>Input!E3</f>
        <v>0</v>
      </c>
      <c r="B10" s="73">
        <f>Input!H3</f>
        <v>0</v>
      </c>
      <c r="C10" s="151">
        <f>TP</f>
        <v>0</v>
      </c>
      <c r="D10" s="74">
        <f>Input!B28</f>
        <v>0</v>
      </c>
      <c r="E10" s="247">
        <f>VE</f>
        <v>0</v>
      </c>
      <c r="F10" s="117" t="str">
        <f>'3. Model'!AE18</f>
        <v>Fail</v>
      </c>
      <c r="G10" s="191">
        <f>'3. Model'!AB18</f>
        <v>0</v>
      </c>
      <c r="H10" s="191" t="e">
        <f>'3. Model'!AH18</f>
        <v>#VALUE!</v>
      </c>
      <c r="I10" s="191">
        <f>'3. Model'!AA18</f>
        <v>0</v>
      </c>
      <c r="J10" s="191" t="e">
        <f>'3. Model'!AG18</f>
        <v>#VALUE!</v>
      </c>
      <c r="K10" s="191">
        <f>'3. Model'!AC18</f>
        <v>0</v>
      </c>
      <c r="L10" s="191" t="e">
        <f>'3. Model'!AI18</f>
        <v>#VALUE!</v>
      </c>
      <c r="M10" s="191">
        <f>'3. Model'!AD18</f>
        <v>0</v>
      </c>
      <c r="N10" s="191" t="e">
        <f>'3. Model'!AJ18</f>
        <v>#VALUE!</v>
      </c>
      <c r="O10" s="226"/>
      <c r="P10" s="226"/>
      <c r="Q10" s="226"/>
      <c r="R10" s="226"/>
      <c r="S10" s="226"/>
    </row>
    <row r="11" spans="1:23" x14ac:dyDescent="0.25">
      <c r="A11" s="226"/>
      <c r="B11" s="226"/>
      <c r="C11" s="226"/>
      <c r="D11" s="226"/>
      <c r="E11" s="249" t="s">
        <v>315</v>
      </c>
      <c r="F11" s="246"/>
      <c r="G11" s="190"/>
      <c r="H11" s="190"/>
      <c r="I11" s="190"/>
      <c r="J11" s="190"/>
      <c r="K11" s="190"/>
      <c r="L11" s="190"/>
      <c r="M11" s="190"/>
      <c r="N11" s="190"/>
      <c r="O11" s="226"/>
      <c r="P11" s="226"/>
      <c r="Q11" s="226"/>
      <c r="R11" s="226"/>
      <c r="S11" s="226"/>
    </row>
    <row r="12" spans="1:23" x14ac:dyDescent="0.25">
      <c r="A12" s="226"/>
      <c r="B12" s="226"/>
      <c r="C12" s="226"/>
      <c r="D12" s="226"/>
      <c r="E12" s="249" t="s">
        <v>316</v>
      </c>
      <c r="F12" s="246"/>
      <c r="G12" s="190"/>
      <c r="H12" s="190"/>
      <c r="I12" s="190"/>
      <c r="J12" s="190"/>
      <c r="K12" s="190"/>
      <c r="L12" s="190"/>
      <c r="M12" s="190"/>
      <c r="N12" s="190"/>
      <c r="O12" s="226"/>
      <c r="P12" s="226"/>
      <c r="Q12" s="226"/>
      <c r="R12" s="226"/>
      <c r="S12" s="226"/>
    </row>
    <row r="13" spans="1:23" x14ac:dyDescent="0.25">
      <c r="A13" s="226"/>
      <c r="B13" s="226"/>
      <c r="C13" s="226"/>
      <c r="D13" s="226"/>
      <c r="E13" s="226"/>
      <c r="G13" s="114"/>
      <c r="H13" s="114"/>
      <c r="I13" s="114"/>
      <c r="J13" s="114"/>
      <c r="K13" s="114"/>
      <c r="L13" s="114"/>
      <c r="M13" s="114"/>
      <c r="N13" s="114"/>
      <c r="P13" s="226"/>
      <c r="Q13" s="226"/>
      <c r="R13" s="226"/>
      <c r="S13" s="226"/>
    </row>
    <row r="14" spans="1:23" x14ac:dyDescent="0.25">
      <c r="A14" s="226"/>
      <c r="B14" s="226"/>
      <c r="C14" s="226"/>
      <c r="D14" s="226"/>
      <c r="E14" s="226"/>
      <c r="F14" s="250"/>
      <c r="G14" s="286"/>
      <c r="H14" s="286"/>
      <c r="I14" s="286"/>
      <c r="J14" s="286"/>
      <c r="K14" s="286"/>
      <c r="L14" s="286"/>
      <c r="M14" s="286"/>
      <c r="N14" s="286"/>
      <c r="O14" s="226"/>
      <c r="P14" s="226"/>
      <c r="Q14" s="226"/>
      <c r="R14" s="226"/>
      <c r="S14" s="226"/>
      <c r="W14" t="s">
        <v>358</v>
      </c>
    </row>
    <row r="15" spans="1:23" x14ac:dyDescent="0.25">
      <c r="A15" s="226"/>
      <c r="B15" s="226"/>
      <c r="C15" s="226"/>
      <c r="D15" s="226"/>
      <c r="E15" s="226"/>
      <c r="F15" s="250"/>
      <c r="G15" s="286"/>
      <c r="H15" s="286"/>
      <c r="I15" s="286"/>
      <c r="J15" s="286"/>
      <c r="K15" s="286"/>
      <c r="L15" s="286"/>
      <c r="M15" s="286"/>
      <c r="N15" s="286"/>
      <c r="O15" s="226"/>
      <c r="P15" s="226"/>
      <c r="Q15" s="226"/>
      <c r="R15" s="226"/>
      <c r="S15" s="226"/>
      <c r="W15" t="s">
        <v>359</v>
      </c>
    </row>
    <row r="16" spans="1:23" x14ac:dyDescent="0.25">
      <c r="A16" s="226"/>
      <c r="B16" s="226"/>
      <c r="C16" s="226"/>
      <c r="D16" s="226"/>
      <c r="E16" s="226"/>
      <c r="F16" s="226"/>
      <c r="P16" s="226"/>
      <c r="Q16" s="226"/>
      <c r="R16" s="226"/>
      <c r="S16" s="226"/>
    </row>
    <row r="17" spans="1:19" ht="15.2" customHeight="1" x14ac:dyDescent="0.25">
      <c r="A17" s="226"/>
      <c r="B17" s="226"/>
      <c r="C17" s="226"/>
      <c r="D17" s="226"/>
      <c r="E17" s="226"/>
      <c r="F17" s="334" t="s">
        <v>294</v>
      </c>
      <c r="G17" s="334"/>
      <c r="H17" s="226"/>
      <c r="I17" s="328" t="s">
        <v>357</v>
      </c>
      <c r="J17" s="328"/>
      <c r="K17" s="328"/>
      <c r="L17" s="328"/>
      <c r="M17" s="328"/>
      <c r="N17" s="328"/>
      <c r="O17" s="328"/>
      <c r="P17" s="226"/>
      <c r="Q17" s="226"/>
      <c r="R17" s="226"/>
      <c r="S17" s="226"/>
    </row>
    <row r="18" spans="1:19" x14ac:dyDescent="0.25">
      <c r="A18" s="226"/>
      <c r="B18" s="226"/>
      <c r="C18" s="226"/>
      <c r="D18" s="226"/>
      <c r="E18" s="226"/>
      <c r="F18" s="142" t="s">
        <v>359</v>
      </c>
      <c r="G18" s="226"/>
      <c r="H18" s="226"/>
      <c r="I18" s="328"/>
      <c r="J18" s="328"/>
      <c r="K18" s="328"/>
      <c r="L18" s="328"/>
      <c r="M18" s="328"/>
      <c r="N18" s="328"/>
      <c r="O18" s="328"/>
      <c r="P18" s="226"/>
      <c r="Q18" s="226"/>
      <c r="R18" s="226"/>
      <c r="S18" s="226"/>
    </row>
    <row r="19" spans="1:19" x14ac:dyDescent="0.25">
      <c r="A19" s="226"/>
      <c r="B19" s="226"/>
      <c r="C19" s="226"/>
      <c r="D19" s="226"/>
      <c r="E19" s="226"/>
      <c r="F19" s="226"/>
      <c r="G19" s="226"/>
      <c r="H19" s="226"/>
      <c r="I19" s="328"/>
      <c r="J19" s="328"/>
      <c r="K19" s="328"/>
      <c r="L19" s="328"/>
      <c r="M19" s="328"/>
      <c r="N19" s="328"/>
      <c r="O19" s="328"/>
      <c r="P19" s="226"/>
      <c r="Q19" s="226"/>
      <c r="R19" s="226"/>
      <c r="S19" s="226"/>
    </row>
    <row r="20" spans="1:19" x14ac:dyDescent="0.25">
      <c r="A20" s="226"/>
      <c r="B20" s="226"/>
      <c r="C20" s="226"/>
      <c r="D20" s="226"/>
      <c r="E20" s="226"/>
      <c r="F20" s="226"/>
      <c r="G20" s="226"/>
      <c r="H20" s="226"/>
      <c r="I20" s="328"/>
      <c r="J20" s="328"/>
      <c r="K20" s="328"/>
      <c r="L20" s="328"/>
      <c r="M20" s="328"/>
      <c r="N20" s="328"/>
      <c r="O20" s="328"/>
      <c r="P20" s="226"/>
      <c r="Q20" s="226"/>
      <c r="R20" s="226"/>
      <c r="S20" s="226"/>
    </row>
    <row r="21" spans="1:19" x14ac:dyDescent="0.25">
      <c r="A21" s="226"/>
      <c r="B21" s="226"/>
      <c r="C21" s="226"/>
      <c r="D21" s="226"/>
      <c r="E21" s="226"/>
      <c r="F21" s="250"/>
      <c r="G21" s="286"/>
      <c r="H21" s="286"/>
      <c r="I21" s="286"/>
      <c r="J21" s="286"/>
      <c r="K21" s="286"/>
      <c r="L21" s="286"/>
      <c r="M21" s="286"/>
      <c r="N21" s="286"/>
      <c r="O21" s="226"/>
      <c r="P21" s="226"/>
      <c r="Q21" s="226"/>
      <c r="R21" s="226"/>
      <c r="S21" s="226"/>
    </row>
    <row r="22" spans="1:19" x14ac:dyDescent="0.25">
      <c r="A22" s="226"/>
      <c r="B22" s="226"/>
      <c r="C22" s="226"/>
      <c r="D22" s="226"/>
      <c r="E22" s="226"/>
      <c r="F22" s="250"/>
      <c r="G22" s="286"/>
      <c r="H22" s="286"/>
      <c r="I22" s="286"/>
      <c r="J22" s="286"/>
      <c r="K22" s="286"/>
      <c r="L22" s="286"/>
      <c r="M22" s="286"/>
      <c r="N22" s="286"/>
      <c r="O22" s="226"/>
      <c r="P22" s="226"/>
      <c r="Q22" s="226"/>
      <c r="R22" s="226"/>
      <c r="S22" s="226"/>
    </row>
    <row r="23" spans="1:19" x14ac:dyDescent="0.25">
      <c r="A23" s="226"/>
      <c r="B23" s="226"/>
      <c r="C23" s="226"/>
      <c r="D23" s="227"/>
      <c r="E23" s="227"/>
      <c r="F23" s="227"/>
      <c r="G23" s="286"/>
      <c r="H23" s="286"/>
      <c r="I23" s="286"/>
      <c r="J23" s="286"/>
      <c r="K23" s="286"/>
      <c r="L23" s="288"/>
      <c r="M23" s="288"/>
      <c r="N23" s="288"/>
      <c r="O23" s="226"/>
      <c r="P23" s="226"/>
      <c r="Q23" s="226"/>
      <c r="R23" s="226"/>
      <c r="S23" s="226"/>
    </row>
    <row r="24" spans="1:19" x14ac:dyDescent="0.25">
      <c r="A24" s="226"/>
      <c r="B24" s="226"/>
      <c r="C24" s="226"/>
      <c r="D24" s="227"/>
      <c r="E24" s="227"/>
      <c r="F24" s="227"/>
      <c r="G24" s="227"/>
      <c r="H24" s="227"/>
      <c r="I24" s="227"/>
      <c r="J24" s="227"/>
      <c r="K24" s="227"/>
      <c r="L24" s="250"/>
      <c r="M24" s="287"/>
      <c r="N24" s="287"/>
      <c r="O24" s="226"/>
      <c r="P24" s="226"/>
      <c r="Q24" s="226"/>
      <c r="R24" s="226"/>
      <c r="S24" s="226"/>
    </row>
    <row r="25" spans="1:19" x14ac:dyDescent="0.25">
      <c r="A25" s="226"/>
      <c r="B25" s="226"/>
      <c r="C25" s="226"/>
      <c r="D25" s="226"/>
      <c r="E25" s="226"/>
      <c r="F25" s="226"/>
      <c r="G25" s="226"/>
      <c r="H25" s="226"/>
      <c r="I25" s="226"/>
      <c r="J25" s="226"/>
      <c r="K25" s="226"/>
      <c r="L25" s="226"/>
      <c r="M25" s="226"/>
      <c r="N25" s="226"/>
      <c r="O25" s="226"/>
      <c r="P25" s="226"/>
      <c r="Q25" s="226"/>
      <c r="R25" s="226"/>
      <c r="S25" s="226"/>
    </row>
    <row r="26" spans="1:19" x14ac:dyDescent="0.25">
      <c r="A26" s="226"/>
      <c r="B26" s="226"/>
      <c r="C26" s="226"/>
      <c r="D26" s="226"/>
      <c r="E26" s="226"/>
      <c r="F26" s="226"/>
      <c r="G26" s="226"/>
      <c r="H26" s="226"/>
      <c r="I26" s="226"/>
      <c r="J26" s="226"/>
      <c r="K26" s="226"/>
      <c r="L26" s="226"/>
      <c r="M26" s="226"/>
      <c r="N26" s="226"/>
      <c r="O26" s="226"/>
      <c r="P26" s="226"/>
      <c r="Q26" s="226"/>
      <c r="R26" s="226"/>
      <c r="S26" s="226"/>
    </row>
    <row r="27" spans="1:19" x14ac:dyDescent="0.25">
      <c r="A27" s="226"/>
      <c r="B27" s="226"/>
      <c r="C27" s="226"/>
      <c r="D27" s="226"/>
      <c r="E27" s="226"/>
      <c r="F27" s="226"/>
      <c r="G27" s="226"/>
      <c r="H27" s="226"/>
      <c r="I27" s="226"/>
      <c r="J27" s="226"/>
      <c r="K27" s="226"/>
      <c r="L27" s="226"/>
      <c r="M27" s="226"/>
      <c r="N27" s="226"/>
      <c r="O27" s="226"/>
      <c r="P27" s="226"/>
      <c r="Q27" s="226"/>
      <c r="R27" s="226"/>
      <c r="S27" s="226"/>
    </row>
    <row r="28" spans="1:19" x14ac:dyDescent="0.25">
      <c r="A28" s="226"/>
      <c r="B28" s="226"/>
      <c r="C28" s="226"/>
      <c r="D28" s="226"/>
      <c r="E28" s="226"/>
      <c r="F28" s="226"/>
      <c r="G28" s="226"/>
      <c r="H28" s="226"/>
      <c r="I28" s="226"/>
      <c r="J28" s="226"/>
      <c r="K28" s="226"/>
      <c r="L28" s="226"/>
      <c r="M28" s="226"/>
      <c r="N28" s="226"/>
      <c r="O28" s="226"/>
      <c r="P28" s="226"/>
      <c r="Q28" s="226"/>
      <c r="R28" s="226"/>
      <c r="S28" s="226"/>
    </row>
    <row r="29" spans="1:19" x14ac:dyDescent="0.25">
      <c r="A29" s="226"/>
      <c r="B29" s="226"/>
      <c r="C29" s="226"/>
      <c r="D29" s="226"/>
      <c r="E29" s="226"/>
      <c r="F29" s="226"/>
      <c r="G29" s="226"/>
      <c r="H29" s="226"/>
      <c r="I29" s="226"/>
      <c r="J29" s="226"/>
      <c r="K29" s="226"/>
      <c r="L29" s="226"/>
      <c r="M29" s="226"/>
      <c r="N29" s="226"/>
      <c r="O29" s="226"/>
      <c r="P29" s="226"/>
      <c r="Q29" s="226"/>
      <c r="R29" s="226"/>
      <c r="S29" s="226"/>
    </row>
    <row r="30" spans="1:19" x14ac:dyDescent="0.25">
      <c r="A30" s="226"/>
      <c r="B30" s="226"/>
      <c r="C30" s="226"/>
      <c r="D30" s="226"/>
      <c r="E30" s="226"/>
      <c r="F30" s="329" t="s">
        <v>49</v>
      </c>
      <c r="G30" s="335" t="s">
        <v>50</v>
      </c>
      <c r="H30" s="330"/>
      <c r="I30" s="331" t="s">
        <v>44</v>
      </c>
      <c r="J30" s="331"/>
      <c r="K30" s="332" t="s">
        <v>326</v>
      </c>
      <c r="L30" s="332"/>
      <c r="M30" s="331" t="s">
        <v>45</v>
      </c>
      <c r="N30" s="331"/>
      <c r="O30" s="226"/>
      <c r="P30" s="226"/>
      <c r="Q30" s="226"/>
      <c r="R30" s="226"/>
      <c r="S30" s="226"/>
    </row>
    <row r="31" spans="1:19" ht="21.75" thickBot="1" x14ac:dyDescent="0.4">
      <c r="A31" s="333" t="s">
        <v>194</v>
      </c>
      <c r="B31" s="333"/>
      <c r="C31" s="333"/>
      <c r="D31" s="226"/>
      <c r="E31" s="226"/>
      <c r="F31" s="329"/>
      <c r="G31" s="251" t="s">
        <v>51</v>
      </c>
      <c r="H31" s="158" t="s">
        <v>52</v>
      </c>
      <c r="I31" s="159" t="s">
        <v>51</v>
      </c>
      <c r="J31" s="159" t="s">
        <v>52</v>
      </c>
      <c r="K31" s="160" t="s">
        <v>51</v>
      </c>
      <c r="L31" s="160" t="s">
        <v>52</v>
      </c>
      <c r="M31" s="159" t="s">
        <v>51</v>
      </c>
      <c r="N31" s="159" t="s">
        <v>52</v>
      </c>
      <c r="O31" s="226"/>
      <c r="P31" s="226"/>
      <c r="Q31" s="226"/>
      <c r="R31" s="226"/>
      <c r="S31" s="226"/>
    </row>
    <row r="32" spans="1:19" x14ac:dyDescent="0.25">
      <c r="A32" s="226"/>
      <c r="B32" s="226"/>
      <c r="C32" s="226"/>
      <c r="D32" s="167" t="s">
        <v>113</v>
      </c>
      <c r="E32" s="168">
        <f>lVE</f>
        <v>0</v>
      </c>
      <c r="F32" s="252" t="e">
        <f>uncertainty!F15</f>
        <v>#DIV/0!</v>
      </c>
      <c r="G32" s="170" t="e">
        <f>uncertainty!G15</f>
        <v>#DIV/0!</v>
      </c>
      <c r="H32" s="170" t="e">
        <f>uncertainty!H15</f>
        <v>#DIV/0!</v>
      </c>
      <c r="I32" s="170" t="e">
        <f>uncertainty!I15</f>
        <v>#DIV/0!</v>
      </c>
      <c r="J32" s="170" t="e">
        <f>uncertainty!J15</f>
        <v>#DIV/0!</v>
      </c>
      <c r="K32" s="170" t="e">
        <f>uncertainty!K15</f>
        <v>#DIV/0!</v>
      </c>
      <c r="L32" s="170" t="e">
        <f>uncertainty!L15</f>
        <v>#DIV/0!</v>
      </c>
      <c r="M32" s="170" t="e">
        <f>uncertainty!M15</f>
        <v>#DIV/0!</v>
      </c>
      <c r="N32" s="171" t="e">
        <f>uncertainty!N15</f>
        <v>#DIV/0!</v>
      </c>
      <c r="O32" s="226"/>
      <c r="P32" s="226"/>
      <c r="Q32" s="226"/>
      <c r="R32" s="226"/>
      <c r="S32" s="226"/>
    </row>
    <row r="33" spans="1:19" ht="15.75" thickBot="1" x14ac:dyDescent="0.3">
      <c r="A33" s="226"/>
      <c r="B33" s="226"/>
      <c r="C33" s="226"/>
      <c r="D33" s="172" t="s">
        <v>114</v>
      </c>
      <c r="E33" s="173">
        <f>uVE</f>
        <v>0</v>
      </c>
      <c r="F33" s="174" t="e">
        <f>uncertainty!F24</f>
        <v>#DIV/0!</v>
      </c>
      <c r="G33" s="175" t="e">
        <f>uncertainty!G24</f>
        <v>#DIV/0!</v>
      </c>
      <c r="H33" s="175" t="e">
        <f>uncertainty!H24</f>
        <v>#DIV/0!</v>
      </c>
      <c r="I33" s="175" t="e">
        <f>uncertainty!I24</f>
        <v>#DIV/0!</v>
      </c>
      <c r="J33" s="175" t="e">
        <f>uncertainty!J24</f>
        <v>#DIV/0!</v>
      </c>
      <c r="K33" s="175" t="e">
        <f>uncertainty!K24</f>
        <v>#DIV/0!</v>
      </c>
      <c r="L33" s="175" t="e">
        <f>uncertainty!L24</f>
        <v>#DIV/0!</v>
      </c>
      <c r="M33" s="175" t="e">
        <f>uncertainty!M24</f>
        <v>#DIV/0!</v>
      </c>
      <c r="N33" s="176" t="e">
        <f>uncertainty!N24</f>
        <v>#DIV/0!</v>
      </c>
      <c r="O33" s="226"/>
      <c r="P33" s="226"/>
      <c r="Q33" s="226"/>
      <c r="R33" s="226"/>
      <c r="S33" s="226"/>
    </row>
    <row r="34" spans="1:19" x14ac:dyDescent="0.25">
      <c r="A34" s="226"/>
      <c r="B34" s="226"/>
      <c r="C34" s="226"/>
      <c r="D34" s="163" t="s">
        <v>118</v>
      </c>
      <c r="E34" s="127">
        <f>uncertainty!E34</f>
        <v>0</v>
      </c>
      <c r="F34" s="161" t="e">
        <f>uncertainty!F34</f>
        <v>#DIV/0!</v>
      </c>
      <c r="G34" s="123">
        <f>uncertainty!G34</f>
        <v>0</v>
      </c>
      <c r="H34" s="123" t="e">
        <f>uncertainty!H34</f>
        <v>#DIV/0!</v>
      </c>
      <c r="I34" s="123" t="e">
        <f>uncertainty!I34</f>
        <v>#DIV/0!</v>
      </c>
      <c r="J34" s="123" t="e">
        <f>uncertainty!J34</f>
        <v>#DIV/0!</v>
      </c>
      <c r="K34" s="123" t="e">
        <f>uncertainty!K34</f>
        <v>#DIV/0!</v>
      </c>
      <c r="L34" s="123" t="e">
        <f>uncertainty!L34</f>
        <v>#DIV/0!</v>
      </c>
      <c r="M34" s="123" t="e">
        <f>uncertainty!M34</f>
        <v>#DIV/0!</v>
      </c>
      <c r="N34" s="124" t="e">
        <f>uncertainty!N34</f>
        <v>#DIV/0!</v>
      </c>
      <c r="O34" s="226"/>
      <c r="P34" s="226"/>
      <c r="Q34" s="226"/>
      <c r="R34" s="226"/>
      <c r="S34" s="226"/>
    </row>
    <row r="35" spans="1:19" ht="15.75" thickBot="1" x14ac:dyDescent="0.3">
      <c r="A35" s="226"/>
      <c r="B35" s="226"/>
      <c r="C35" s="226"/>
      <c r="D35" s="164" t="s">
        <v>119</v>
      </c>
      <c r="E35" s="128">
        <f>uncertainty!E43</f>
        <v>0</v>
      </c>
      <c r="F35" s="162" t="e">
        <f>uncertainty!F43</f>
        <v>#DIV/0!</v>
      </c>
      <c r="G35" s="125">
        <f>uncertainty!G43</f>
        <v>0</v>
      </c>
      <c r="H35" s="125" t="e">
        <f>uncertainty!H43</f>
        <v>#DIV/0!</v>
      </c>
      <c r="I35" s="125" t="e">
        <f>uncertainty!I43</f>
        <v>#DIV/0!</v>
      </c>
      <c r="J35" s="125" t="e">
        <f>uncertainty!J43</f>
        <v>#DIV/0!</v>
      </c>
      <c r="K35" s="125" t="e">
        <f>uncertainty!K43</f>
        <v>#DIV/0!</v>
      </c>
      <c r="L35" s="125" t="e">
        <f>uncertainty!L43</f>
        <v>#DIV/0!</v>
      </c>
      <c r="M35" s="125" t="e">
        <f>uncertainty!M43</f>
        <v>#DIV/0!</v>
      </c>
      <c r="N35" s="126" t="e">
        <f>uncertainty!N43</f>
        <v>#DIV/0!</v>
      </c>
      <c r="O35" s="226"/>
      <c r="P35" s="226"/>
      <c r="Q35" s="226"/>
      <c r="R35" s="226"/>
      <c r="S35" s="226"/>
    </row>
    <row r="36" spans="1:19" x14ac:dyDescent="0.25">
      <c r="A36" s="226"/>
      <c r="B36" s="226"/>
      <c r="C36" s="226"/>
      <c r="D36" s="167" t="s">
        <v>126</v>
      </c>
      <c r="E36" s="177">
        <f>uncertainty!E52</f>
        <v>0</v>
      </c>
      <c r="F36" s="169" t="e">
        <f>uncertainty!F52</f>
        <v>#DIV/0!</v>
      </c>
      <c r="G36" s="170">
        <f>uncertainty!G52</f>
        <v>0</v>
      </c>
      <c r="H36" s="170" t="e">
        <f>uncertainty!H52</f>
        <v>#DIV/0!</v>
      </c>
      <c r="I36" s="170" t="e">
        <f>uncertainty!I52</f>
        <v>#DIV/0!</v>
      </c>
      <c r="J36" s="170" t="e">
        <f>uncertainty!J52</f>
        <v>#DIV/0!</v>
      </c>
      <c r="K36" s="170" t="e">
        <f>uncertainty!K52</f>
        <v>#DIV/0!</v>
      </c>
      <c r="L36" s="170" t="e">
        <f>uncertainty!L52</f>
        <v>#DIV/0!</v>
      </c>
      <c r="M36" s="170" t="e">
        <f>uncertainty!M52</f>
        <v>#DIV/0!</v>
      </c>
      <c r="N36" s="171" t="e">
        <f>uncertainty!N52</f>
        <v>#DIV/0!</v>
      </c>
      <c r="O36" s="226"/>
      <c r="P36" s="226"/>
      <c r="Q36" s="226"/>
      <c r="R36" s="226"/>
      <c r="S36" s="226"/>
    </row>
    <row r="37" spans="1:19" ht="15.75" thickBot="1" x14ac:dyDescent="0.3">
      <c r="A37" s="226"/>
      <c r="B37" s="226"/>
      <c r="C37" s="226"/>
      <c r="D37" s="172" t="s">
        <v>129</v>
      </c>
      <c r="E37" s="178">
        <f>uncertainty!E61</f>
        <v>0</v>
      </c>
      <c r="F37" s="174" t="e">
        <f>uncertainty!F61</f>
        <v>#DIV/0!</v>
      </c>
      <c r="G37" s="175">
        <f>uncertainty!G61</f>
        <v>0</v>
      </c>
      <c r="H37" s="175" t="e">
        <f>uncertainty!H61</f>
        <v>#DIV/0!</v>
      </c>
      <c r="I37" s="175" t="e">
        <f>uncertainty!I61</f>
        <v>#DIV/0!</v>
      </c>
      <c r="J37" s="175" t="e">
        <f>uncertainty!J61</f>
        <v>#DIV/0!</v>
      </c>
      <c r="K37" s="175" t="e">
        <f>uncertainty!K61</f>
        <v>#DIV/0!</v>
      </c>
      <c r="L37" s="175" t="e">
        <f>uncertainty!L61</f>
        <v>#DIV/0!</v>
      </c>
      <c r="M37" s="175" t="e">
        <f>uncertainty!M61</f>
        <v>#DIV/0!</v>
      </c>
      <c r="N37" s="176" t="e">
        <f>uncertainty!N61</f>
        <v>#DIV/0!</v>
      </c>
      <c r="O37" s="226"/>
      <c r="P37" s="226"/>
      <c r="Q37" s="226"/>
      <c r="R37" s="226"/>
      <c r="S37" s="226"/>
    </row>
    <row r="38" spans="1:19" x14ac:dyDescent="0.25">
      <c r="A38" s="226"/>
      <c r="B38" s="226"/>
      <c r="C38" s="226"/>
      <c r="D38" s="163" t="s">
        <v>163</v>
      </c>
      <c r="E38" s="127">
        <f>uncertainty!E71</f>
        <v>0</v>
      </c>
      <c r="F38" s="161" t="e">
        <f>uncertainty!F71</f>
        <v>#DIV/0!</v>
      </c>
      <c r="G38" s="123">
        <f>uncertainty!G71</f>
        <v>0</v>
      </c>
      <c r="H38" s="123" t="e">
        <f>uncertainty!H71</f>
        <v>#DIV/0!</v>
      </c>
      <c r="I38" s="123" t="e">
        <f>uncertainty!I71</f>
        <v>#DIV/0!</v>
      </c>
      <c r="J38" s="123" t="e">
        <f>uncertainty!J71</f>
        <v>#DIV/0!</v>
      </c>
      <c r="K38" s="123" t="e">
        <f>uncertainty!K71</f>
        <v>#DIV/0!</v>
      </c>
      <c r="L38" s="123" t="e">
        <f>uncertainty!L71</f>
        <v>#DIV/0!</v>
      </c>
      <c r="M38" s="123" t="e">
        <f>uncertainty!M71</f>
        <v>#DIV/0!</v>
      </c>
      <c r="N38" s="124" t="e">
        <f>uncertainty!N71</f>
        <v>#DIV/0!</v>
      </c>
      <c r="O38" s="226"/>
      <c r="P38" s="226"/>
      <c r="Q38" s="226"/>
      <c r="R38" s="226"/>
      <c r="S38" s="226"/>
    </row>
    <row r="39" spans="1:19" ht="15.75" thickBot="1" x14ac:dyDescent="0.3">
      <c r="A39" s="226"/>
      <c r="B39" s="226"/>
      <c r="C39" s="226"/>
      <c r="D39" s="164" t="s">
        <v>136</v>
      </c>
      <c r="E39" s="128">
        <f>uncertainty!E80</f>
        <v>0</v>
      </c>
      <c r="F39" s="162" t="e">
        <f>uncertainty!F80</f>
        <v>#DIV/0!</v>
      </c>
      <c r="G39" s="125">
        <f>uncertainty!G80</f>
        <v>0</v>
      </c>
      <c r="H39" s="125" t="e">
        <f>uncertainty!H80</f>
        <v>#DIV/0!</v>
      </c>
      <c r="I39" s="125" t="e">
        <f>uncertainty!I80</f>
        <v>#DIV/0!</v>
      </c>
      <c r="J39" s="125" t="e">
        <f>uncertainty!J80</f>
        <v>#DIV/0!</v>
      </c>
      <c r="K39" s="125" t="e">
        <f>uncertainty!K80</f>
        <v>#DIV/0!</v>
      </c>
      <c r="L39" s="125" t="e">
        <f>uncertainty!L80</f>
        <v>#DIV/0!</v>
      </c>
      <c r="M39" s="125" t="e">
        <f>uncertainty!M80</f>
        <v>#DIV/0!</v>
      </c>
      <c r="N39" s="126" t="e">
        <f>uncertainty!N80</f>
        <v>#DIV/0!</v>
      </c>
      <c r="O39" s="226"/>
      <c r="P39" s="226"/>
      <c r="Q39" s="226"/>
      <c r="R39" s="226"/>
      <c r="S39" s="226"/>
    </row>
    <row r="40" spans="1:19" x14ac:dyDescent="0.25">
      <c r="A40" s="226"/>
      <c r="B40" s="226"/>
      <c r="C40" s="226"/>
      <c r="D40" s="226"/>
      <c r="E40" s="226"/>
      <c r="F40" s="226"/>
      <c r="G40" s="226"/>
      <c r="H40" s="226"/>
      <c r="I40" s="226"/>
      <c r="J40" s="226"/>
      <c r="K40" s="226"/>
      <c r="L40" s="226"/>
      <c r="M40" s="226"/>
      <c r="N40" s="226"/>
      <c r="O40" s="226"/>
      <c r="P40" s="226"/>
      <c r="Q40" s="226"/>
      <c r="R40" s="226"/>
      <c r="S40" s="226"/>
    </row>
    <row r="41" spans="1:19" x14ac:dyDescent="0.25">
      <c r="A41" s="226"/>
      <c r="B41" s="226"/>
      <c r="C41" s="226"/>
      <c r="D41" s="226"/>
      <c r="E41" s="226"/>
      <c r="F41" s="226"/>
      <c r="G41" s="226"/>
      <c r="H41" s="226"/>
      <c r="I41" s="226"/>
      <c r="J41" s="226"/>
      <c r="K41" s="226"/>
      <c r="L41" s="226"/>
      <c r="M41" s="226"/>
      <c r="N41" s="226"/>
      <c r="O41" s="226"/>
      <c r="P41" s="226"/>
      <c r="Q41" s="226"/>
      <c r="R41" s="226"/>
      <c r="S41" s="226"/>
    </row>
    <row r="42" spans="1:19" x14ac:dyDescent="0.25">
      <c r="A42" s="226"/>
      <c r="B42" s="226"/>
      <c r="C42" s="226"/>
      <c r="D42" s="226"/>
      <c r="E42" s="226"/>
      <c r="F42" s="226"/>
      <c r="G42" s="226"/>
      <c r="H42" s="226"/>
      <c r="I42" s="226"/>
      <c r="J42" s="226"/>
      <c r="K42" s="226"/>
      <c r="L42" s="226"/>
      <c r="M42" s="226"/>
      <c r="N42" s="226"/>
      <c r="O42" s="226"/>
      <c r="P42" s="226"/>
      <c r="Q42" s="226"/>
      <c r="R42" s="226"/>
      <c r="S42" s="226"/>
    </row>
    <row r="43" spans="1:19" x14ac:dyDescent="0.25">
      <c r="A43" s="226"/>
      <c r="B43" s="226"/>
      <c r="C43" s="226"/>
      <c r="D43" s="226"/>
      <c r="E43" s="226"/>
      <c r="F43" s="226"/>
      <c r="G43" s="226"/>
      <c r="H43" s="226"/>
      <c r="I43" s="226"/>
      <c r="J43" s="226"/>
      <c r="K43" s="226"/>
      <c r="L43" s="226"/>
      <c r="M43" s="226"/>
      <c r="N43" s="226"/>
      <c r="O43" s="226"/>
      <c r="P43" s="226"/>
      <c r="Q43" s="226"/>
      <c r="R43" s="226"/>
      <c r="S43" s="226"/>
    </row>
    <row r="44" spans="1:19" x14ac:dyDescent="0.25">
      <c r="A44" s="226"/>
      <c r="B44" s="226"/>
      <c r="C44" s="226"/>
      <c r="D44" s="226"/>
      <c r="E44" s="226"/>
      <c r="F44" s="226"/>
      <c r="G44" s="226"/>
      <c r="H44" s="226"/>
      <c r="I44" s="226"/>
      <c r="J44" s="226"/>
      <c r="K44" s="226"/>
      <c r="L44" s="226"/>
      <c r="M44" s="226"/>
      <c r="N44" s="226"/>
      <c r="O44" s="226"/>
      <c r="P44" s="226"/>
      <c r="Q44" s="226"/>
      <c r="R44" s="226"/>
      <c r="S44" s="226"/>
    </row>
    <row r="45" spans="1:19" x14ac:dyDescent="0.25">
      <c r="D45" s="226"/>
      <c r="E45" s="226"/>
      <c r="F45" s="226"/>
      <c r="G45" s="226"/>
      <c r="H45" s="226"/>
      <c r="I45" s="226"/>
      <c r="J45" s="226"/>
      <c r="K45" s="226"/>
      <c r="L45" s="226"/>
      <c r="M45" s="226"/>
      <c r="N45" s="226"/>
      <c r="O45" s="226"/>
      <c r="P45" s="226"/>
      <c r="Q45" s="226"/>
      <c r="R45" s="226"/>
      <c r="S45" s="226"/>
    </row>
    <row r="48" spans="1:19" x14ac:dyDescent="0.25">
      <c r="D48" s="29" t="s">
        <v>369</v>
      </c>
      <c r="E48" s="327" t="s">
        <v>374</v>
      </c>
      <c r="F48" s="327"/>
      <c r="G48" s="327"/>
      <c r="H48" s="327"/>
      <c r="I48" s="327"/>
      <c r="J48" s="327" t="s">
        <v>375</v>
      </c>
      <c r="K48" s="327"/>
      <c r="L48" s="327"/>
      <c r="M48" s="327"/>
      <c r="N48" s="327"/>
      <c r="O48" s="327" t="s">
        <v>376</v>
      </c>
      <c r="P48" s="327"/>
      <c r="Q48" s="327"/>
      <c r="R48" s="327"/>
      <c r="S48" s="327"/>
    </row>
    <row r="49" spans="4:19" x14ac:dyDescent="0.25">
      <c r="D49" t="s">
        <v>49</v>
      </c>
      <c r="E49" t="s">
        <v>370</v>
      </c>
      <c r="F49" t="s">
        <v>371</v>
      </c>
      <c r="G49" t="s">
        <v>372</v>
      </c>
      <c r="H49" t="s">
        <v>52</v>
      </c>
      <c r="I49" t="s">
        <v>373</v>
      </c>
      <c r="J49" t="s">
        <v>370</v>
      </c>
      <c r="K49" t="s">
        <v>371</v>
      </c>
      <c r="L49" t="s">
        <v>372</v>
      </c>
      <c r="M49" t="s">
        <v>52</v>
      </c>
      <c r="N49" t="s">
        <v>373</v>
      </c>
      <c r="O49" t="s">
        <v>370</v>
      </c>
      <c r="P49" t="s">
        <v>371</v>
      </c>
      <c r="Q49" t="s">
        <v>372</v>
      </c>
      <c r="R49" t="s">
        <v>52</v>
      </c>
      <c r="S49" t="s">
        <v>373</v>
      </c>
    </row>
    <row r="50" spans="4:19" x14ac:dyDescent="0.25">
      <c r="D50" s="289" t="str">
        <f>CONCATENATE(TEXT(F10, "0.0%"), " (", TEXT(F11, "0.0%"), ", ", TEXT(F12, "0.0%"), ")")</f>
        <v>Fail (0.0%, 0.0%)</v>
      </c>
      <c r="E50" s="291">
        <f>B4</f>
        <v>0</v>
      </c>
      <c r="F50" s="292">
        <f>I10</f>
        <v>0</v>
      </c>
      <c r="G50" s="290" t="str">
        <f>_xlfn.CONCAT("(",ROUND(I11, "0"), ", ", ROUND(I12, "0"), ")")</f>
        <v>(0, 0)</v>
      </c>
      <c r="H50" s="292" t="e">
        <f>J10</f>
        <v>#VALUE!</v>
      </c>
      <c r="I50" s="290" t="str">
        <f>_xlfn.CONCAT("(",ROUND(J11, "0"), ", ", ROUND(J12, "0"), ")")</f>
        <v>(0, 0)</v>
      </c>
      <c r="J50" s="293">
        <f>B5</f>
        <v>0</v>
      </c>
      <c r="K50" s="292">
        <f>K10</f>
        <v>0</v>
      </c>
      <c r="L50" s="290" t="str">
        <f>_xlfn.CONCAT("(",ROUND(K11, "0"), ", ", ROUND(K12, "0"), ")")</f>
        <v>(0, 0)</v>
      </c>
      <c r="M50" s="292" t="e">
        <f>L10</f>
        <v>#VALUE!</v>
      </c>
      <c r="N50" s="290" t="str">
        <f>_xlfn.CONCAT("(",ROUND(L11, "0"), ", ", ROUND(L12, "0"), ")")</f>
        <v>(0, 0)</v>
      </c>
      <c r="O50" s="293">
        <f>B6</f>
        <v>0</v>
      </c>
      <c r="P50" s="292">
        <f>M10</f>
        <v>0</v>
      </c>
      <c r="Q50" s="290" t="str">
        <f>_xlfn.CONCAT("(",ROUND(M11, "0"), ", ", ROUND(M12, "0"), ")")</f>
        <v>(0, 0)</v>
      </c>
      <c r="R50" s="292" t="e">
        <f>N10</f>
        <v>#VALUE!</v>
      </c>
      <c r="S50" s="290" t="str">
        <f>_xlfn.CONCAT("(",ROUND(N11, "0"), ", ", ROUND(N12, "0"), ")")</f>
        <v>(0, 0)</v>
      </c>
    </row>
  </sheetData>
  <mergeCells count="16">
    <mergeCell ref="A31:C31"/>
    <mergeCell ref="F17:G17"/>
    <mergeCell ref="G30:H30"/>
    <mergeCell ref="I30:J30"/>
    <mergeCell ref="K30:L30"/>
    <mergeCell ref="E48:I48"/>
    <mergeCell ref="J48:N48"/>
    <mergeCell ref="O48:S48"/>
    <mergeCell ref="H2:R6"/>
    <mergeCell ref="I17:O20"/>
    <mergeCell ref="F30:F31"/>
    <mergeCell ref="G8:H8"/>
    <mergeCell ref="I8:J8"/>
    <mergeCell ref="M8:N8"/>
    <mergeCell ref="K8:L8"/>
    <mergeCell ref="M30:N30"/>
  </mergeCells>
  <dataValidations count="1">
    <dataValidation type="list" allowBlank="1" showInputMessage="1" showErrorMessage="1" sqref="F18" xr:uid="{29ACFD47-0310-47E3-8EE2-B30F6866962E}">
      <formula1>$W$14:$W$15</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81517-C6D3-400F-9D9F-FA4B19CB514C}">
  <sheetPr>
    <tabColor rgb="FF92D050"/>
  </sheetPr>
  <dimension ref="A1:DT91"/>
  <sheetViews>
    <sheetView topLeftCell="A44" zoomScaleNormal="100" workbookViewId="0">
      <selection activeCell="K62" sqref="K62"/>
    </sheetView>
  </sheetViews>
  <sheetFormatPr defaultColWidth="10.85546875" defaultRowHeight="15" outlineLevelRow="1" x14ac:dyDescent="0.25"/>
  <cols>
    <col min="1" max="1" width="26.28515625" customWidth="1"/>
    <col min="2" max="2" width="15.140625" customWidth="1"/>
    <col min="3" max="3" width="15.42578125" customWidth="1"/>
    <col min="4" max="4" width="19.42578125" customWidth="1"/>
    <col min="6" max="7" width="12.85546875" customWidth="1"/>
    <col min="8" max="8" width="13.85546875" customWidth="1"/>
    <col min="9" max="9" width="14.28515625" customWidth="1"/>
    <col min="10" max="10" width="13.5703125" customWidth="1"/>
    <col min="11" max="12" width="13.7109375" customWidth="1"/>
    <col min="16" max="16" width="22.28515625" customWidth="1"/>
    <col min="17" max="18" width="10.85546875" customWidth="1"/>
    <col min="32" max="32" width="24.140625" customWidth="1"/>
  </cols>
  <sheetData>
    <row r="1" spans="1:124" ht="114" customHeight="1" x14ac:dyDescent="0.25">
      <c r="A1" s="337" t="s">
        <v>363</v>
      </c>
      <c r="B1" s="338"/>
      <c r="C1" s="338"/>
      <c r="D1" s="338"/>
      <c r="E1" s="338"/>
      <c r="F1" s="338"/>
      <c r="G1" s="338"/>
      <c r="H1" s="338"/>
      <c r="I1" s="338"/>
      <c r="J1" s="338"/>
      <c r="K1" s="338"/>
      <c r="L1" s="338"/>
      <c r="M1" s="338"/>
      <c r="N1" s="338"/>
      <c r="O1" s="338"/>
      <c r="P1" s="338"/>
      <c r="Q1" s="338"/>
      <c r="R1" s="338"/>
      <c r="S1" s="226"/>
      <c r="T1" s="226"/>
    </row>
    <row r="2" spans="1:124" x14ac:dyDescent="0.25">
      <c r="A2" s="226"/>
      <c r="B2" s="226"/>
      <c r="C2" s="226"/>
      <c r="D2" s="226"/>
      <c r="E2" s="226"/>
      <c r="F2" s="226"/>
      <c r="G2" s="226"/>
      <c r="H2" s="226"/>
      <c r="I2" s="226"/>
      <c r="J2" s="226"/>
      <c r="K2" s="226"/>
      <c r="L2" s="226"/>
      <c r="M2" s="226"/>
      <c r="N2" s="226"/>
      <c r="O2" s="226"/>
      <c r="P2" s="226"/>
      <c r="Q2" s="226"/>
      <c r="R2" s="226"/>
      <c r="S2" s="226"/>
      <c r="T2" s="226"/>
    </row>
    <row r="3" spans="1:124" s="105" customFormat="1" ht="18.75" x14ac:dyDescent="0.3">
      <c r="A3" s="344" t="s">
        <v>164</v>
      </c>
      <c r="B3" s="344"/>
      <c r="C3" s="344"/>
      <c r="D3" s="234"/>
      <c r="E3" s="234"/>
      <c r="F3" s="234"/>
      <c r="G3" s="234"/>
      <c r="H3" s="234"/>
      <c r="I3" s="234"/>
      <c r="J3" s="234"/>
      <c r="K3" s="234"/>
      <c r="L3" s="234"/>
      <c r="M3" s="234"/>
      <c r="N3" s="234"/>
      <c r="O3" s="234"/>
      <c r="P3" s="234"/>
      <c r="Q3" s="234"/>
      <c r="R3" s="234"/>
      <c r="S3" s="234"/>
      <c r="T3" s="234"/>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row>
    <row r="4" spans="1:124" ht="30" outlineLevel="1" x14ac:dyDescent="0.25">
      <c r="A4" s="11"/>
      <c r="B4" s="197" t="s">
        <v>62</v>
      </c>
      <c r="C4" s="197" t="s">
        <v>46</v>
      </c>
      <c r="D4" s="236"/>
      <c r="E4" s="348" t="s">
        <v>327</v>
      </c>
      <c r="F4" s="348"/>
      <c r="G4" s="11"/>
      <c r="H4" s="11"/>
      <c r="I4" s="11"/>
      <c r="J4" s="11"/>
      <c r="K4" s="330" t="s">
        <v>50</v>
      </c>
      <c r="L4" s="330"/>
      <c r="M4" s="331" t="s">
        <v>44</v>
      </c>
      <c r="N4" s="331"/>
      <c r="O4" s="332" t="s">
        <v>326</v>
      </c>
      <c r="P4" s="332"/>
      <c r="Q4" s="331" t="s">
        <v>45</v>
      </c>
      <c r="R4" s="331"/>
      <c r="S4" s="226"/>
      <c r="T4" s="226"/>
    </row>
    <row r="5" spans="1:124" ht="30" outlineLevel="1" x14ac:dyDescent="0.25">
      <c r="A5" s="158" t="s">
        <v>325</v>
      </c>
      <c r="B5" s="68">
        <f>'3. Model'!D18</f>
        <v>0</v>
      </c>
      <c r="C5" s="68" t="e">
        <f>'3. Model'!S18</f>
        <v>#DIV/0!</v>
      </c>
      <c r="D5" s="236"/>
      <c r="E5" s="156" t="s">
        <v>40</v>
      </c>
      <c r="F5" s="156" t="s">
        <v>41</v>
      </c>
      <c r="G5" s="156" t="s">
        <v>53</v>
      </c>
      <c r="H5" s="156" t="s">
        <v>48</v>
      </c>
      <c r="I5" s="156" t="s">
        <v>328</v>
      </c>
      <c r="J5" s="157" t="s">
        <v>49</v>
      </c>
      <c r="K5" s="158" t="s">
        <v>51</v>
      </c>
      <c r="L5" s="158" t="s">
        <v>52</v>
      </c>
      <c r="M5" s="159" t="s">
        <v>51</v>
      </c>
      <c r="N5" s="159" t="s">
        <v>52</v>
      </c>
      <c r="O5" s="160" t="s">
        <v>51</v>
      </c>
      <c r="P5" s="160" t="s">
        <v>52</v>
      </c>
      <c r="Q5" s="159" t="s">
        <v>51</v>
      </c>
      <c r="R5" s="159" t="s">
        <v>52</v>
      </c>
      <c r="S5" s="226"/>
      <c r="T5" s="226"/>
    </row>
    <row r="6" spans="1:124" outlineLevel="1" x14ac:dyDescent="0.25">
      <c r="A6" s="158" t="s">
        <v>44</v>
      </c>
      <c r="B6" s="69">
        <f>'3. Model'!B18</f>
        <v>0</v>
      </c>
      <c r="C6" s="68" t="e">
        <f>'3. Model'!Q18</f>
        <v>#DIV/0!</v>
      </c>
      <c r="D6" s="236"/>
      <c r="E6" s="73">
        <f>Input!E3</f>
        <v>0</v>
      </c>
      <c r="F6" s="73">
        <f>Input!H3</f>
        <v>0</v>
      </c>
      <c r="G6" s="73">
        <f>TP</f>
        <v>0</v>
      </c>
      <c r="H6" s="74">
        <f>Input!B28</f>
        <v>0</v>
      </c>
      <c r="I6" s="75">
        <f>VE</f>
        <v>0</v>
      </c>
      <c r="J6" s="117" t="str">
        <f>'3. Model'!AE18</f>
        <v>Fail</v>
      </c>
      <c r="K6" s="42">
        <f>'3. Model'!AB18</f>
        <v>0</v>
      </c>
      <c r="L6" s="42" t="e">
        <f>'3. Model'!AH18</f>
        <v>#VALUE!</v>
      </c>
      <c r="M6" s="42">
        <f>'3. Model'!AA18</f>
        <v>0</v>
      </c>
      <c r="N6" s="42" t="e">
        <f>'3. Model'!AG18</f>
        <v>#VALUE!</v>
      </c>
      <c r="O6" s="42">
        <f>'3. Model'!AC18</f>
        <v>0</v>
      </c>
      <c r="P6" s="42" t="e">
        <f>'3. Model'!AI18</f>
        <v>#VALUE!</v>
      </c>
      <c r="Q6" s="42">
        <f>'3. Model'!AD18</f>
        <v>0</v>
      </c>
      <c r="R6" s="42" t="e">
        <f>'3. Model'!AJ18</f>
        <v>#VALUE!</v>
      </c>
      <c r="S6" s="226"/>
      <c r="T6" s="226"/>
    </row>
    <row r="7" spans="1:124" outlineLevel="1" x14ac:dyDescent="0.25">
      <c r="A7" s="160" t="s">
        <v>326</v>
      </c>
      <c r="B7" s="60">
        <f>'3. Model'!F18</f>
        <v>0</v>
      </c>
      <c r="C7" s="60" t="e">
        <f>'3. Model'!V18</f>
        <v>#DIV/0!</v>
      </c>
      <c r="D7" s="236"/>
      <c r="E7" s="236"/>
      <c r="F7" s="236"/>
      <c r="G7" s="236"/>
      <c r="H7" s="236"/>
      <c r="I7" s="236"/>
      <c r="J7" s="236"/>
      <c r="K7" s="236"/>
      <c r="L7" s="236"/>
      <c r="M7" s="236"/>
      <c r="N7" s="236"/>
      <c r="O7" s="226"/>
      <c r="P7" s="226"/>
      <c r="Q7" s="226"/>
      <c r="R7" s="226"/>
      <c r="S7" s="226"/>
      <c r="T7" s="226"/>
    </row>
    <row r="8" spans="1:124" outlineLevel="1" x14ac:dyDescent="0.25">
      <c r="A8" s="158" t="s">
        <v>45</v>
      </c>
      <c r="B8" s="68">
        <f>B5+B6</f>
        <v>0</v>
      </c>
      <c r="C8" s="68" t="e">
        <f>C5+C6</f>
        <v>#DIV/0!</v>
      </c>
      <c r="D8" s="236"/>
      <c r="E8" s="236"/>
      <c r="F8" s="236"/>
      <c r="G8" s="236"/>
      <c r="H8" s="236"/>
      <c r="I8" s="236"/>
      <c r="J8" s="236"/>
      <c r="K8" s="236"/>
      <c r="L8" s="236"/>
      <c r="M8" s="236"/>
      <c r="N8" s="236"/>
      <c r="O8" s="226"/>
      <c r="P8" s="226"/>
      <c r="Q8" s="226"/>
      <c r="R8" s="226"/>
      <c r="S8" s="226"/>
      <c r="T8" s="226"/>
    </row>
    <row r="9" spans="1:124" outlineLevel="1" x14ac:dyDescent="0.25">
      <c r="A9" s="236"/>
      <c r="B9" s="236"/>
      <c r="C9" s="236"/>
      <c r="D9" s="236"/>
      <c r="E9" s="236"/>
      <c r="F9" s="236"/>
      <c r="G9" s="236"/>
      <c r="H9" s="236"/>
      <c r="I9" s="236"/>
      <c r="J9" s="236"/>
      <c r="K9" s="236"/>
      <c r="L9" s="236"/>
      <c r="M9" s="236"/>
      <c r="N9" s="236"/>
      <c r="O9" s="226"/>
      <c r="P9" s="226"/>
      <c r="Q9" s="226"/>
      <c r="R9" s="226"/>
      <c r="S9" s="226"/>
      <c r="T9" s="226"/>
    </row>
    <row r="10" spans="1:124" x14ac:dyDescent="0.25">
      <c r="A10" s="226"/>
      <c r="B10" s="226"/>
      <c r="C10" s="226"/>
      <c r="D10" s="226"/>
      <c r="E10" s="226"/>
      <c r="F10" s="226"/>
      <c r="G10" s="226"/>
      <c r="H10" s="226"/>
      <c r="I10" s="226"/>
      <c r="J10" s="226"/>
      <c r="K10" s="226"/>
      <c r="L10" s="226"/>
      <c r="M10" s="226"/>
      <c r="N10" s="226"/>
      <c r="O10" s="226"/>
      <c r="P10" s="226"/>
      <c r="Q10" s="226"/>
      <c r="R10" s="226"/>
      <c r="S10" s="226"/>
      <c r="T10" s="226"/>
    </row>
    <row r="11" spans="1:124" s="105" customFormat="1" ht="22.5" customHeight="1" x14ac:dyDescent="0.3">
      <c r="A11" s="343" t="s">
        <v>361</v>
      </c>
      <c r="B11" s="343"/>
      <c r="C11" s="343"/>
      <c r="D11" s="234"/>
      <c r="E11" s="234"/>
      <c r="F11" s="241" t="s">
        <v>360</v>
      </c>
      <c r="G11" s="234"/>
      <c r="H11" s="234"/>
      <c r="I11" s="234"/>
      <c r="J11" s="234"/>
      <c r="K11" s="234"/>
      <c r="L11" s="234"/>
      <c r="M11" s="234"/>
      <c r="N11" s="234"/>
      <c r="O11" s="234"/>
      <c r="P11" s="234"/>
      <c r="Q11" s="234"/>
      <c r="R11" s="234"/>
      <c r="S11" s="234"/>
      <c r="T11" s="234"/>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row>
    <row r="12" spans="1:124" x14ac:dyDescent="0.25">
      <c r="A12" s="226"/>
      <c r="B12" s="226"/>
      <c r="C12" s="243"/>
      <c r="D12" s="143"/>
      <c r="E12" s="330" t="s">
        <v>50</v>
      </c>
      <c r="F12" s="330"/>
      <c r="G12" s="331" t="s">
        <v>44</v>
      </c>
      <c r="H12" s="331"/>
      <c r="I12" s="332" t="s">
        <v>326</v>
      </c>
      <c r="J12" s="332"/>
      <c r="K12" s="331" t="s">
        <v>45</v>
      </c>
      <c r="L12" s="331"/>
      <c r="M12" s="226"/>
      <c r="N12" s="226"/>
      <c r="O12" s="226"/>
      <c r="P12" s="226"/>
      <c r="Q12" s="226"/>
      <c r="R12" s="226"/>
      <c r="S12" s="226"/>
      <c r="T12" s="226"/>
    </row>
    <row r="13" spans="1:124" ht="30" x14ac:dyDescent="0.25">
      <c r="A13" s="226"/>
      <c r="B13" s="226"/>
      <c r="C13" s="156" t="s">
        <v>328</v>
      </c>
      <c r="D13" s="157" t="s">
        <v>49</v>
      </c>
      <c r="E13" s="158" t="s">
        <v>51</v>
      </c>
      <c r="F13" s="158" t="s">
        <v>52</v>
      </c>
      <c r="G13" s="159" t="s">
        <v>51</v>
      </c>
      <c r="H13" s="159" t="s">
        <v>52</v>
      </c>
      <c r="I13" s="160" t="s">
        <v>51</v>
      </c>
      <c r="J13" s="160" t="s">
        <v>52</v>
      </c>
      <c r="K13" s="159" t="s">
        <v>51</v>
      </c>
      <c r="L13" s="159" t="s">
        <v>52</v>
      </c>
      <c r="M13" s="226"/>
      <c r="N13" s="339" t="s">
        <v>390</v>
      </c>
      <c r="O13" s="337"/>
      <c r="P13" s="337"/>
      <c r="Q13" s="337"/>
      <c r="R13" s="337"/>
      <c r="S13" s="226"/>
      <c r="T13" s="226"/>
    </row>
    <row r="14" spans="1:124" x14ac:dyDescent="0.25">
      <c r="A14" s="166" t="s">
        <v>329</v>
      </c>
      <c r="B14" s="119">
        <f t="shared" ref="B14:L14" si="0">H6</f>
        <v>0</v>
      </c>
      <c r="C14" s="121">
        <f t="shared" si="0"/>
        <v>0</v>
      </c>
      <c r="D14" s="129" t="str">
        <f t="shared" si="0"/>
        <v>Fail</v>
      </c>
      <c r="E14" s="42">
        <f t="shared" si="0"/>
        <v>0</v>
      </c>
      <c r="F14" s="165" t="e">
        <f t="shared" si="0"/>
        <v>#VALUE!</v>
      </c>
      <c r="G14" s="165">
        <f t="shared" si="0"/>
        <v>0</v>
      </c>
      <c r="H14" s="165" t="e">
        <f t="shared" si="0"/>
        <v>#VALUE!</v>
      </c>
      <c r="I14" s="165">
        <f t="shared" si="0"/>
        <v>0</v>
      </c>
      <c r="J14" s="165" t="e">
        <f t="shared" si="0"/>
        <v>#VALUE!</v>
      </c>
      <c r="K14" s="165">
        <f t="shared" si="0"/>
        <v>0</v>
      </c>
      <c r="L14" s="165" t="e">
        <f t="shared" si="0"/>
        <v>#VALUE!</v>
      </c>
      <c r="M14" s="226"/>
      <c r="N14" s="337"/>
      <c r="O14" s="337"/>
      <c r="P14" s="337"/>
      <c r="Q14" s="337"/>
      <c r="R14" s="337"/>
      <c r="S14" s="226"/>
      <c r="T14" s="226"/>
    </row>
    <row r="15" spans="1:124" x14ac:dyDescent="0.25">
      <c r="A15" s="166" t="s">
        <v>138</v>
      </c>
      <c r="B15" s="204">
        <f>B14+0.05</f>
        <v>0.05</v>
      </c>
      <c r="C15" s="121">
        <f>'scenarios est'!E34</f>
        <v>0</v>
      </c>
      <c r="D15" s="129" t="e">
        <f>'scenarios est'!F34</f>
        <v>#DIV/0!</v>
      </c>
      <c r="E15" s="42">
        <f>'scenarios est'!G34</f>
        <v>0</v>
      </c>
      <c r="F15" s="165" t="e">
        <f>'scenarios est'!H34</f>
        <v>#DIV/0!</v>
      </c>
      <c r="G15" s="165" t="e">
        <f>'scenarios est'!I34</f>
        <v>#DIV/0!</v>
      </c>
      <c r="H15" s="165" t="e">
        <f>'scenarios est'!J34</f>
        <v>#DIV/0!</v>
      </c>
      <c r="I15" s="165" t="e">
        <f>'scenarios est'!K34</f>
        <v>#DIV/0!</v>
      </c>
      <c r="J15" s="165" t="e">
        <f>'scenarios est'!L34</f>
        <v>#DIV/0!</v>
      </c>
      <c r="K15" s="165" t="e">
        <f>'scenarios est'!M34</f>
        <v>#DIV/0!</v>
      </c>
      <c r="L15" s="165" t="e">
        <f>'scenarios est'!N34</f>
        <v>#DIV/0!</v>
      </c>
      <c r="M15" s="226"/>
      <c r="N15" s="337"/>
      <c r="O15" s="337"/>
      <c r="P15" s="337"/>
      <c r="Q15" s="337"/>
      <c r="R15" s="337"/>
      <c r="S15" s="226"/>
      <c r="T15" s="226"/>
    </row>
    <row r="16" spans="1:124" x14ac:dyDescent="0.25">
      <c r="A16" s="166" t="s">
        <v>139</v>
      </c>
      <c r="B16" s="204">
        <f>B14+0.1</f>
        <v>0.1</v>
      </c>
      <c r="C16" s="121">
        <f>'scenarios est'!E43</f>
        <v>0</v>
      </c>
      <c r="D16" s="129" t="e">
        <f>'scenarios est'!F43</f>
        <v>#DIV/0!</v>
      </c>
      <c r="E16" s="42">
        <f>'scenarios est'!G43</f>
        <v>0</v>
      </c>
      <c r="F16" s="165" t="e">
        <f>'scenarios est'!H43</f>
        <v>#DIV/0!</v>
      </c>
      <c r="G16" s="165" t="e">
        <f>'scenarios est'!I43</f>
        <v>#DIV/0!</v>
      </c>
      <c r="H16" s="165" t="e">
        <f>'scenarios est'!J43</f>
        <v>#DIV/0!</v>
      </c>
      <c r="I16" s="165" t="e">
        <f>'scenarios est'!K43</f>
        <v>#DIV/0!</v>
      </c>
      <c r="J16" s="165" t="e">
        <f>'scenarios est'!L43</f>
        <v>#DIV/0!</v>
      </c>
      <c r="K16" s="165" t="e">
        <f>'scenarios est'!M43</f>
        <v>#DIV/0!</v>
      </c>
      <c r="L16" s="165" t="e">
        <f>'scenarios est'!N43</f>
        <v>#DIV/0!</v>
      </c>
      <c r="M16" s="226"/>
      <c r="N16" s="337"/>
      <c r="O16" s="337"/>
      <c r="P16" s="337"/>
      <c r="Q16" s="337"/>
      <c r="R16" s="337"/>
      <c r="S16" s="226"/>
      <c r="T16" s="226"/>
    </row>
    <row r="17" spans="1:124" x14ac:dyDescent="0.25">
      <c r="A17" s="166" t="s">
        <v>140</v>
      </c>
      <c r="B17" s="204">
        <f>B14+0.15</f>
        <v>0.15</v>
      </c>
      <c r="C17" s="121">
        <f>'scenarios est'!E53</f>
        <v>0</v>
      </c>
      <c r="D17" s="129" t="e">
        <f>'scenarios est'!F53</f>
        <v>#DIV/0!</v>
      </c>
      <c r="E17" s="42">
        <f>'scenarios est'!G53</f>
        <v>0</v>
      </c>
      <c r="F17" s="165" t="e">
        <f>'scenarios est'!H53</f>
        <v>#DIV/0!</v>
      </c>
      <c r="G17" s="165" t="e">
        <f>'scenarios est'!I53</f>
        <v>#DIV/0!</v>
      </c>
      <c r="H17" s="165" t="e">
        <f>'scenarios est'!J53</f>
        <v>#DIV/0!</v>
      </c>
      <c r="I17" s="165" t="e">
        <f>'scenarios est'!K53</f>
        <v>#DIV/0!</v>
      </c>
      <c r="J17" s="165" t="e">
        <f>'scenarios est'!L53</f>
        <v>#DIV/0!</v>
      </c>
      <c r="K17" s="165" t="e">
        <f>'scenarios est'!M53</f>
        <v>#DIV/0!</v>
      </c>
      <c r="L17" s="165" t="e">
        <f>'scenarios est'!N53</f>
        <v>#DIV/0!</v>
      </c>
      <c r="M17" s="226"/>
      <c r="N17" s="337"/>
      <c r="O17" s="337"/>
      <c r="P17" s="337"/>
      <c r="Q17" s="337"/>
      <c r="R17" s="337"/>
      <c r="S17" s="226"/>
      <c r="T17" s="226"/>
    </row>
    <row r="18" spans="1:124" x14ac:dyDescent="0.25">
      <c r="A18" s="166" t="s">
        <v>141</v>
      </c>
      <c r="B18" s="204">
        <f>B14+0.2</f>
        <v>0.2</v>
      </c>
      <c r="C18" s="121">
        <f>'scenarios est'!E62</f>
        <v>0</v>
      </c>
      <c r="D18" s="129" t="e">
        <f>'scenarios est'!F62</f>
        <v>#DIV/0!</v>
      </c>
      <c r="E18" s="42">
        <f>'scenarios est'!G62</f>
        <v>0</v>
      </c>
      <c r="F18" s="165" t="e">
        <f>'scenarios est'!H62</f>
        <v>#DIV/0!</v>
      </c>
      <c r="G18" s="165" t="e">
        <f>'scenarios est'!I62</f>
        <v>#DIV/0!</v>
      </c>
      <c r="H18" s="165" t="e">
        <f>'scenarios est'!J62</f>
        <v>#DIV/0!</v>
      </c>
      <c r="I18" s="165" t="e">
        <f>'scenarios est'!K62</f>
        <v>#DIV/0!</v>
      </c>
      <c r="J18" s="165" t="e">
        <f>'scenarios est'!L62</f>
        <v>#DIV/0!</v>
      </c>
      <c r="K18" s="165" t="e">
        <f>'scenarios est'!M62</f>
        <v>#DIV/0!</v>
      </c>
      <c r="L18" s="165" t="e">
        <f>'scenarios est'!N62</f>
        <v>#DIV/0!</v>
      </c>
      <c r="M18" s="226"/>
      <c r="N18" s="337"/>
      <c r="O18" s="337"/>
      <c r="P18" s="337"/>
      <c r="Q18" s="337"/>
      <c r="R18" s="337"/>
      <c r="S18" s="226"/>
      <c r="T18" s="226"/>
    </row>
    <row r="19" spans="1:124" x14ac:dyDescent="0.25">
      <c r="M19" s="226"/>
      <c r="N19" s="226"/>
      <c r="O19" s="226"/>
      <c r="P19" s="226"/>
      <c r="Q19" s="226"/>
      <c r="R19" s="226"/>
      <c r="S19" s="226"/>
      <c r="T19" s="226"/>
    </row>
    <row r="20" spans="1:124" s="105" customFormat="1" ht="19.7" customHeight="1" x14ac:dyDescent="0.3">
      <c r="A20" s="343" t="s">
        <v>362</v>
      </c>
      <c r="B20" s="343"/>
      <c r="C20" s="343"/>
      <c r="D20" s="234"/>
      <c r="E20" s="234"/>
      <c r="F20" s="242" t="s">
        <v>360</v>
      </c>
      <c r="G20" s="234"/>
      <c r="H20" s="234"/>
      <c r="I20" s="234"/>
      <c r="J20" s="234"/>
      <c r="K20" s="234"/>
      <c r="L20" s="234"/>
      <c r="M20" s="234"/>
      <c r="N20" s="234"/>
      <c r="O20" s="234"/>
      <c r="P20" s="234"/>
      <c r="Q20" s="234"/>
      <c r="R20" s="234"/>
      <c r="S20" s="234"/>
      <c r="T20" s="234"/>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row>
    <row r="21" spans="1:124" x14ac:dyDescent="0.25">
      <c r="A21" s="226"/>
      <c r="B21" s="243"/>
      <c r="C21" s="243"/>
      <c r="D21" s="330" t="s">
        <v>50</v>
      </c>
      <c r="E21" s="330"/>
      <c r="F21" s="331" t="s">
        <v>44</v>
      </c>
      <c r="G21" s="331"/>
      <c r="H21" s="332" t="s">
        <v>326</v>
      </c>
      <c r="I21" s="332"/>
      <c r="J21" s="331" t="s">
        <v>45</v>
      </c>
      <c r="K21" s="331"/>
      <c r="L21" s="226"/>
      <c r="M21" s="152" t="s">
        <v>1</v>
      </c>
      <c r="N21" s="152" t="s">
        <v>331</v>
      </c>
      <c r="O21" s="152" t="s">
        <v>156</v>
      </c>
      <c r="P21" s="152" t="s">
        <v>157</v>
      </c>
      <c r="Q21" s="152" t="s">
        <v>158</v>
      </c>
      <c r="R21" s="152" t="s">
        <v>159</v>
      </c>
      <c r="S21" s="226"/>
      <c r="T21" s="226"/>
    </row>
    <row r="22" spans="1:124" ht="30" x14ac:dyDescent="0.25">
      <c r="A22" s="226"/>
      <c r="B22" s="156" t="s">
        <v>328</v>
      </c>
      <c r="C22" s="157" t="s">
        <v>49</v>
      </c>
      <c r="D22" s="158" t="s">
        <v>51</v>
      </c>
      <c r="E22" s="158" t="s">
        <v>52</v>
      </c>
      <c r="F22" s="159" t="s">
        <v>51</v>
      </c>
      <c r="G22" s="159" t="s">
        <v>52</v>
      </c>
      <c r="H22" s="160" t="s">
        <v>51</v>
      </c>
      <c r="I22" s="160" t="s">
        <v>52</v>
      </c>
      <c r="J22" s="159" t="s">
        <v>51</v>
      </c>
      <c r="K22" s="159" t="s">
        <v>52</v>
      </c>
      <c r="L22" s="226"/>
      <c r="M22" s="153">
        <f>Input!H9</f>
        <v>0</v>
      </c>
      <c r="N22" s="120" t="e">
        <f>Input!F9</f>
        <v>#DIV/0!</v>
      </c>
      <c r="O22" s="36">
        <v>0.25</v>
      </c>
      <c r="P22" s="36">
        <v>0.5</v>
      </c>
      <c r="Q22" s="36">
        <v>0.5</v>
      </c>
      <c r="R22" s="36">
        <v>0.75</v>
      </c>
      <c r="S22" s="226"/>
      <c r="T22" s="226"/>
    </row>
    <row r="23" spans="1:124" x14ac:dyDescent="0.25">
      <c r="A23" s="166" t="s">
        <v>330</v>
      </c>
      <c r="B23" s="121">
        <f>'scenarios est'!E5</f>
        <v>0</v>
      </c>
      <c r="C23" s="129" t="e">
        <f>'scenarios est'!F5</f>
        <v>#DIV/0!</v>
      </c>
      <c r="D23" s="165">
        <f>'scenarios est'!G5</f>
        <v>0</v>
      </c>
      <c r="E23" s="165" t="e">
        <f>'scenarios est'!H5</f>
        <v>#DIV/0!</v>
      </c>
      <c r="F23" s="165" t="e">
        <f>'scenarios est'!I5</f>
        <v>#DIV/0!</v>
      </c>
      <c r="G23" s="165" t="e">
        <f>'scenarios est'!J5</f>
        <v>#DIV/0!</v>
      </c>
      <c r="H23" s="165" t="e">
        <f>'scenarios est'!K5</f>
        <v>#DIV/0!</v>
      </c>
      <c r="I23" s="165" t="e">
        <f>'scenarios est'!L5</f>
        <v>#DIV/0!</v>
      </c>
      <c r="J23" s="165" t="e">
        <f>'scenarios est'!M5</f>
        <v>#DIV/0!</v>
      </c>
      <c r="K23" s="165" t="e">
        <f>'scenarios est'!N5</f>
        <v>#DIV/0!</v>
      </c>
      <c r="L23" s="226"/>
      <c r="M23" s="153">
        <f>Input!H10</f>
        <v>0</v>
      </c>
      <c r="N23" s="120" t="e">
        <f>Input!F10</f>
        <v>#DIV/0!</v>
      </c>
      <c r="O23" s="36">
        <v>0.25</v>
      </c>
      <c r="P23" s="36">
        <v>0.25</v>
      </c>
      <c r="Q23" s="36">
        <v>0.5</v>
      </c>
      <c r="R23" s="36">
        <v>0.25</v>
      </c>
      <c r="S23" s="226"/>
      <c r="T23" s="226"/>
    </row>
    <row r="24" spans="1:124" x14ac:dyDescent="0.25">
      <c r="A24" s="166" t="s">
        <v>156</v>
      </c>
      <c r="B24" s="121">
        <f>'scenarios est'!E71</f>
        <v>0</v>
      </c>
      <c r="C24" s="129" t="e">
        <f>'scenarios est'!F71</f>
        <v>#DIV/0!</v>
      </c>
      <c r="D24" s="165">
        <f>'scenarios est'!G71</f>
        <v>0</v>
      </c>
      <c r="E24" s="165" t="e">
        <f>'scenarios est'!H71</f>
        <v>#DIV/0!</v>
      </c>
      <c r="F24" s="165" t="e">
        <f>'scenarios est'!I71</f>
        <v>#DIV/0!</v>
      </c>
      <c r="G24" s="165" t="e">
        <f>'scenarios est'!J71</f>
        <v>#DIV/0!</v>
      </c>
      <c r="H24" s="165" t="e">
        <f>'scenarios est'!K71</f>
        <v>#DIV/0!</v>
      </c>
      <c r="I24" s="165" t="e">
        <f>'scenarios est'!L71</f>
        <v>#DIV/0!</v>
      </c>
      <c r="J24" s="165" t="e">
        <f>'scenarios est'!M71</f>
        <v>#DIV/0!</v>
      </c>
      <c r="K24" s="165" t="e">
        <f>'scenarios est'!N71</f>
        <v>#DIV/0!</v>
      </c>
      <c r="L24" s="226"/>
      <c r="M24" s="153">
        <f>Input!H11</f>
        <v>0</v>
      </c>
      <c r="N24" s="120" t="e">
        <f>Input!F11</f>
        <v>#DIV/0!</v>
      </c>
      <c r="O24" s="36">
        <v>0.25</v>
      </c>
      <c r="P24" s="36">
        <v>0.25</v>
      </c>
      <c r="Q24" s="36">
        <v>0</v>
      </c>
      <c r="R24" s="36">
        <v>0</v>
      </c>
      <c r="S24" s="226"/>
      <c r="T24" s="226"/>
    </row>
    <row r="25" spans="1:124" x14ac:dyDescent="0.25">
      <c r="A25" s="166" t="s">
        <v>157</v>
      </c>
      <c r="B25" s="121">
        <f>'scenarios est'!E80</f>
        <v>0</v>
      </c>
      <c r="C25" s="129" t="e">
        <f>'scenarios est'!F80</f>
        <v>#DIV/0!</v>
      </c>
      <c r="D25" s="165">
        <f>'scenarios est'!G80</f>
        <v>0</v>
      </c>
      <c r="E25" s="165" t="e">
        <f>'scenarios est'!H80</f>
        <v>#DIV/0!</v>
      </c>
      <c r="F25" s="165" t="e">
        <f>'scenarios est'!I80</f>
        <v>#DIV/0!</v>
      </c>
      <c r="G25" s="165" t="e">
        <f>'scenarios est'!J80</f>
        <v>#DIV/0!</v>
      </c>
      <c r="H25" s="165" t="e">
        <f>'scenarios est'!K80</f>
        <v>#DIV/0!</v>
      </c>
      <c r="I25" s="165" t="e">
        <f>'scenarios est'!L80</f>
        <v>#DIV/0!</v>
      </c>
      <c r="J25" s="165" t="e">
        <f>'scenarios est'!M80</f>
        <v>#DIV/0!</v>
      </c>
      <c r="K25" s="165" t="e">
        <f>'scenarios est'!N80</f>
        <v>#DIV/0!</v>
      </c>
      <c r="L25" s="226"/>
      <c r="M25" s="153">
        <f>Input!H12</f>
        <v>0</v>
      </c>
      <c r="N25" s="120" t="e">
        <f>Input!F12</f>
        <v>#DIV/0!</v>
      </c>
      <c r="O25" s="36">
        <v>0.25</v>
      </c>
      <c r="P25" s="36">
        <v>0</v>
      </c>
      <c r="Q25" s="36">
        <v>0</v>
      </c>
      <c r="R25" s="36">
        <v>0</v>
      </c>
      <c r="S25" s="226"/>
      <c r="T25" s="226"/>
    </row>
    <row r="26" spans="1:124" x14ac:dyDescent="0.25">
      <c r="A26" s="166" t="s">
        <v>158</v>
      </c>
      <c r="B26" s="121">
        <f>'scenarios est'!E89</f>
        <v>0</v>
      </c>
      <c r="C26" s="129" t="e">
        <f>'scenarios est'!F89</f>
        <v>#DIV/0!</v>
      </c>
      <c r="D26" s="165">
        <f>'scenarios est'!G89</f>
        <v>0</v>
      </c>
      <c r="E26" s="165" t="e">
        <f>'scenarios est'!H89</f>
        <v>#DIV/0!</v>
      </c>
      <c r="F26" s="165" t="e">
        <f>'scenarios est'!I89</f>
        <v>#DIV/0!</v>
      </c>
      <c r="G26" s="165" t="e">
        <f>'scenarios est'!J89</f>
        <v>#DIV/0!</v>
      </c>
      <c r="H26" s="165" t="e">
        <f>'scenarios est'!K89</f>
        <v>#DIV/0!</v>
      </c>
      <c r="I26" s="165" t="e">
        <f>'scenarios est'!L89</f>
        <v>#DIV/0!</v>
      </c>
      <c r="J26" s="165" t="e">
        <f>'scenarios est'!M89</f>
        <v>#DIV/0!</v>
      </c>
      <c r="K26" s="165" t="e">
        <f>'scenarios est'!N89</f>
        <v>#DIV/0!</v>
      </c>
      <c r="L26" s="226"/>
      <c r="M26" s="153">
        <f>Input!H13</f>
        <v>0</v>
      </c>
      <c r="N26" s="120" t="e">
        <f>Input!F13</f>
        <v>#DIV/0!</v>
      </c>
      <c r="O26" s="36">
        <v>0</v>
      </c>
      <c r="P26" s="36">
        <v>0</v>
      </c>
      <c r="Q26" s="36">
        <v>0</v>
      </c>
      <c r="R26" s="36">
        <v>0</v>
      </c>
      <c r="S26" s="226"/>
      <c r="T26" s="226"/>
    </row>
    <row r="27" spans="1:124" x14ac:dyDescent="0.25">
      <c r="A27" s="166" t="s">
        <v>159</v>
      </c>
      <c r="B27" s="121">
        <f>'scenarios est'!E98</f>
        <v>0</v>
      </c>
      <c r="C27" s="129" t="e">
        <f>'scenarios est'!F98</f>
        <v>#DIV/0!</v>
      </c>
      <c r="D27" s="165">
        <f>'scenarios est'!G98</f>
        <v>0</v>
      </c>
      <c r="E27" s="165" t="e">
        <f>'scenarios est'!H98</f>
        <v>#DIV/0!</v>
      </c>
      <c r="F27" s="165" t="e">
        <f>'scenarios est'!I98</f>
        <v>#DIV/0!</v>
      </c>
      <c r="G27" s="165" t="e">
        <f>'scenarios est'!J98</f>
        <v>#DIV/0!</v>
      </c>
      <c r="H27" s="165" t="e">
        <f>'scenarios est'!K98</f>
        <v>#DIV/0!</v>
      </c>
      <c r="I27" s="165" t="e">
        <f>'scenarios est'!L98</f>
        <v>#DIV/0!</v>
      </c>
      <c r="J27" s="165" t="e">
        <f>'scenarios est'!M98</f>
        <v>#DIV/0!</v>
      </c>
      <c r="K27" s="165" t="e">
        <f>'scenarios est'!N98</f>
        <v>#DIV/0!</v>
      </c>
      <c r="M27" s="153">
        <f>Input!H14</f>
        <v>0</v>
      </c>
      <c r="N27" s="120" t="e">
        <f>Input!F14</f>
        <v>#DIV/0!</v>
      </c>
      <c r="O27" s="36">
        <v>0</v>
      </c>
      <c r="P27" s="36">
        <v>0</v>
      </c>
      <c r="Q27" s="36">
        <v>0</v>
      </c>
      <c r="R27" s="36">
        <v>0</v>
      </c>
      <c r="S27" s="226"/>
      <c r="T27" s="226"/>
    </row>
    <row r="28" spans="1:124" x14ac:dyDescent="0.25">
      <c r="A28" s="226"/>
      <c r="B28" s="226"/>
      <c r="C28" s="226"/>
      <c r="D28" s="226"/>
      <c r="E28" s="226"/>
      <c r="F28" s="226"/>
      <c r="G28" s="226"/>
      <c r="H28" s="226"/>
      <c r="I28" s="226"/>
      <c r="J28" s="226"/>
      <c r="K28" s="226"/>
      <c r="L28" s="226"/>
      <c r="M28" s="153">
        <f>Input!H15</f>
        <v>0</v>
      </c>
      <c r="N28" s="120" t="e">
        <f>Input!F15</f>
        <v>#DIV/0!</v>
      </c>
      <c r="O28" s="36">
        <v>0</v>
      </c>
      <c r="P28" s="36">
        <v>0</v>
      </c>
      <c r="Q28" s="36">
        <v>0</v>
      </c>
      <c r="R28" s="36">
        <v>0</v>
      </c>
      <c r="S28" s="226"/>
      <c r="T28" s="226"/>
    </row>
    <row r="29" spans="1:124" x14ac:dyDescent="0.25">
      <c r="A29" s="226"/>
      <c r="B29" s="226"/>
      <c r="C29" s="226"/>
      <c r="D29" s="226"/>
      <c r="E29" s="226"/>
      <c r="F29" s="226"/>
      <c r="G29" s="226"/>
      <c r="H29" s="226"/>
      <c r="I29" s="226"/>
      <c r="J29" s="226"/>
      <c r="K29" s="226"/>
      <c r="L29" s="226"/>
      <c r="M29" s="153">
        <f>Input!H16</f>
        <v>0</v>
      </c>
      <c r="N29" s="120" t="e">
        <f>Input!F16</f>
        <v>#DIV/0!</v>
      </c>
      <c r="O29" s="36">
        <v>0</v>
      </c>
      <c r="P29" s="36">
        <v>0</v>
      </c>
      <c r="Q29" s="36">
        <v>0</v>
      </c>
      <c r="R29" s="36">
        <v>0</v>
      </c>
      <c r="S29" s="226"/>
      <c r="T29" s="226"/>
    </row>
    <row r="30" spans="1:124" x14ac:dyDescent="0.25">
      <c r="A30" s="226"/>
      <c r="B30" s="339" t="s">
        <v>391</v>
      </c>
      <c r="C30" s="337"/>
      <c r="D30" s="337"/>
      <c r="E30" s="337"/>
      <c r="F30" s="337"/>
      <c r="G30" s="337"/>
      <c r="H30" s="337"/>
      <c r="I30" s="337"/>
      <c r="J30" s="337"/>
      <c r="K30" s="337"/>
      <c r="L30" s="226"/>
      <c r="M30" s="153">
        <f>Input!H17</f>
        <v>0</v>
      </c>
      <c r="N30" s="120" t="e">
        <f>Input!F17</f>
        <v>#DIV/0!</v>
      </c>
      <c r="O30" s="36">
        <v>0</v>
      </c>
      <c r="P30" s="36">
        <v>0</v>
      </c>
      <c r="Q30" s="36">
        <v>0</v>
      </c>
      <c r="R30" s="36">
        <v>0</v>
      </c>
      <c r="S30" s="226"/>
      <c r="T30" s="226"/>
    </row>
    <row r="31" spans="1:124" x14ac:dyDescent="0.25">
      <c r="A31" s="226"/>
      <c r="B31" s="337"/>
      <c r="C31" s="337"/>
      <c r="D31" s="337"/>
      <c r="E31" s="337"/>
      <c r="F31" s="337"/>
      <c r="G31" s="337"/>
      <c r="H31" s="337"/>
      <c r="I31" s="337"/>
      <c r="J31" s="337"/>
      <c r="K31" s="337"/>
      <c r="L31" s="226"/>
      <c r="M31" s="153">
        <f>Input!H18</f>
        <v>0</v>
      </c>
      <c r="N31" s="120" t="e">
        <f>Input!F18</f>
        <v>#DIV/0!</v>
      </c>
      <c r="O31" s="36">
        <v>0</v>
      </c>
      <c r="P31" s="36">
        <v>0</v>
      </c>
      <c r="Q31" s="36">
        <v>0</v>
      </c>
      <c r="R31" s="36">
        <v>0</v>
      </c>
      <c r="S31" s="226"/>
      <c r="T31" s="226"/>
    </row>
    <row r="32" spans="1:124" x14ac:dyDescent="0.25">
      <c r="A32" s="226"/>
      <c r="B32" s="337"/>
      <c r="C32" s="337"/>
      <c r="D32" s="337"/>
      <c r="E32" s="337"/>
      <c r="F32" s="337"/>
      <c r="G32" s="337"/>
      <c r="H32" s="337"/>
      <c r="I32" s="337"/>
      <c r="J32" s="337"/>
      <c r="K32" s="337"/>
      <c r="L32" s="226"/>
      <c r="M32" s="153">
        <f>Input!H19</f>
        <v>0</v>
      </c>
      <c r="N32" s="120" t="e">
        <f>Input!F19</f>
        <v>#DIV/0!</v>
      </c>
      <c r="O32" s="36">
        <v>0</v>
      </c>
      <c r="P32" s="36">
        <v>0</v>
      </c>
      <c r="Q32" s="36">
        <v>0</v>
      </c>
      <c r="R32" s="36">
        <v>0</v>
      </c>
      <c r="S32" s="226"/>
      <c r="T32" s="226"/>
    </row>
    <row r="33" spans="1:124" x14ac:dyDescent="0.25">
      <c r="A33" s="226"/>
      <c r="B33" s="337"/>
      <c r="C33" s="337"/>
      <c r="D33" s="337"/>
      <c r="E33" s="337"/>
      <c r="F33" s="337"/>
      <c r="G33" s="337"/>
      <c r="H33" s="337"/>
      <c r="I33" s="337"/>
      <c r="J33" s="337"/>
      <c r="K33" s="337"/>
      <c r="L33" s="226"/>
      <c r="M33" s="153">
        <f>Input!H20</f>
        <v>0</v>
      </c>
      <c r="N33" s="120" t="e">
        <f>Input!F20</f>
        <v>#DIV/0!</v>
      </c>
      <c r="O33" s="36">
        <v>0</v>
      </c>
      <c r="P33" s="36">
        <v>0</v>
      </c>
      <c r="Q33" s="36">
        <v>0</v>
      </c>
      <c r="R33" s="36">
        <v>0</v>
      </c>
      <c r="S33" s="226"/>
      <c r="T33" s="226"/>
    </row>
    <row r="34" spans="1:124" x14ac:dyDescent="0.25">
      <c r="A34" s="226"/>
      <c r="B34" s="226"/>
      <c r="C34" s="226"/>
      <c r="D34" s="226"/>
      <c r="E34" s="226"/>
      <c r="F34" s="226"/>
      <c r="G34" s="226"/>
      <c r="H34" s="226"/>
      <c r="I34" s="226"/>
      <c r="J34" s="226"/>
      <c r="K34" s="226"/>
      <c r="L34" s="226"/>
      <c r="M34" s="154" t="s">
        <v>131</v>
      </c>
      <c r="N34" s="120" t="e">
        <f>SUM(N22:N33)</f>
        <v>#DIV/0!</v>
      </c>
      <c r="O34" s="120">
        <f>SUM(O22:O33)</f>
        <v>1</v>
      </c>
      <c r="P34" s="120">
        <f>SUM(P22:P33)</f>
        <v>1</v>
      </c>
      <c r="Q34" s="120">
        <f>SUM(Q22:Q33)</f>
        <v>1</v>
      </c>
      <c r="R34" s="120">
        <f>SUM(R22:R33)</f>
        <v>1</v>
      </c>
      <c r="S34" s="226"/>
      <c r="T34" s="226"/>
    </row>
    <row r="35" spans="1:124" x14ac:dyDescent="0.25">
      <c r="A35" s="226"/>
      <c r="B35" s="226"/>
      <c r="C35" s="226"/>
      <c r="D35" s="226"/>
      <c r="E35" s="226"/>
      <c r="F35" s="226"/>
      <c r="G35" s="226"/>
      <c r="H35" s="226"/>
      <c r="I35" s="226"/>
      <c r="J35" s="226"/>
      <c r="K35" s="226"/>
      <c r="L35" s="226"/>
      <c r="M35" s="226"/>
      <c r="N35" s="226"/>
      <c r="O35" s="226"/>
      <c r="P35" s="226"/>
      <c r="Q35" s="226"/>
      <c r="R35" s="226"/>
      <c r="S35" s="226"/>
      <c r="T35" s="226"/>
    </row>
    <row r="36" spans="1:124" s="105" customFormat="1" ht="18.75" x14ac:dyDescent="0.25">
      <c r="A36" s="340" t="s">
        <v>364</v>
      </c>
      <c r="B36" s="340"/>
      <c r="C36" s="340"/>
      <c r="D36" s="234"/>
      <c r="E36" s="234"/>
      <c r="F36" s="234"/>
      <c r="G36" s="234"/>
      <c r="H36" s="234"/>
      <c r="I36" s="234"/>
      <c r="J36" s="234"/>
      <c r="K36" s="234"/>
      <c r="L36" s="234"/>
      <c r="M36" s="234"/>
      <c r="N36" s="234"/>
      <c r="O36" s="234"/>
      <c r="P36" s="234"/>
      <c r="Q36" s="234"/>
      <c r="R36" s="234"/>
      <c r="S36" s="234"/>
      <c r="T36" s="234"/>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row>
    <row r="37" spans="1:124" x14ac:dyDescent="0.25">
      <c r="A37" s="226"/>
      <c r="B37" s="226"/>
      <c r="C37" s="226"/>
      <c r="D37" s="226"/>
      <c r="E37" s="226"/>
      <c r="F37" s="226"/>
      <c r="G37" s="226"/>
      <c r="H37" s="226"/>
      <c r="I37" s="226"/>
      <c r="J37" s="226"/>
      <c r="K37" s="226"/>
      <c r="L37" s="226"/>
      <c r="M37" s="226"/>
      <c r="N37" s="226"/>
      <c r="O37" s="226"/>
      <c r="P37" s="226"/>
      <c r="Q37" s="226"/>
      <c r="R37" s="226"/>
      <c r="S37" s="226"/>
      <c r="T37" s="226"/>
    </row>
    <row r="38" spans="1:124" x14ac:dyDescent="0.25">
      <c r="A38" s="244"/>
      <c r="B38" s="345" t="s">
        <v>49</v>
      </c>
      <c r="C38" s="345"/>
      <c r="D38" s="345"/>
      <c r="E38" s="345"/>
      <c r="F38" s="345"/>
      <c r="G38" s="226"/>
      <c r="H38" s="226"/>
      <c r="I38" s="226"/>
      <c r="J38" s="226"/>
      <c r="K38" s="226"/>
      <c r="L38" s="226"/>
      <c r="M38" s="226"/>
      <c r="N38" s="226"/>
      <c r="O38" s="226"/>
      <c r="P38" s="226"/>
      <c r="Q38" s="226"/>
      <c r="R38" s="226"/>
      <c r="S38" s="226"/>
      <c r="T38" s="226"/>
      <c r="Z38" t="s">
        <v>44</v>
      </c>
    </row>
    <row r="39" spans="1:124" x14ac:dyDescent="0.25">
      <c r="A39" s="226"/>
      <c r="B39" s="345" t="s">
        <v>134</v>
      </c>
      <c r="C39" s="345"/>
      <c r="D39" s="345"/>
      <c r="E39" s="345"/>
      <c r="F39" s="345"/>
      <c r="G39" s="226"/>
      <c r="H39" s="337" t="s">
        <v>365</v>
      </c>
      <c r="I39" s="338"/>
      <c r="J39" s="338"/>
      <c r="K39" s="226"/>
      <c r="L39" s="226"/>
      <c r="M39" s="226"/>
      <c r="N39" s="226"/>
      <c r="O39" s="226"/>
      <c r="P39" s="226"/>
      <c r="Q39" s="226"/>
      <c r="R39" s="226"/>
      <c r="S39" s="226"/>
      <c r="T39" s="226"/>
      <c r="Z39" t="s">
        <v>50</v>
      </c>
    </row>
    <row r="40" spans="1:124" x14ac:dyDescent="0.25">
      <c r="A40" s="226"/>
      <c r="B40" s="207" t="str">
        <f>CONCATENATE(TEXT(B14,"#,0%")," (base)")</f>
        <v>0% (base)</v>
      </c>
      <c r="C40" s="208">
        <f>sCo_1</f>
        <v>0.05</v>
      </c>
      <c r="D40" s="208">
        <f>sCo_2</f>
        <v>0.1</v>
      </c>
      <c r="E40" s="208">
        <f>sCo_3</f>
        <v>0.15</v>
      </c>
      <c r="F40" s="208">
        <f>sCo_4</f>
        <v>0.2</v>
      </c>
      <c r="G40" s="226"/>
      <c r="H40" s="338"/>
      <c r="I40" s="338"/>
      <c r="J40" s="338"/>
      <c r="K40" s="226"/>
      <c r="L40" s="226"/>
      <c r="M40" s="226"/>
      <c r="N40" s="226"/>
      <c r="O40" s="226"/>
      <c r="P40" s="226"/>
      <c r="Q40" s="226"/>
      <c r="R40" s="226"/>
      <c r="S40" s="226"/>
      <c r="T40" s="226"/>
      <c r="Z40" t="s">
        <v>45</v>
      </c>
    </row>
    <row r="41" spans="1:124" x14ac:dyDescent="0.25">
      <c r="A41" s="206" t="s">
        <v>330</v>
      </c>
      <c r="B41" s="205" t="str">
        <f>D14</f>
        <v>Fail</v>
      </c>
      <c r="C41" s="129" t="e">
        <f>D15</f>
        <v>#DIV/0!</v>
      </c>
      <c r="D41" s="129" t="e">
        <f>D16</f>
        <v>#DIV/0!</v>
      </c>
      <c r="E41" s="129" t="e">
        <f>D17</f>
        <v>#DIV/0!</v>
      </c>
      <c r="F41" s="129" t="e">
        <f>D18</f>
        <v>#DIV/0!</v>
      </c>
      <c r="G41" s="226"/>
      <c r="H41" s="338"/>
      <c r="I41" s="338"/>
      <c r="J41" s="338"/>
      <c r="K41" s="226"/>
      <c r="L41" s="226"/>
      <c r="M41" s="226"/>
      <c r="N41" s="226"/>
      <c r="O41" s="226"/>
      <c r="P41" s="226"/>
      <c r="Q41" s="226"/>
      <c r="R41" s="226"/>
      <c r="S41" s="226"/>
      <c r="T41" s="226"/>
    </row>
    <row r="42" spans="1:124" x14ac:dyDescent="0.25">
      <c r="A42" s="206" t="s">
        <v>156</v>
      </c>
      <c r="B42" s="205" t="e">
        <f>C24</f>
        <v>#DIV/0!</v>
      </c>
      <c r="C42" s="129" t="e">
        <f>'scenarios est'!F107</f>
        <v>#DIV/0!</v>
      </c>
      <c r="D42" s="129" t="e">
        <f>'scenarios est'!F116</f>
        <v>#DIV/0!</v>
      </c>
      <c r="E42" s="129" t="e">
        <f>'scenarios est'!F125</f>
        <v>#DIV/0!</v>
      </c>
      <c r="F42" s="129" t="e">
        <f>'scenarios est'!F134</f>
        <v>#DIV/0!</v>
      </c>
      <c r="G42" s="226"/>
      <c r="H42" s="338"/>
      <c r="I42" s="338"/>
      <c r="J42" s="338"/>
      <c r="K42" s="226"/>
      <c r="L42" s="226"/>
      <c r="M42" s="226"/>
      <c r="N42" s="226"/>
      <c r="O42" s="226"/>
      <c r="P42" s="226"/>
      <c r="Q42" s="226"/>
      <c r="R42" s="226"/>
      <c r="S42" s="226"/>
      <c r="T42" s="226"/>
    </row>
    <row r="43" spans="1:124" x14ac:dyDescent="0.25">
      <c r="A43" s="206" t="s">
        <v>157</v>
      </c>
      <c r="B43" s="205" t="e">
        <f>C25</f>
        <v>#DIV/0!</v>
      </c>
      <c r="C43" s="129" t="e">
        <f>'scenarios est'!F143</f>
        <v>#DIV/0!</v>
      </c>
      <c r="D43" s="129" t="e">
        <f>'scenarios est'!F152</f>
        <v>#DIV/0!</v>
      </c>
      <c r="E43" s="129" t="e">
        <f>'scenarios est'!F161</f>
        <v>#DIV/0!</v>
      </c>
      <c r="F43" s="129" t="e">
        <f>'scenarios est'!F170</f>
        <v>#DIV/0!</v>
      </c>
      <c r="G43" s="226"/>
      <c r="H43" s="338"/>
      <c r="I43" s="338"/>
      <c r="J43" s="338"/>
      <c r="K43" s="226"/>
      <c r="L43" s="226"/>
      <c r="M43" s="226"/>
      <c r="N43" s="226"/>
      <c r="O43" s="226"/>
      <c r="P43" s="226"/>
      <c r="Q43" s="226"/>
      <c r="R43" s="226"/>
      <c r="S43" s="226"/>
      <c r="T43" s="226"/>
    </row>
    <row r="44" spans="1:124" x14ac:dyDescent="0.25">
      <c r="A44" s="206" t="s">
        <v>158</v>
      </c>
      <c r="B44" s="205" t="e">
        <f>C26</f>
        <v>#DIV/0!</v>
      </c>
      <c r="C44" s="129" t="e">
        <f>'scenarios est'!F179</f>
        <v>#DIV/0!</v>
      </c>
      <c r="D44" s="129" t="e">
        <f>'scenarios est'!F188</f>
        <v>#DIV/0!</v>
      </c>
      <c r="E44" s="129" t="e">
        <f>'scenarios est'!F197</f>
        <v>#DIV/0!</v>
      </c>
      <c r="F44" s="129" t="e">
        <f>'scenarios est'!F206</f>
        <v>#DIV/0!</v>
      </c>
      <c r="G44" s="226"/>
      <c r="H44" s="338"/>
      <c r="I44" s="338"/>
      <c r="J44" s="338"/>
      <c r="K44" s="226"/>
      <c r="L44" s="226"/>
      <c r="M44" s="226"/>
      <c r="N44" s="226"/>
      <c r="O44" s="226"/>
      <c r="P44" s="226"/>
      <c r="Q44" s="226"/>
      <c r="R44" s="226"/>
      <c r="S44" s="226"/>
      <c r="T44" s="226"/>
    </row>
    <row r="45" spans="1:124" x14ac:dyDescent="0.25">
      <c r="A45" s="206" t="s">
        <v>159</v>
      </c>
      <c r="B45" s="205" t="e">
        <f>C27</f>
        <v>#DIV/0!</v>
      </c>
      <c r="C45" s="129" t="e">
        <f>'scenarios est'!F215</f>
        <v>#DIV/0!</v>
      </c>
      <c r="D45" s="129" t="e">
        <f>'scenarios est'!F224</f>
        <v>#DIV/0!</v>
      </c>
      <c r="E45" s="129" t="e">
        <f>'scenarios est'!F233</f>
        <v>#DIV/0!</v>
      </c>
      <c r="F45" s="129" t="e">
        <f>'scenarios est'!F242</f>
        <v>#DIV/0!</v>
      </c>
      <c r="G45" s="226"/>
      <c r="H45" s="338"/>
      <c r="I45" s="338"/>
      <c r="J45" s="338"/>
      <c r="K45" s="226"/>
      <c r="L45" s="226"/>
      <c r="M45" s="226"/>
      <c r="N45" s="226"/>
      <c r="O45" s="226"/>
      <c r="P45" s="226"/>
      <c r="Q45" s="226"/>
      <c r="R45" s="226"/>
      <c r="S45" s="226"/>
      <c r="T45" s="226"/>
    </row>
    <row r="46" spans="1:124" x14ac:dyDescent="0.25">
      <c r="A46" s="226"/>
      <c r="B46" s="226"/>
      <c r="C46" s="226"/>
      <c r="D46" s="226"/>
      <c r="E46" s="226"/>
      <c r="F46" s="226"/>
      <c r="G46" s="226"/>
      <c r="H46" s="338"/>
      <c r="I46" s="338"/>
      <c r="J46" s="338"/>
      <c r="K46" s="226"/>
      <c r="L46" s="226"/>
      <c r="M46" s="226"/>
      <c r="N46" s="226"/>
      <c r="O46" s="226"/>
      <c r="P46" s="226"/>
      <c r="Q46" s="226"/>
      <c r="R46" s="226"/>
      <c r="S46" s="226"/>
      <c r="T46" s="226"/>
    </row>
    <row r="47" spans="1:124" x14ac:dyDescent="0.25">
      <c r="A47" s="226"/>
      <c r="B47" s="341" t="s">
        <v>318</v>
      </c>
      <c r="C47" s="341"/>
      <c r="D47" s="341"/>
      <c r="E47" s="341"/>
      <c r="F47" s="341"/>
      <c r="G47" s="226"/>
      <c r="H47" s="338"/>
      <c r="I47" s="338"/>
      <c r="J47" s="338"/>
      <c r="K47" s="226"/>
      <c r="L47" s="226"/>
      <c r="M47" s="226"/>
      <c r="N47" s="226"/>
      <c r="O47" s="226"/>
      <c r="P47" s="226"/>
      <c r="Q47" s="226"/>
      <c r="R47" s="226"/>
      <c r="S47" s="226"/>
      <c r="T47" s="226"/>
    </row>
    <row r="48" spans="1:124" x14ac:dyDescent="0.25">
      <c r="A48" s="226"/>
      <c r="B48" s="341" t="s">
        <v>134</v>
      </c>
      <c r="C48" s="341"/>
      <c r="D48" s="341"/>
      <c r="E48" s="341"/>
      <c r="F48" s="342"/>
      <c r="G48" s="226"/>
      <c r="H48" s="338"/>
      <c r="I48" s="338"/>
      <c r="J48" s="338"/>
      <c r="K48" s="226"/>
      <c r="L48" s="226"/>
      <c r="M48" s="226"/>
      <c r="N48" s="226"/>
      <c r="O48" s="226"/>
      <c r="P48" s="226"/>
      <c r="Q48" s="226"/>
      <c r="R48" s="226"/>
      <c r="S48" s="226"/>
      <c r="T48" s="226"/>
    </row>
    <row r="49" spans="1:20" x14ac:dyDescent="0.25">
      <c r="A49" s="226"/>
      <c r="B49" s="209" t="str">
        <f>CONCATENATE(TEXT(B14,"#,0%")," (base)")</f>
        <v>0% (base)</v>
      </c>
      <c r="C49" s="210">
        <f>sCo_1</f>
        <v>0.05</v>
      </c>
      <c r="D49" s="210">
        <f>sCo_2</f>
        <v>0.1</v>
      </c>
      <c r="E49" s="210">
        <f>sCo_3</f>
        <v>0.15</v>
      </c>
      <c r="F49" s="210">
        <f>sCo_4</f>
        <v>0.2</v>
      </c>
      <c r="G49" s="226"/>
      <c r="H49" s="338"/>
      <c r="I49" s="338"/>
      <c r="J49" s="338"/>
      <c r="K49" s="226"/>
      <c r="L49" s="226"/>
      <c r="M49" s="226"/>
      <c r="N49" s="226"/>
      <c r="O49" s="226"/>
      <c r="P49" s="226"/>
      <c r="Q49" s="226"/>
      <c r="R49" s="226"/>
      <c r="S49" s="226"/>
      <c r="T49" s="226"/>
    </row>
    <row r="50" spans="1:20" x14ac:dyDescent="0.25">
      <c r="A50" s="206" t="s">
        <v>330</v>
      </c>
      <c r="B50" s="192">
        <f>G14</f>
        <v>0</v>
      </c>
      <c r="C50" s="42" t="e">
        <f>G15</f>
        <v>#DIV/0!</v>
      </c>
      <c r="D50" s="42" t="e">
        <f>G16</f>
        <v>#DIV/0!</v>
      </c>
      <c r="E50" s="42" t="e">
        <f>G17</f>
        <v>#DIV/0!</v>
      </c>
      <c r="F50" s="42" t="e">
        <f>G18</f>
        <v>#DIV/0!</v>
      </c>
      <c r="G50" s="226"/>
      <c r="H50" s="338"/>
      <c r="I50" s="338"/>
      <c r="J50" s="338"/>
      <c r="K50" s="226"/>
      <c r="L50" s="226"/>
      <c r="M50" s="226"/>
      <c r="N50" s="226"/>
      <c r="O50" s="226"/>
      <c r="P50" s="226"/>
      <c r="Q50" s="226"/>
      <c r="R50" s="226"/>
      <c r="S50" s="226"/>
      <c r="T50" s="226"/>
    </row>
    <row r="51" spans="1:20" x14ac:dyDescent="0.25">
      <c r="A51" s="206" t="s">
        <v>156</v>
      </c>
      <c r="B51" s="192" t="e">
        <f>F24</f>
        <v>#DIV/0!</v>
      </c>
      <c r="C51" s="42" t="e">
        <f>'scenarios est'!I107</f>
        <v>#DIV/0!</v>
      </c>
      <c r="D51" s="42" t="e">
        <f>'scenarios est'!I116</f>
        <v>#DIV/0!</v>
      </c>
      <c r="E51" s="42" t="e">
        <f>'scenarios est'!I125</f>
        <v>#DIV/0!</v>
      </c>
      <c r="F51" s="42" t="e">
        <f>'scenarios est'!I134</f>
        <v>#DIV/0!</v>
      </c>
      <c r="G51" s="226"/>
      <c r="H51" s="338"/>
      <c r="I51" s="338"/>
      <c r="J51" s="338"/>
      <c r="K51" s="226"/>
      <c r="L51" s="226"/>
      <c r="M51" s="226"/>
      <c r="N51" s="226"/>
      <c r="O51" s="226"/>
      <c r="P51" s="226"/>
      <c r="Q51" s="226"/>
      <c r="R51" s="226"/>
      <c r="S51" s="226"/>
      <c r="T51" s="226"/>
    </row>
    <row r="52" spans="1:20" x14ac:dyDescent="0.25">
      <c r="A52" s="206" t="s">
        <v>157</v>
      </c>
      <c r="B52" s="192" t="e">
        <f>F25</f>
        <v>#DIV/0!</v>
      </c>
      <c r="C52" s="42" t="e">
        <f>'scenarios est'!I143</f>
        <v>#DIV/0!</v>
      </c>
      <c r="D52" s="42" t="e">
        <f>'scenarios est'!I152</f>
        <v>#DIV/0!</v>
      </c>
      <c r="E52" s="42" t="e">
        <f>'scenarios est'!I161</f>
        <v>#DIV/0!</v>
      </c>
      <c r="F52" s="42" t="e">
        <f>'scenarios est'!I170</f>
        <v>#DIV/0!</v>
      </c>
      <c r="G52" s="226"/>
      <c r="H52" s="338"/>
      <c r="I52" s="338"/>
      <c r="J52" s="338"/>
      <c r="K52" s="226"/>
      <c r="L52" s="226"/>
      <c r="M52" s="226"/>
      <c r="N52" s="226"/>
      <c r="O52" s="226"/>
      <c r="P52" s="226"/>
      <c r="Q52" s="226"/>
      <c r="R52" s="226"/>
      <c r="S52" s="226"/>
      <c r="T52" s="226"/>
    </row>
    <row r="53" spans="1:20" x14ac:dyDescent="0.25">
      <c r="A53" s="206" t="s">
        <v>158</v>
      </c>
      <c r="B53" s="192" t="e">
        <f>F26</f>
        <v>#DIV/0!</v>
      </c>
      <c r="C53" s="42" t="e">
        <f>'scenarios est'!I179</f>
        <v>#DIV/0!</v>
      </c>
      <c r="D53" s="42" t="e">
        <f>'scenarios est'!I188</f>
        <v>#DIV/0!</v>
      </c>
      <c r="E53" s="42" t="e">
        <f>'scenarios est'!I197</f>
        <v>#DIV/0!</v>
      </c>
      <c r="F53" s="42" t="e">
        <f>'scenarios est'!I206</f>
        <v>#DIV/0!</v>
      </c>
      <c r="G53" s="226"/>
      <c r="H53" s="338"/>
      <c r="I53" s="338"/>
      <c r="J53" s="338"/>
      <c r="K53" s="226"/>
      <c r="L53" s="226"/>
      <c r="M53" s="226"/>
      <c r="N53" s="226"/>
      <c r="O53" s="226"/>
      <c r="P53" s="226"/>
      <c r="Q53" s="226"/>
      <c r="R53" s="226"/>
      <c r="S53" s="226"/>
      <c r="T53" s="226"/>
    </row>
    <row r="54" spans="1:20" x14ac:dyDescent="0.25">
      <c r="A54" s="206" t="s">
        <v>159</v>
      </c>
      <c r="B54" s="192" t="e">
        <f>F27</f>
        <v>#DIV/0!</v>
      </c>
      <c r="C54" s="42" t="e">
        <f>'scenarios est'!I215</f>
        <v>#DIV/0!</v>
      </c>
      <c r="D54" s="42" t="e">
        <f>'scenarios est'!I224</f>
        <v>#DIV/0!</v>
      </c>
      <c r="E54" s="42" t="e">
        <f>'scenarios est'!I233</f>
        <v>#DIV/0!</v>
      </c>
      <c r="F54" s="42" t="e">
        <f>'scenarios est'!I242</f>
        <v>#DIV/0!</v>
      </c>
      <c r="G54" s="226"/>
      <c r="H54" s="338"/>
      <c r="I54" s="338"/>
      <c r="J54" s="338"/>
      <c r="K54" s="226"/>
      <c r="L54" s="226"/>
      <c r="M54" s="226"/>
      <c r="N54" s="226"/>
      <c r="O54" s="226"/>
      <c r="P54" s="226"/>
      <c r="Q54" s="226"/>
      <c r="R54" s="226"/>
      <c r="S54" s="226"/>
      <c r="T54" s="226"/>
    </row>
    <row r="55" spans="1:20" x14ac:dyDescent="0.25">
      <c r="A55" s="226"/>
      <c r="B55" s="226"/>
      <c r="C55" s="226"/>
      <c r="D55" s="226"/>
      <c r="E55" s="226"/>
      <c r="F55" s="226"/>
      <c r="G55" s="226"/>
      <c r="H55" s="338"/>
      <c r="I55" s="338"/>
      <c r="J55" s="338"/>
      <c r="K55" s="226"/>
      <c r="L55" s="226"/>
      <c r="M55" s="226"/>
      <c r="N55" s="226"/>
      <c r="O55" s="226"/>
      <c r="P55" s="226"/>
      <c r="Q55" s="226"/>
      <c r="R55" s="226"/>
      <c r="S55" s="226"/>
      <c r="T55" s="226"/>
    </row>
    <row r="56" spans="1:20" x14ac:dyDescent="0.25">
      <c r="A56" s="226"/>
      <c r="B56" s="341" t="s">
        <v>319</v>
      </c>
      <c r="C56" s="341"/>
      <c r="D56" s="341"/>
      <c r="E56" s="341"/>
      <c r="F56" s="341"/>
      <c r="G56" s="226"/>
      <c r="H56" s="226"/>
      <c r="I56" s="226"/>
      <c r="J56" s="226"/>
      <c r="K56" s="226"/>
      <c r="L56" s="226"/>
      <c r="M56" s="226"/>
      <c r="N56" s="226"/>
      <c r="O56" s="226"/>
      <c r="P56" s="226"/>
      <c r="Q56" s="226"/>
      <c r="R56" s="226"/>
      <c r="S56" s="226"/>
      <c r="T56" s="226"/>
    </row>
    <row r="57" spans="1:20" x14ac:dyDescent="0.25">
      <c r="A57" s="226"/>
      <c r="B57" s="341" t="s">
        <v>134</v>
      </c>
      <c r="C57" s="341"/>
      <c r="D57" s="341"/>
      <c r="E57" s="341"/>
      <c r="F57" s="342"/>
      <c r="G57" s="226"/>
      <c r="H57" s="226"/>
      <c r="I57" s="226"/>
      <c r="J57" s="226"/>
      <c r="K57" s="226"/>
      <c r="L57" s="226"/>
      <c r="M57" s="226"/>
      <c r="N57" s="226"/>
      <c r="O57" s="226"/>
      <c r="P57" s="226"/>
      <c r="Q57" s="226"/>
      <c r="R57" s="226"/>
      <c r="S57" s="226"/>
      <c r="T57" s="226"/>
    </row>
    <row r="58" spans="1:20" x14ac:dyDescent="0.25">
      <c r="A58" s="226"/>
      <c r="B58" s="209" t="str">
        <f>CONCATENATE(TEXT(B14,"#,0%")," (base)")</f>
        <v>0% (base)</v>
      </c>
      <c r="C58" s="210">
        <f>sCo_1</f>
        <v>0.05</v>
      </c>
      <c r="D58" s="210">
        <f>sCo_2</f>
        <v>0.1</v>
      </c>
      <c r="E58" s="210">
        <f>sCo_3</f>
        <v>0.15</v>
      </c>
      <c r="F58" s="210">
        <f>sCo_4</f>
        <v>0.2</v>
      </c>
      <c r="G58" s="226"/>
      <c r="H58" s="226"/>
      <c r="I58" s="226"/>
      <c r="J58" s="226"/>
      <c r="K58" s="226"/>
      <c r="L58" s="226"/>
      <c r="M58" s="226"/>
      <c r="N58" s="226"/>
      <c r="O58" s="226"/>
      <c r="P58" s="226"/>
      <c r="Q58" s="226"/>
      <c r="R58" s="226"/>
      <c r="S58" s="226"/>
      <c r="T58" s="226"/>
    </row>
    <row r="59" spans="1:20" x14ac:dyDescent="0.25">
      <c r="A59" s="206" t="s">
        <v>330</v>
      </c>
      <c r="B59" s="192" t="e">
        <f>J23</f>
        <v>#DIV/0!</v>
      </c>
      <c r="C59" s="31" t="e">
        <f>K15</f>
        <v>#DIV/0!</v>
      </c>
      <c r="D59" s="31" t="e">
        <f>K16</f>
        <v>#DIV/0!</v>
      </c>
      <c r="E59" s="31" t="e">
        <f>K17</f>
        <v>#DIV/0!</v>
      </c>
      <c r="F59" s="31" t="e">
        <f>K18</f>
        <v>#DIV/0!</v>
      </c>
      <c r="G59" s="226"/>
      <c r="H59" s="226"/>
      <c r="I59" s="226"/>
      <c r="J59" s="346" t="s">
        <v>294</v>
      </c>
      <c r="K59" s="346"/>
      <c r="S59" s="226"/>
      <c r="T59" s="226"/>
    </row>
    <row r="60" spans="1:20" x14ac:dyDescent="0.25">
      <c r="A60" s="206" t="s">
        <v>156</v>
      </c>
      <c r="B60" s="192" t="e">
        <f>J24</f>
        <v>#DIV/0!</v>
      </c>
      <c r="C60" s="192" t="e">
        <f>'scenarios est'!M107</f>
        <v>#DIV/0!</v>
      </c>
      <c r="D60" s="42" t="e">
        <f>'scenarios est'!M116</f>
        <v>#DIV/0!</v>
      </c>
      <c r="E60" s="42" t="e">
        <f>'scenarios est'!M125</f>
        <v>#DIV/0!</v>
      </c>
      <c r="F60" s="42" t="e">
        <f>'scenarios est'!M134</f>
        <v>#DIV/0!</v>
      </c>
      <c r="G60" s="226"/>
      <c r="H60" s="226"/>
      <c r="I60" s="226"/>
      <c r="J60" s="347" t="s">
        <v>44</v>
      </c>
      <c r="K60" s="347"/>
      <c r="S60" s="226"/>
      <c r="T60" s="226"/>
    </row>
    <row r="61" spans="1:20" x14ac:dyDescent="0.25">
      <c r="A61" s="206" t="s">
        <v>157</v>
      </c>
      <c r="B61" s="192" t="e">
        <f>J25</f>
        <v>#DIV/0!</v>
      </c>
      <c r="C61" s="192" t="e">
        <f>'scenarios est'!M143</f>
        <v>#DIV/0!</v>
      </c>
      <c r="D61" s="42" t="e">
        <f>'scenarios est'!M152</f>
        <v>#DIV/0!</v>
      </c>
      <c r="E61" s="42" t="e">
        <f>'scenarios est'!M161</f>
        <v>#DIV/0!</v>
      </c>
      <c r="F61" s="42" t="e">
        <f>'scenarios est'!M170</f>
        <v>#DIV/0!</v>
      </c>
      <c r="G61" s="226"/>
      <c r="H61" s="226"/>
      <c r="I61" s="226"/>
      <c r="J61" s="226"/>
      <c r="K61" s="226"/>
      <c r="L61" s="226"/>
      <c r="M61" s="226"/>
      <c r="N61" s="226"/>
      <c r="O61" s="226"/>
      <c r="P61" s="226"/>
      <c r="Q61" s="226"/>
      <c r="R61" s="226"/>
      <c r="S61" s="226"/>
      <c r="T61" s="226"/>
    </row>
    <row r="62" spans="1:20" x14ac:dyDescent="0.25">
      <c r="A62" s="206" t="s">
        <v>158</v>
      </c>
      <c r="B62" s="192" t="e">
        <f>J26</f>
        <v>#DIV/0!</v>
      </c>
      <c r="C62" s="192" t="e">
        <f>'scenarios est'!M179</f>
        <v>#DIV/0!</v>
      </c>
      <c r="D62" s="42" t="e">
        <f>'scenarios est'!M188</f>
        <v>#DIV/0!</v>
      </c>
      <c r="E62" s="42" t="e">
        <f>'scenarios est'!M197</f>
        <v>#DIV/0!</v>
      </c>
      <c r="F62" s="42" t="e">
        <f>'scenarios est'!M206</f>
        <v>#DIV/0!</v>
      </c>
      <c r="G62" s="226"/>
      <c r="H62" s="226"/>
      <c r="I62" s="226"/>
      <c r="J62" s="226"/>
      <c r="K62" s="226"/>
      <c r="L62" s="226"/>
      <c r="M62" s="226"/>
      <c r="N62" s="226"/>
      <c r="O62" s="226"/>
      <c r="P62" s="226"/>
      <c r="Q62" s="226"/>
      <c r="R62" s="226"/>
      <c r="S62" s="226"/>
      <c r="T62" s="226"/>
    </row>
    <row r="63" spans="1:20" x14ac:dyDescent="0.25">
      <c r="A63" s="206" t="s">
        <v>159</v>
      </c>
      <c r="B63" s="192" t="e">
        <f>J27</f>
        <v>#DIV/0!</v>
      </c>
      <c r="C63" s="192" t="e">
        <f>'scenarios est'!M215</f>
        <v>#DIV/0!</v>
      </c>
      <c r="D63" s="42" t="e">
        <f>'scenarios est'!M224</f>
        <v>#DIV/0!</v>
      </c>
      <c r="E63" s="42" t="e">
        <f>'scenarios est'!M233</f>
        <v>#DIV/0!</v>
      </c>
      <c r="F63" s="42" t="e">
        <f>'scenarios est'!M242</f>
        <v>#DIV/0!</v>
      </c>
      <c r="G63" s="226"/>
      <c r="H63" s="226"/>
      <c r="I63" s="226"/>
      <c r="J63" s="226"/>
      <c r="K63" s="226"/>
      <c r="L63" s="226"/>
      <c r="M63" s="226"/>
      <c r="N63" s="226"/>
      <c r="O63" s="226"/>
      <c r="P63" s="226"/>
      <c r="Q63" s="226"/>
      <c r="R63" s="226"/>
      <c r="S63" s="226"/>
      <c r="T63" s="226"/>
    </row>
    <row r="64" spans="1:20" x14ac:dyDescent="0.25">
      <c r="A64" s="226"/>
      <c r="B64" s="226"/>
      <c r="C64" s="226"/>
      <c r="D64" s="226"/>
      <c r="E64" s="226"/>
      <c r="F64" s="226"/>
      <c r="G64" s="226"/>
      <c r="H64" s="226"/>
      <c r="I64" s="226"/>
      <c r="J64" s="226"/>
      <c r="K64" s="226"/>
      <c r="L64" s="226"/>
      <c r="M64" s="226"/>
      <c r="N64" s="226"/>
      <c r="O64" s="226"/>
      <c r="P64" s="226"/>
      <c r="Q64" s="226"/>
      <c r="R64" s="226"/>
      <c r="S64" s="226"/>
      <c r="T64" s="226"/>
    </row>
    <row r="65" spans="1:20" x14ac:dyDescent="0.25">
      <c r="A65" s="226"/>
      <c r="B65" s="341" t="s">
        <v>320</v>
      </c>
      <c r="C65" s="341"/>
      <c r="D65" s="341"/>
      <c r="E65" s="341"/>
      <c r="F65" s="341"/>
      <c r="G65" s="226"/>
      <c r="H65" s="226"/>
      <c r="I65" s="226"/>
      <c r="J65" s="226"/>
      <c r="K65" s="226"/>
      <c r="L65" s="226"/>
      <c r="M65" s="226"/>
      <c r="N65" s="226"/>
      <c r="O65" s="226"/>
      <c r="P65" s="226"/>
      <c r="Q65" s="226"/>
      <c r="R65" s="226"/>
      <c r="S65" s="226"/>
      <c r="T65" s="226"/>
    </row>
    <row r="66" spans="1:20" x14ac:dyDescent="0.25">
      <c r="A66" s="226"/>
      <c r="B66" s="341" t="s">
        <v>134</v>
      </c>
      <c r="C66" s="341"/>
      <c r="D66" s="341"/>
      <c r="E66" s="341"/>
      <c r="F66" s="342"/>
      <c r="G66" s="226"/>
      <c r="H66" s="226"/>
      <c r="I66" s="226"/>
      <c r="J66" s="226"/>
      <c r="K66" s="226"/>
      <c r="L66" s="226"/>
      <c r="M66" s="226"/>
      <c r="N66" s="226"/>
      <c r="O66" s="226"/>
      <c r="P66" s="226"/>
      <c r="Q66" s="226"/>
      <c r="R66" s="226"/>
      <c r="S66" s="226"/>
      <c r="T66" s="226"/>
    </row>
    <row r="67" spans="1:20" x14ac:dyDescent="0.25">
      <c r="A67" s="226"/>
      <c r="B67" s="209" t="str">
        <f>CONCATENATE(TEXT(B23,"#,0%")," (base)")</f>
        <v>0% (base)</v>
      </c>
      <c r="C67" s="210">
        <f>sCo_1</f>
        <v>0.05</v>
      </c>
      <c r="D67" s="210">
        <f>sCo_2</f>
        <v>0.1</v>
      </c>
      <c r="E67" s="210">
        <f>sCo_3</f>
        <v>0.15</v>
      </c>
      <c r="F67" s="210">
        <f>sCo_4</f>
        <v>0.2</v>
      </c>
      <c r="G67" s="226"/>
      <c r="H67" s="226"/>
      <c r="I67" s="226"/>
      <c r="J67" s="226"/>
      <c r="K67" s="226"/>
      <c r="L67" s="226"/>
      <c r="M67" s="226"/>
      <c r="N67" s="226"/>
      <c r="O67" s="226"/>
      <c r="P67" s="226"/>
      <c r="Q67" s="226"/>
      <c r="R67" s="226"/>
      <c r="S67" s="226"/>
      <c r="T67" s="226"/>
    </row>
    <row r="68" spans="1:20" x14ac:dyDescent="0.25">
      <c r="A68" s="206" t="s">
        <v>330</v>
      </c>
      <c r="B68" s="192" t="e">
        <f>B59-B50</f>
        <v>#DIV/0!</v>
      </c>
      <c r="C68" s="42" t="e">
        <f>C59-C50</f>
        <v>#DIV/0!</v>
      </c>
      <c r="D68" s="42" t="e">
        <f>D59-D50</f>
        <v>#DIV/0!</v>
      </c>
      <c r="E68" s="42" t="e">
        <f>E59-E50</f>
        <v>#DIV/0!</v>
      </c>
      <c r="F68" s="42" t="e">
        <f>F59-F50</f>
        <v>#DIV/0!</v>
      </c>
      <c r="G68" s="226"/>
      <c r="H68" s="226"/>
      <c r="I68" s="226"/>
      <c r="J68" s="226"/>
      <c r="K68" s="226"/>
      <c r="L68" s="226"/>
      <c r="M68" s="226"/>
      <c r="N68" s="226"/>
      <c r="O68" s="226"/>
      <c r="P68" s="226"/>
      <c r="Q68" s="226"/>
      <c r="R68" s="226"/>
      <c r="S68" s="226"/>
      <c r="T68" s="226"/>
    </row>
    <row r="69" spans="1:20" x14ac:dyDescent="0.25">
      <c r="A69" s="206" t="s">
        <v>156</v>
      </c>
      <c r="B69" s="192" t="e">
        <f t="shared" ref="B69:F72" si="1">B60-B51</f>
        <v>#DIV/0!</v>
      </c>
      <c r="C69" s="42" t="e">
        <f t="shared" si="1"/>
        <v>#DIV/0!</v>
      </c>
      <c r="D69" s="42" t="e">
        <f t="shared" si="1"/>
        <v>#DIV/0!</v>
      </c>
      <c r="E69" s="42" t="e">
        <f t="shared" si="1"/>
        <v>#DIV/0!</v>
      </c>
      <c r="F69" s="42" t="e">
        <f t="shared" si="1"/>
        <v>#DIV/0!</v>
      </c>
      <c r="G69" s="226"/>
      <c r="H69" s="226"/>
      <c r="I69" s="226"/>
      <c r="J69" s="226"/>
      <c r="K69" s="226"/>
      <c r="L69" s="226"/>
      <c r="M69" s="226"/>
      <c r="N69" s="226"/>
      <c r="O69" s="226"/>
      <c r="P69" s="226"/>
      <c r="Q69" s="226"/>
      <c r="R69" s="226"/>
      <c r="S69" s="226"/>
      <c r="T69" s="226"/>
    </row>
    <row r="70" spans="1:20" x14ac:dyDescent="0.25">
      <c r="A70" s="206" t="s">
        <v>157</v>
      </c>
      <c r="B70" s="192" t="e">
        <f t="shared" si="1"/>
        <v>#DIV/0!</v>
      </c>
      <c r="C70" s="42" t="e">
        <f t="shared" si="1"/>
        <v>#DIV/0!</v>
      </c>
      <c r="D70" s="42" t="e">
        <f t="shared" si="1"/>
        <v>#DIV/0!</v>
      </c>
      <c r="E70" s="42" t="e">
        <f t="shared" si="1"/>
        <v>#DIV/0!</v>
      </c>
      <c r="F70" s="42" t="e">
        <f t="shared" si="1"/>
        <v>#DIV/0!</v>
      </c>
      <c r="G70" s="226"/>
      <c r="H70" s="226"/>
      <c r="I70" s="226"/>
      <c r="J70" s="226"/>
      <c r="K70" s="226"/>
      <c r="L70" s="226"/>
      <c r="M70" s="226"/>
      <c r="N70" s="226"/>
      <c r="O70" s="226"/>
      <c r="P70" s="226"/>
      <c r="Q70" s="226"/>
      <c r="R70" s="226"/>
      <c r="S70" s="226"/>
      <c r="T70" s="226"/>
    </row>
    <row r="71" spans="1:20" x14ac:dyDescent="0.25">
      <c r="A71" s="206" t="s">
        <v>158</v>
      </c>
      <c r="B71" s="192" t="e">
        <f t="shared" si="1"/>
        <v>#DIV/0!</v>
      </c>
      <c r="C71" s="42" t="e">
        <f t="shared" si="1"/>
        <v>#DIV/0!</v>
      </c>
      <c r="D71" s="42" t="e">
        <f t="shared" si="1"/>
        <v>#DIV/0!</v>
      </c>
      <c r="E71" s="42" t="e">
        <f t="shared" si="1"/>
        <v>#DIV/0!</v>
      </c>
      <c r="F71" s="42" t="e">
        <f t="shared" si="1"/>
        <v>#DIV/0!</v>
      </c>
      <c r="G71" s="226"/>
      <c r="H71" s="226"/>
      <c r="I71" s="226"/>
      <c r="J71" s="226"/>
      <c r="K71" s="226"/>
      <c r="L71" s="226"/>
      <c r="M71" s="226"/>
      <c r="N71" s="226"/>
      <c r="O71" s="226"/>
      <c r="P71" s="226"/>
      <c r="Q71" s="226"/>
      <c r="R71" s="226"/>
      <c r="S71" s="226"/>
      <c r="T71" s="226"/>
    </row>
    <row r="72" spans="1:20" x14ac:dyDescent="0.25">
      <c r="A72" s="206" t="s">
        <v>159</v>
      </c>
      <c r="B72" s="192" t="e">
        <f t="shared" si="1"/>
        <v>#DIV/0!</v>
      </c>
      <c r="C72" s="42" t="e">
        <f t="shared" si="1"/>
        <v>#DIV/0!</v>
      </c>
      <c r="D72" s="42" t="e">
        <f t="shared" si="1"/>
        <v>#DIV/0!</v>
      </c>
      <c r="E72" s="42" t="e">
        <f t="shared" si="1"/>
        <v>#DIV/0!</v>
      </c>
      <c r="F72" s="42" t="e">
        <f t="shared" si="1"/>
        <v>#DIV/0!</v>
      </c>
      <c r="G72" s="226"/>
      <c r="H72" s="226"/>
      <c r="I72" s="226"/>
      <c r="J72" s="226"/>
      <c r="K72" s="226"/>
      <c r="L72" s="226"/>
      <c r="M72" s="226"/>
      <c r="N72" s="226"/>
      <c r="O72" s="226"/>
      <c r="P72" s="226"/>
      <c r="Q72" s="226"/>
      <c r="R72" s="226"/>
      <c r="S72" s="226"/>
      <c r="T72" s="226"/>
    </row>
    <row r="73" spans="1:20" x14ac:dyDescent="0.25">
      <c r="A73" s="226"/>
      <c r="B73" s="226"/>
      <c r="C73" s="226"/>
      <c r="D73" s="226"/>
      <c r="E73" s="226"/>
      <c r="F73" s="226"/>
      <c r="G73" s="226"/>
      <c r="H73" s="226"/>
      <c r="I73" s="226"/>
      <c r="J73" s="226"/>
      <c r="K73" s="226"/>
      <c r="L73" s="226"/>
      <c r="M73" s="226"/>
      <c r="N73" s="226"/>
      <c r="O73" s="226"/>
      <c r="P73" s="226"/>
      <c r="Q73" s="226"/>
      <c r="R73" s="226"/>
      <c r="S73" s="226"/>
      <c r="T73" s="226"/>
    </row>
    <row r="74" spans="1:20" x14ac:dyDescent="0.25">
      <c r="A74" s="226"/>
      <c r="B74" s="226"/>
      <c r="C74" s="226"/>
      <c r="D74" s="226"/>
      <c r="E74" s="226"/>
      <c r="F74" s="226"/>
      <c r="G74" s="226"/>
      <c r="H74" s="226"/>
      <c r="I74" s="226"/>
      <c r="J74" s="226"/>
      <c r="K74" s="226"/>
      <c r="L74" s="226"/>
      <c r="M74" s="226"/>
      <c r="N74" s="226"/>
      <c r="O74" s="226"/>
      <c r="P74" s="226"/>
      <c r="Q74" s="226"/>
      <c r="R74" s="226"/>
      <c r="S74" s="226"/>
      <c r="T74" s="226"/>
    </row>
    <row r="75" spans="1:20" x14ac:dyDescent="0.25">
      <c r="A75" s="226"/>
      <c r="B75" s="226"/>
      <c r="C75" s="226"/>
      <c r="D75" s="226"/>
      <c r="E75" s="226"/>
      <c r="F75" s="226"/>
      <c r="G75" s="226"/>
      <c r="H75" s="226"/>
      <c r="I75" s="226"/>
      <c r="J75" s="226"/>
      <c r="K75" s="226"/>
      <c r="L75" s="226"/>
      <c r="M75" s="226"/>
      <c r="N75" s="226"/>
      <c r="O75" s="226"/>
      <c r="P75" s="226"/>
      <c r="Q75" s="226"/>
      <c r="R75" s="226"/>
      <c r="S75" s="226"/>
      <c r="T75" s="226"/>
    </row>
    <row r="76" spans="1:20" x14ac:dyDescent="0.25">
      <c r="A76" s="226"/>
      <c r="B76" s="226"/>
      <c r="C76" s="226"/>
      <c r="D76" s="226"/>
      <c r="E76" s="226"/>
      <c r="F76" s="226"/>
      <c r="G76" s="226"/>
      <c r="H76" s="226"/>
      <c r="I76" s="226"/>
      <c r="J76" s="226"/>
      <c r="K76" s="226"/>
      <c r="L76" s="226"/>
      <c r="M76" s="226"/>
      <c r="N76" s="226"/>
      <c r="O76" s="226"/>
      <c r="P76" s="226"/>
      <c r="Q76" s="226"/>
      <c r="R76" s="226"/>
      <c r="S76" s="226"/>
      <c r="T76" s="226"/>
    </row>
    <row r="77" spans="1:20" x14ac:dyDescent="0.25">
      <c r="A77" s="226"/>
      <c r="B77" s="226"/>
      <c r="C77" s="226"/>
      <c r="D77" s="226"/>
      <c r="E77" s="226"/>
      <c r="F77" s="226"/>
      <c r="G77" s="226"/>
      <c r="H77" s="226"/>
      <c r="I77" s="226"/>
      <c r="J77" s="226"/>
      <c r="K77" s="226"/>
      <c r="L77" s="226"/>
      <c r="M77" s="226"/>
      <c r="N77" s="226"/>
      <c r="O77" s="226"/>
      <c r="P77" s="226"/>
      <c r="Q77" s="226"/>
      <c r="R77" s="226"/>
      <c r="S77" s="226"/>
      <c r="T77" s="226"/>
    </row>
    <row r="78" spans="1:20" x14ac:dyDescent="0.25">
      <c r="A78" s="226"/>
      <c r="B78" s="226"/>
      <c r="C78" s="226"/>
      <c r="D78" s="226"/>
      <c r="E78" s="226"/>
      <c r="F78" s="226"/>
      <c r="G78" s="226"/>
      <c r="H78" s="226"/>
      <c r="I78" s="226"/>
      <c r="J78" s="226"/>
      <c r="K78" s="226" t="str">
        <f>CONCATENATE("Prevented fraction by influenza vaccine with diferent coverage and deployment strategies. ",Input!E4,", ","season ",season)</f>
        <v xml:space="preserve">Prevented fraction by influenza vaccine with diferent coverage and deployment strategies. Country X, season </v>
      </c>
      <c r="L78" s="226"/>
      <c r="M78" s="226"/>
      <c r="N78" s="226"/>
      <c r="O78" s="226"/>
      <c r="P78" s="226"/>
      <c r="Q78" s="226"/>
      <c r="R78" s="226"/>
      <c r="S78" s="226"/>
      <c r="T78" s="226"/>
    </row>
    <row r="79" spans="1:20" x14ac:dyDescent="0.25">
      <c r="A79" s="226"/>
      <c r="B79" s="226"/>
      <c r="C79" s="226"/>
      <c r="D79" s="226"/>
      <c r="E79" s="226"/>
      <c r="F79" s="226"/>
      <c r="G79" s="226"/>
      <c r="H79" s="226"/>
      <c r="I79" s="226"/>
      <c r="J79" s="226"/>
      <c r="K79" s="226" t="str">
        <f>CONCATENATE(J60," averted by influenza vaccine with diferent coverage and deployment strategies. ",Input!E4,", ",season,".")</f>
        <v>Hospitalized infections averted by influenza vaccine with diferent coverage and deployment strategies. Country X, .</v>
      </c>
      <c r="L79" s="226"/>
      <c r="M79" s="226"/>
      <c r="N79" s="226"/>
      <c r="O79" s="226"/>
      <c r="P79" s="226"/>
      <c r="Q79" s="226"/>
      <c r="R79" s="226"/>
      <c r="S79" s="226"/>
      <c r="T79" s="226"/>
    </row>
    <row r="80" spans="1:20" x14ac:dyDescent="0.25">
      <c r="A80" s="226"/>
      <c r="B80" s="226"/>
      <c r="C80" s="226"/>
      <c r="D80" s="226"/>
      <c r="E80" s="226"/>
      <c r="F80" s="226"/>
      <c r="G80" s="226"/>
      <c r="H80" s="226"/>
      <c r="I80" s="226"/>
      <c r="J80" s="226"/>
      <c r="K80" s="226"/>
      <c r="L80" s="226"/>
      <c r="M80" s="226"/>
      <c r="N80" s="226"/>
      <c r="O80" s="226"/>
      <c r="P80" s="226"/>
      <c r="Q80" s="226"/>
      <c r="R80" s="226"/>
      <c r="S80" s="226"/>
      <c r="T80" s="226"/>
    </row>
    <row r="81" spans="1:20" x14ac:dyDescent="0.25">
      <c r="A81" s="226"/>
      <c r="B81" s="226"/>
      <c r="C81" s="226"/>
      <c r="D81" s="226"/>
      <c r="E81" s="226"/>
      <c r="F81" s="226"/>
      <c r="G81" s="226"/>
      <c r="H81" s="226"/>
      <c r="I81" s="226"/>
      <c r="J81" s="226"/>
      <c r="K81" s="226"/>
      <c r="L81" s="226"/>
      <c r="M81" s="226"/>
      <c r="N81" s="226"/>
      <c r="O81" s="226"/>
      <c r="P81" s="226"/>
      <c r="Q81" s="226"/>
      <c r="R81" s="226"/>
      <c r="S81" s="226"/>
      <c r="T81" s="226"/>
    </row>
    <row r="82" spans="1:20" x14ac:dyDescent="0.25">
      <c r="A82" s="226"/>
      <c r="B82" s="226"/>
      <c r="C82" s="226"/>
      <c r="D82" s="226"/>
      <c r="E82" s="226"/>
      <c r="F82" s="226"/>
      <c r="G82" s="226"/>
      <c r="H82" s="226"/>
      <c r="I82" s="226"/>
      <c r="J82" s="226"/>
      <c r="K82" s="226"/>
      <c r="L82" s="226"/>
      <c r="M82" s="226"/>
      <c r="N82" s="226"/>
      <c r="O82" s="226"/>
      <c r="P82" s="226"/>
      <c r="Q82" s="226"/>
      <c r="R82" s="226"/>
      <c r="S82" s="226"/>
      <c r="T82" s="226"/>
    </row>
    <row r="83" spans="1:20" x14ac:dyDescent="0.25">
      <c r="A83" s="226"/>
      <c r="B83" s="226"/>
      <c r="C83" s="226"/>
      <c r="D83" s="226"/>
      <c r="E83" s="226"/>
      <c r="F83" s="226"/>
      <c r="G83" s="226"/>
      <c r="H83" s="226"/>
      <c r="I83" s="226"/>
      <c r="J83" s="226"/>
      <c r="K83" s="226"/>
      <c r="L83" s="226"/>
      <c r="M83" s="226"/>
      <c r="N83" s="226"/>
      <c r="O83" s="226"/>
      <c r="P83" s="226"/>
      <c r="Q83" s="226"/>
      <c r="R83" s="226"/>
      <c r="S83" s="226"/>
      <c r="T83" s="226"/>
    </row>
    <row r="84" spans="1:20" x14ac:dyDescent="0.25">
      <c r="A84" s="226"/>
      <c r="B84" s="226"/>
      <c r="C84" s="226"/>
      <c r="D84" s="226"/>
      <c r="E84" s="226"/>
      <c r="F84" s="226"/>
      <c r="G84" s="226"/>
      <c r="H84" s="226"/>
      <c r="I84" s="226"/>
      <c r="J84" s="226"/>
      <c r="K84" s="226"/>
      <c r="L84" s="226"/>
      <c r="M84" s="226"/>
      <c r="N84" s="226"/>
      <c r="O84" s="226"/>
      <c r="P84" s="226"/>
      <c r="Q84" s="226"/>
      <c r="R84" s="226"/>
      <c r="S84" s="226"/>
      <c r="T84" s="226"/>
    </row>
    <row r="85" spans="1:20" x14ac:dyDescent="0.25">
      <c r="A85" s="226"/>
      <c r="B85" s="226"/>
      <c r="C85" s="226"/>
      <c r="D85" s="226"/>
      <c r="E85" s="226"/>
      <c r="F85" s="226"/>
      <c r="G85" s="226"/>
      <c r="H85" s="226"/>
      <c r="I85" s="226"/>
      <c r="J85" s="226"/>
      <c r="K85" s="226"/>
      <c r="L85" s="226"/>
      <c r="M85" s="226"/>
      <c r="N85" s="226"/>
      <c r="O85" s="226"/>
      <c r="P85" s="226"/>
      <c r="Q85" s="226"/>
      <c r="R85" s="226"/>
      <c r="S85" s="226"/>
      <c r="T85" s="226"/>
    </row>
    <row r="88" spans="1:20" x14ac:dyDescent="0.25">
      <c r="A88" s="29" t="s">
        <v>377</v>
      </c>
    </row>
    <row r="89" spans="1:20" x14ac:dyDescent="0.25">
      <c r="A89" s="336" t="s">
        <v>378</v>
      </c>
      <c r="B89" s="336"/>
      <c r="C89" s="336"/>
      <c r="D89" s="336"/>
      <c r="E89" s="336"/>
      <c r="F89" s="336" t="s">
        <v>147</v>
      </c>
      <c r="G89" s="336"/>
      <c r="H89" s="336"/>
      <c r="I89" s="336"/>
      <c r="J89" s="336"/>
      <c r="K89" s="336" t="s">
        <v>376</v>
      </c>
      <c r="L89" s="336"/>
      <c r="M89" s="336"/>
      <c r="N89" s="336"/>
      <c r="O89" s="336"/>
    </row>
    <row r="90" spans="1:20" x14ac:dyDescent="0.25">
      <c r="A90" t="s">
        <v>331</v>
      </c>
      <c r="B90" t="s">
        <v>379</v>
      </c>
      <c r="C90" t="s">
        <v>380</v>
      </c>
      <c r="D90" t="s">
        <v>381</v>
      </c>
      <c r="E90" t="s">
        <v>382</v>
      </c>
      <c r="F90" t="s">
        <v>331</v>
      </c>
      <c r="G90" t="s">
        <v>379</v>
      </c>
      <c r="H90" t="s">
        <v>380</v>
      </c>
      <c r="I90" t="s">
        <v>381</v>
      </c>
      <c r="J90" t="s">
        <v>382</v>
      </c>
      <c r="K90" t="s">
        <v>331</v>
      </c>
      <c r="L90" t="s">
        <v>379</v>
      </c>
      <c r="M90" t="s">
        <v>380</v>
      </c>
      <c r="N90" t="s">
        <v>381</v>
      </c>
      <c r="O90" t="s">
        <v>382</v>
      </c>
    </row>
    <row r="91" spans="1:20" x14ac:dyDescent="0.25">
      <c r="A91" s="289" t="str">
        <f>B41</f>
        <v>Fail</v>
      </c>
      <c r="B91" s="289" t="e">
        <f>B42</f>
        <v>#DIV/0!</v>
      </c>
      <c r="C91" s="289" t="e">
        <f>B43</f>
        <v>#DIV/0!</v>
      </c>
      <c r="D91" s="289" t="e">
        <f>B44</f>
        <v>#DIV/0!</v>
      </c>
      <c r="E91" s="289" t="e">
        <f>B45</f>
        <v>#DIV/0!</v>
      </c>
      <c r="F91" s="31">
        <f>B50</f>
        <v>0</v>
      </c>
      <c r="G91" s="31" t="e">
        <f>B51</f>
        <v>#DIV/0!</v>
      </c>
      <c r="H91" s="31" t="e">
        <f>B52</f>
        <v>#DIV/0!</v>
      </c>
      <c r="I91" s="31" t="e">
        <f>B53</f>
        <v>#DIV/0!</v>
      </c>
      <c r="J91" s="31" t="e">
        <f>B54</f>
        <v>#DIV/0!</v>
      </c>
      <c r="K91" s="31" t="e">
        <f>B59</f>
        <v>#DIV/0!</v>
      </c>
      <c r="L91" s="31" t="e">
        <f>B60</f>
        <v>#DIV/0!</v>
      </c>
      <c r="M91" s="31" t="e">
        <f>B61</f>
        <v>#DIV/0!</v>
      </c>
      <c r="N91" s="31" t="e">
        <f>B62</f>
        <v>#DIV/0!</v>
      </c>
      <c r="O91" s="31" t="e">
        <f>B63</f>
        <v>#DIV/0!</v>
      </c>
    </row>
  </sheetData>
  <mergeCells count="34">
    <mergeCell ref="O4:P4"/>
    <mergeCell ref="Q4:R4"/>
    <mergeCell ref="E12:F12"/>
    <mergeCell ref="G12:H12"/>
    <mergeCell ref="I12:J12"/>
    <mergeCell ref="K12:L12"/>
    <mergeCell ref="K4:L4"/>
    <mergeCell ref="M4:N4"/>
    <mergeCell ref="E4:F4"/>
    <mergeCell ref="B56:F56"/>
    <mergeCell ref="B48:F48"/>
    <mergeCell ref="B66:F66"/>
    <mergeCell ref="J21:K21"/>
    <mergeCell ref="B39:F39"/>
    <mergeCell ref="B38:F38"/>
    <mergeCell ref="J59:K59"/>
    <mergeCell ref="J60:K60"/>
    <mergeCell ref="B65:F65"/>
    <mergeCell ref="K89:O89"/>
    <mergeCell ref="A89:E89"/>
    <mergeCell ref="F89:J89"/>
    <mergeCell ref="A1:R1"/>
    <mergeCell ref="N13:R18"/>
    <mergeCell ref="B30:K33"/>
    <mergeCell ref="A36:C36"/>
    <mergeCell ref="H39:J55"/>
    <mergeCell ref="H21:I21"/>
    <mergeCell ref="B57:F57"/>
    <mergeCell ref="A11:C11"/>
    <mergeCell ref="A20:C20"/>
    <mergeCell ref="A3:C3"/>
    <mergeCell ref="D21:E21"/>
    <mergeCell ref="F21:G21"/>
    <mergeCell ref="B47:F47"/>
  </mergeCells>
  <phoneticPr fontId="8" type="noConversion"/>
  <dataValidations count="1">
    <dataValidation type="list" allowBlank="1" showInputMessage="1" showErrorMessage="1" sqref="J60" xr:uid="{82AD4A42-4E91-4B55-80A5-249585A812D2}">
      <formula1>$Z$38:$Z$40</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6B6B8-EB7F-4496-8E62-B46D069A8FE3}">
  <sheetPr>
    <tabColor rgb="FF92D050"/>
  </sheetPr>
  <dimension ref="A1:BR14"/>
  <sheetViews>
    <sheetView workbookViewId="0">
      <selection activeCell="D22" sqref="D22"/>
    </sheetView>
  </sheetViews>
  <sheetFormatPr defaultColWidth="8.85546875" defaultRowHeight="15" x14ac:dyDescent="0.25"/>
  <cols>
    <col min="1" max="70" width="15.85546875" customWidth="1"/>
  </cols>
  <sheetData>
    <row r="1" spans="1:70" x14ac:dyDescent="0.2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row>
    <row r="2" spans="1:70" s="105" customFormat="1" ht="24" customHeight="1" x14ac:dyDescent="0.25">
      <c r="A2" s="239" t="s">
        <v>332</v>
      </c>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row>
    <row r="3" spans="1:70" x14ac:dyDescent="0.25">
      <c r="A3" s="182" t="s">
        <v>195</v>
      </c>
      <c r="B3" s="182" t="s">
        <v>196</v>
      </c>
      <c r="C3" s="182" t="s">
        <v>197</v>
      </c>
      <c r="D3" s="182" t="s">
        <v>198</v>
      </c>
      <c r="E3" s="182" t="s">
        <v>199</v>
      </c>
      <c r="F3" s="182" t="s">
        <v>200</v>
      </c>
      <c r="G3" s="182" t="s">
        <v>201</v>
      </c>
      <c r="H3" s="182" t="s">
        <v>202</v>
      </c>
      <c r="I3" s="182" t="s">
        <v>203</v>
      </c>
      <c r="J3" s="182" t="s">
        <v>204</v>
      </c>
      <c r="K3" s="182" t="s">
        <v>205</v>
      </c>
      <c r="L3" s="182" t="s">
        <v>206</v>
      </c>
      <c r="M3" s="182" t="s">
        <v>207</v>
      </c>
      <c r="N3" s="182" t="s">
        <v>208</v>
      </c>
      <c r="O3" s="182" t="s">
        <v>209</v>
      </c>
      <c r="P3" s="182" t="s">
        <v>210</v>
      </c>
      <c r="Q3" s="182" t="s">
        <v>211</v>
      </c>
      <c r="R3" s="182" t="s">
        <v>212</v>
      </c>
      <c r="S3" s="182" t="s">
        <v>213</v>
      </c>
      <c r="T3" s="182" t="s">
        <v>214</v>
      </c>
      <c r="U3" s="182" t="s">
        <v>215</v>
      </c>
      <c r="V3" s="182" t="s">
        <v>216</v>
      </c>
      <c r="W3" s="182" t="s">
        <v>217</v>
      </c>
      <c r="X3" s="182" t="s">
        <v>218</v>
      </c>
      <c r="Y3" s="182" t="s">
        <v>219</v>
      </c>
      <c r="Z3" s="182" t="s">
        <v>220</v>
      </c>
      <c r="AA3" s="182" t="s">
        <v>221</v>
      </c>
      <c r="AB3" s="182" t="s">
        <v>222</v>
      </c>
      <c r="AC3" s="182" t="s">
        <v>223</v>
      </c>
      <c r="AD3" s="182" t="s">
        <v>224</v>
      </c>
      <c r="AE3" s="182" t="s">
        <v>225</v>
      </c>
      <c r="AF3" s="182" t="s">
        <v>226</v>
      </c>
      <c r="AG3" s="182" t="s">
        <v>227</v>
      </c>
      <c r="AH3" s="182" t="s">
        <v>228</v>
      </c>
      <c r="AI3" s="182" t="s">
        <v>229</v>
      </c>
      <c r="AJ3" s="182" t="s">
        <v>230</v>
      </c>
      <c r="AK3" s="182" t="s">
        <v>231</v>
      </c>
      <c r="AL3" s="182" t="s">
        <v>232</v>
      </c>
      <c r="AM3" s="182" t="s">
        <v>233</v>
      </c>
      <c r="AN3" s="182" t="s">
        <v>234</v>
      </c>
      <c r="AO3" s="182" t="s">
        <v>235</v>
      </c>
      <c r="AP3" s="182" t="s">
        <v>236</v>
      </c>
      <c r="AQ3" s="182" t="s">
        <v>237</v>
      </c>
      <c r="AR3" s="182" t="s">
        <v>238</v>
      </c>
      <c r="AS3" s="182" t="s">
        <v>239</v>
      </c>
      <c r="AT3" s="182" t="s">
        <v>240</v>
      </c>
      <c r="AU3" s="182" t="s">
        <v>241</v>
      </c>
      <c r="AV3" s="182" t="s">
        <v>242</v>
      </c>
      <c r="AW3" s="182" t="s">
        <v>243</v>
      </c>
      <c r="AX3" s="182" t="s">
        <v>244</v>
      </c>
      <c r="AY3" s="182" t="s">
        <v>245</v>
      </c>
      <c r="AZ3" s="182" t="s">
        <v>246</v>
      </c>
      <c r="BA3" s="182" t="s">
        <v>247</v>
      </c>
      <c r="BB3" s="182" t="s">
        <v>248</v>
      </c>
      <c r="BC3" s="182" t="s">
        <v>249</v>
      </c>
      <c r="BD3" s="182" t="s">
        <v>250</v>
      </c>
      <c r="BE3" s="182" t="s">
        <v>251</v>
      </c>
      <c r="BF3" s="182" t="s">
        <v>252</v>
      </c>
      <c r="BG3" s="182" t="s">
        <v>253</v>
      </c>
      <c r="BH3" s="182" t="s">
        <v>254</v>
      </c>
      <c r="BI3" s="182" t="s">
        <v>255</v>
      </c>
      <c r="BJ3" s="182" t="s">
        <v>256</v>
      </c>
      <c r="BK3" s="182" t="s">
        <v>257</v>
      </c>
      <c r="BL3" s="182" t="s">
        <v>258</v>
      </c>
      <c r="BM3" s="182" t="s">
        <v>259</v>
      </c>
      <c r="BN3" s="182" t="s">
        <v>260</v>
      </c>
      <c r="BO3" s="182" t="s">
        <v>261</v>
      </c>
      <c r="BP3" s="182" t="s">
        <v>262</v>
      </c>
      <c r="BQ3" s="182" t="s">
        <v>263</v>
      </c>
      <c r="BR3" s="182" t="s">
        <v>264</v>
      </c>
    </row>
    <row r="5" spans="1:70" x14ac:dyDescent="0.25">
      <c r="A5" s="226"/>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row>
    <row r="6" spans="1:70" x14ac:dyDescent="0.25">
      <c r="A6" s="226"/>
      <c r="B6" s="226"/>
      <c r="C6" s="226"/>
      <c r="D6" s="226"/>
      <c r="E6" s="226"/>
      <c r="F6" s="226"/>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row>
    <row r="7" spans="1:70" ht="15.75" x14ac:dyDescent="0.25">
      <c r="A7" s="226"/>
      <c r="B7" s="275" t="s">
        <v>349</v>
      </c>
      <c r="C7" s="226"/>
      <c r="D7" s="226"/>
      <c r="E7" s="226"/>
      <c r="F7" s="226"/>
      <c r="G7" s="226"/>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row>
    <row r="8" spans="1:70" x14ac:dyDescent="0.25">
      <c r="A8" s="226"/>
      <c r="B8" s="226"/>
      <c r="C8" s="226"/>
      <c r="D8" s="226"/>
      <c r="E8" s="226"/>
      <c r="F8" s="226"/>
      <c r="G8" s="226"/>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row>
    <row r="9" spans="1:70" x14ac:dyDescent="0.25">
      <c r="A9" s="226"/>
      <c r="B9" s="318" t="s">
        <v>392</v>
      </c>
      <c r="C9" s="318"/>
      <c r="D9" s="318"/>
      <c r="E9" s="318"/>
      <c r="F9" s="318"/>
      <c r="G9" s="318"/>
      <c r="H9" s="318"/>
      <c r="I9" s="318"/>
      <c r="J9" s="318"/>
      <c r="K9" s="318"/>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row>
    <row r="10" spans="1:70" x14ac:dyDescent="0.25">
      <c r="A10" s="226"/>
      <c r="B10" s="318"/>
      <c r="C10" s="318"/>
      <c r="D10" s="318"/>
      <c r="E10" s="318"/>
      <c r="F10" s="318"/>
      <c r="G10" s="318"/>
      <c r="H10" s="318"/>
      <c r="I10" s="318"/>
      <c r="J10" s="318"/>
      <c r="K10" s="318"/>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row>
    <row r="11" spans="1:70" x14ac:dyDescent="0.25">
      <c r="A11" s="226"/>
      <c r="B11" s="318"/>
      <c r="C11" s="318"/>
      <c r="D11" s="318"/>
      <c r="E11" s="318"/>
      <c r="F11" s="318"/>
      <c r="G11" s="318"/>
      <c r="H11" s="318"/>
      <c r="I11" s="318"/>
      <c r="J11" s="318"/>
      <c r="K11" s="318"/>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row>
    <row r="12" spans="1:70" x14ac:dyDescent="0.25">
      <c r="A12" s="226"/>
      <c r="B12" s="318"/>
      <c r="C12" s="318"/>
      <c r="D12" s="318"/>
      <c r="E12" s="318"/>
      <c r="F12" s="318"/>
      <c r="G12" s="318"/>
      <c r="H12" s="318"/>
      <c r="I12" s="318"/>
      <c r="J12" s="318"/>
      <c r="K12" s="318"/>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row>
    <row r="13" spans="1:70" x14ac:dyDescent="0.25">
      <c r="A13" s="226"/>
      <c r="B13" s="318"/>
      <c r="C13" s="318"/>
      <c r="D13" s="318"/>
      <c r="E13" s="318"/>
      <c r="F13" s="318"/>
      <c r="G13" s="318"/>
      <c r="H13" s="318"/>
      <c r="I13" s="318"/>
      <c r="J13" s="318"/>
      <c r="K13" s="318"/>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row>
    <row r="14" spans="1:70" x14ac:dyDescent="0.25">
      <c r="A14" s="226"/>
      <c r="B14" s="226"/>
      <c r="C14" s="226"/>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row>
  </sheetData>
  <mergeCells count="1">
    <mergeCell ref="B9:K1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3AA35-A03A-44A7-9806-A8AF536B6CAB}">
  <sheetPr>
    <tabColor theme="4" tint="-0.249977111117893"/>
  </sheetPr>
  <dimension ref="A1:AU153"/>
  <sheetViews>
    <sheetView topLeftCell="A40" zoomScale="70" zoomScaleNormal="70" workbookViewId="0">
      <selection activeCell="M53" sqref="M53"/>
    </sheetView>
  </sheetViews>
  <sheetFormatPr defaultColWidth="8.85546875" defaultRowHeight="15" x14ac:dyDescent="0.25"/>
  <cols>
    <col min="1" max="1" width="27.42578125" customWidth="1"/>
    <col min="2" max="2" width="13.85546875" customWidth="1"/>
    <col min="3" max="7" width="20.140625" customWidth="1"/>
    <col min="8" max="8" width="19.42578125" bestFit="1" customWidth="1"/>
    <col min="9" max="10" width="19.42578125" customWidth="1"/>
    <col min="11" max="11" width="18.42578125" customWidth="1"/>
    <col min="12" max="13" width="15.140625" customWidth="1"/>
    <col min="14" max="14" width="14.42578125" customWidth="1"/>
    <col min="15" max="15" width="13.85546875" customWidth="1"/>
    <col min="16" max="16" width="14.140625" customWidth="1"/>
    <col min="17" max="21" width="19.42578125" customWidth="1"/>
    <col min="22" max="22" width="11.140625" bestFit="1" customWidth="1"/>
    <col min="23" max="23" width="13.140625" customWidth="1"/>
    <col min="24" max="24" width="13.85546875" customWidth="1"/>
    <col min="25" max="27" width="14.85546875" customWidth="1"/>
    <col min="29" max="29" width="12.140625" bestFit="1" customWidth="1"/>
    <col min="30" max="32" width="12.140625" customWidth="1"/>
    <col min="38" max="38" width="16.28515625" customWidth="1"/>
    <col min="39" max="39" width="12.140625" customWidth="1"/>
    <col min="40" max="42" width="18.28515625" customWidth="1"/>
    <col min="43" max="46" width="17.28515625" customWidth="1"/>
    <col min="47" max="47" width="15.140625" customWidth="1"/>
  </cols>
  <sheetData>
    <row r="1" spans="1:47" ht="23.25" x14ac:dyDescent="0.25">
      <c r="A1" s="1" t="s">
        <v>65</v>
      </c>
      <c r="B1" s="2"/>
      <c r="C1" s="2"/>
      <c r="D1" s="2"/>
      <c r="E1" s="2"/>
      <c r="F1" s="2"/>
      <c r="G1" s="2"/>
      <c r="H1" s="2"/>
      <c r="I1" s="2"/>
      <c r="J1" s="2"/>
      <c r="K1" s="2"/>
      <c r="L1" s="2"/>
      <c r="M1" s="2"/>
      <c r="N1" s="2"/>
      <c r="O1" s="2"/>
      <c r="P1" s="2"/>
      <c r="Q1" s="2"/>
      <c r="R1" s="2"/>
      <c r="S1" s="2"/>
      <c r="T1" s="2"/>
      <c r="U1" s="2"/>
      <c r="V1" s="52"/>
      <c r="W1" s="52"/>
      <c r="X1" s="52"/>
      <c r="Y1" s="52"/>
    </row>
    <row r="2" spans="1:47" x14ac:dyDescent="0.25">
      <c r="A2" s="5"/>
      <c r="B2" s="3"/>
    </row>
    <row r="3" spans="1:47" x14ac:dyDescent="0.25">
      <c r="A3" s="4" t="s">
        <v>0</v>
      </c>
      <c r="B3" s="6"/>
      <c r="C3" s="6"/>
      <c r="D3" s="6"/>
      <c r="E3" s="6"/>
      <c r="F3" s="6"/>
      <c r="G3" s="6"/>
      <c r="H3" s="6"/>
      <c r="I3" s="6"/>
      <c r="J3" s="6"/>
      <c r="K3" s="6"/>
      <c r="L3" s="6"/>
      <c r="M3" s="6"/>
      <c r="N3" s="6"/>
      <c r="O3" s="6"/>
      <c r="P3" s="6"/>
      <c r="Q3" s="6"/>
      <c r="R3" s="6"/>
      <c r="S3" s="6"/>
      <c r="T3" s="6"/>
      <c r="U3" s="6"/>
      <c r="V3" s="53"/>
      <c r="W3" s="53"/>
      <c r="X3" s="53"/>
      <c r="Y3" s="53"/>
    </row>
    <row r="4" spans="1:47" ht="15" customHeight="1" x14ac:dyDescent="0.25">
      <c r="A4" s="7"/>
      <c r="B4" s="349" t="s">
        <v>103</v>
      </c>
      <c r="C4" s="350"/>
      <c r="D4" s="350"/>
      <c r="E4" s="350"/>
      <c r="F4" s="350"/>
      <c r="G4" s="350"/>
      <c r="H4" s="350"/>
      <c r="I4" s="351"/>
      <c r="J4" s="55"/>
      <c r="K4" s="56"/>
      <c r="L4" s="56"/>
      <c r="M4" s="80"/>
      <c r="N4" s="354" t="s">
        <v>19</v>
      </c>
      <c r="O4" s="355"/>
      <c r="P4" s="360" t="s">
        <v>60</v>
      </c>
      <c r="Q4" s="361"/>
      <c r="R4" s="361"/>
      <c r="S4" s="361"/>
      <c r="T4" s="361"/>
      <c r="U4" s="361"/>
      <c r="V4" s="361"/>
      <c r="W4" s="361"/>
      <c r="X4" s="361"/>
      <c r="Y4" s="361"/>
      <c r="AA4" s="357" t="s">
        <v>54</v>
      </c>
      <c r="AB4" s="358"/>
      <c r="AC4" s="358"/>
      <c r="AD4" s="359"/>
      <c r="AE4" s="352" t="s">
        <v>49</v>
      </c>
      <c r="AF4" s="353"/>
      <c r="AG4" s="352" t="s">
        <v>52</v>
      </c>
      <c r="AH4" s="356"/>
      <c r="AI4" s="356"/>
      <c r="AJ4" s="353"/>
    </row>
    <row r="5" spans="1:47" s="11" customFormat="1" ht="75.75" thickBot="1" x14ac:dyDescent="0.3">
      <c r="A5" s="8" t="s">
        <v>1</v>
      </c>
      <c r="B5" s="82" t="s">
        <v>6</v>
      </c>
      <c r="C5" s="63" t="s">
        <v>7</v>
      </c>
      <c r="D5" s="83" t="s">
        <v>8</v>
      </c>
      <c r="E5" s="64" t="s">
        <v>9</v>
      </c>
      <c r="F5" s="65" t="s">
        <v>58</v>
      </c>
      <c r="G5" s="65" t="s">
        <v>59</v>
      </c>
      <c r="H5" s="66" t="s">
        <v>45</v>
      </c>
      <c r="I5" s="66" t="s">
        <v>61</v>
      </c>
      <c r="J5" s="9" t="s">
        <v>3</v>
      </c>
      <c r="K5" s="9" t="s">
        <v>5</v>
      </c>
      <c r="L5" s="20" t="s">
        <v>14</v>
      </c>
      <c r="M5" s="21" t="s">
        <v>63</v>
      </c>
      <c r="N5" s="84" t="s">
        <v>13</v>
      </c>
      <c r="O5" s="84" t="s">
        <v>2</v>
      </c>
      <c r="P5" s="67" t="s">
        <v>64</v>
      </c>
      <c r="Q5" s="85" t="s">
        <v>6</v>
      </c>
      <c r="R5" s="10" t="s">
        <v>7</v>
      </c>
      <c r="S5" s="85" t="s">
        <v>8</v>
      </c>
      <c r="T5" s="10" t="s">
        <v>9</v>
      </c>
      <c r="U5" s="67" t="s">
        <v>10</v>
      </c>
      <c r="V5" s="10" t="s">
        <v>58</v>
      </c>
      <c r="W5" s="10" t="s">
        <v>59</v>
      </c>
      <c r="X5" s="54" t="s">
        <v>45</v>
      </c>
      <c r="Y5" s="54" t="s">
        <v>61</v>
      </c>
      <c r="AA5" s="44" t="s">
        <v>44</v>
      </c>
      <c r="AB5" s="44" t="s">
        <v>55</v>
      </c>
      <c r="AC5" s="44" t="s">
        <v>58</v>
      </c>
      <c r="AD5" s="44" t="s">
        <v>45</v>
      </c>
      <c r="AE5" s="44" t="s">
        <v>44</v>
      </c>
      <c r="AF5" s="44" t="s">
        <v>55</v>
      </c>
      <c r="AG5" s="44" t="s">
        <v>44</v>
      </c>
      <c r="AH5" s="44" t="s">
        <v>55</v>
      </c>
      <c r="AI5" s="44" t="s">
        <v>58</v>
      </c>
      <c r="AJ5" s="44" t="s">
        <v>45</v>
      </c>
      <c r="AL5" s="132" t="s">
        <v>145</v>
      </c>
      <c r="AM5" s="132" t="s">
        <v>146</v>
      </c>
      <c r="AN5" s="132" t="s">
        <v>3</v>
      </c>
      <c r="AO5" s="132" t="s">
        <v>5</v>
      </c>
      <c r="AP5" s="132" t="s">
        <v>14</v>
      </c>
      <c r="AQ5" s="132" t="s">
        <v>147</v>
      </c>
      <c r="AR5" s="132" t="s">
        <v>149</v>
      </c>
      <c r="AS5" s="132" t="s">
        <v>148</v>
      </c>
      <c r="AT5" s="132" t="s">
        <v>150</v>
      </c>
      <c r="AU5" s="132" t="s">
        <v>144</v>
      </c>
    </row>
    <row r="6" spans="1:47" ht="15.75" thickBot="1" x14ac:dyDescent="0.3">
      <c r="A6" s="15">
        <v>1</v>
      </c>
      <c r="B6" s="61">
        <f>IF(ScI=1,Input!I9,IF(ScI=2,TP*N6,0))</f>
        <v>0</v>
      </c>
      <c r="C6" s="61">
        <f>SUM(B$6:B6)</f>
        <v>0</v>
      </c>
      <c r="D6" s="62">
        <f>IF(ScI=1,B6*hnh,IF(ScI=2,TP*O6,0))</f>
        <v>0</v>
      </c>
      <c r="E6" s="62">
        <f>SUM(D$6:D6)</f>
        <v>0</v>
      </c>
      <c r="F6" s="62">
        <f>H6*mai</f>
        <v>0</v>
      </c>
      <c r="G6" s="62">
        <f>SUM(F$6:F6)</f>
        <v>0</v>
      </c>
      <c r="H6" s="62">
        <f>B6+D6</f>
        <v>0</v>
      </c>
      <c r="I6" s="62">
        <f>SUM(H$6:H6)</f>
        <v>0</v>
      </c>
      <c r="J6" s="57">
        <f>Input!E9</f>
        <v>0</v>
      </c>
      <c r="K6" s="13">
        <f>TP*J6*VE</f>
        <v>0</v>
      </c>
      <c r="L6" s="13">
        <f>SUM(K$6:K6)</f>
        <v>0</v>
      </c>
      <c r="M6" s="12">
        <f>TP-C6-E6-L6</f>
        <v>0</v>
      </c>
      <c r="N6" s="16" t="e">
        <f>IF(ScI=1,B6/TP,IF(ScI=2,Q6/P6,0))</f>
        <v>#DIV/0!</v>
      </c>
      <c r="O6" s="16" t="e">
        <f>IF(ScI=1,D6/TP,IF(ScI=2,S6/P6,0))</f>
        <v>#DIV/0!</v>
      </c>
      <c r="P6" s="12">
        <f>TP</f>
        <v>0</v>
      </c>
      <c r="Q6" s="14" t="e">
        <f>IF(ScI=1,P6*N6,IF(ScI=2,Input!I9,0))</f>
        <v>#DIV/0!</v>
      </c>
      <c r="R6" s="14" t="e">
        <f>SUM(Q$6:Q6)</f>
        <v>#DIV/0!</v>
      </c>
      <c r="S6" s="14" t="e">
        <f t="shared" ref="S6:S17" si="0">IF(ScI=1,P6*O6,IF(ScI=2,Q6*hnh,0))</f>
        <v>#DIV/0!</v>
      </c>
      <c r="T6" s="12" t="e">
        <f>SUM(S$6:S6)</f>
        <v>#DIV/0!</v>
      </c>
      <c r="U6" s="12" t="e">
        <f t="shared" ref="U6:U17" si="1">TP-R6-T6</f>
        <v>#DIV/0!</v>
      </c>
      <c r="V6" s="12" t="e">
        <f t="shared" ref="V6:V17" si="2">X6*mai</f>
        <v>#DIV/0!</v>
      </c>
      <c r="W6" s="12" t="e">
        <f>V6</f>
        <v>#DIV/0!</v>
      </c>
      <c r="X6" s="12" t="e">
        <f>Q6+S6</f>
        <v>#DIV/0!</v>
      </c>
      <c r="Y6" s="12" t="e">
        <f>X6</f>
        <v>#DIV/0!</v>
      </c>
      <c r="AA6" s="31" t="e">
        <f t="shared" ref="AA6:AA17" si="3">Q6-B6</f>
        <v>#DIV/0!</v>
      </c>
      <c r="AB6" s="31" t="e">
        <f t="shared" ref="AB6:AB17" si="4">S6-D6</f>
        <v>#DIV/0!</v>
      </c>
      <c r="AC6" s="31" t="e">
        <f>V6-F6</f>
        <v>#DIV/0!</v>
      </c>
      <c r="AD6" s="31" t="e">
        <f>X6-H6</f>
        <v>#DIV/0!</v>
      </c>
      <c r="AE6" s="48"/>
      <c r="AF6" s="48"/>
      <c r="AG6" s="48"/>
      <c r="AH6" s="48"/>
      <c r="AI6" s="48"/>
      <c r="AJ6" s="48"/>
      <c r="AL6" s="35" t="e">
        <f>IF(ScI=1,Q6/TP,0)</f>
        <v>#DIV/0!</v>
      </c>
      <c r="AM6" s="35" t="e">
        <f>IF(Scl=1,S6/TP,0)</f>
        <v>#DIV/0!</v>
      </c>
      <c r="AN6" s="117">
        <f>Co_1</f>
        <v>0</v>
      </c>
      <c r="AO6" s="35">
        <f t="shared" ref="AO6:AO17" si="5">TP*AN6*VE</f>
        <v>0</v>
      </c>
      <c r="AP6" s="35">
        <f>SUM(AO$6:AO6)</f>
        <v>0</v>
      </c>
      <c r="AQ6" s="35" t="e">
        <f>AL6*TP</f>
        <v>#DIV/0!</v>
      </c>
      <c r="AR6" s="35" t="e">
        <f>SUM(AQ$6:AQ6)</f>
        <v>#DIV/0!</v>
      </c>
      <c r="AS6" s="35" t="e">
        <f>AM6*TP</f>
        <v>#DIV/0!</v>
      </c>
      <c r="AT6" s="35" t="e">
        <f>SUM(AS$6:AS6)</f>
        <v>#DIV/0!</v>
      </c>
      <c r="AU6" s="35" t="e">
        <f t="shared" ref="AU6:AU17" si="6">TP-AR6-AT6-AP6</f>
        <v>#DIV/0!</v>
      </c>
    </row>
    <row r="7" spans="1:47" ht="15.75" thickBot="1" x14ac:dyDescent="0.3">
      <c r="A7" s="17">
        <v>2</v>
      </c>
      <c r="B7" s="61">
        <f>IF(ScI=1,Input!I10,IF(ScI=2,M6*N7,0))</f>
        <v>0</v>
      </c>
      <c r="C7" s="61">
        <f>SUM(B$6:B7)</f>
        <v>0</v>
      </c>
      <c r="D7" s="62">
        <f t="shared" ref="D7:D17" si="7">IF(ScI=1,B7*hnh,IF(ScI=2,M6*O7,0))</f>
        <v>0</v>
      </c>
      <c r="E7" s="62">
        <f>SUM(D$6:D7)</f>
        <v>0</v>
      </c>
      <c r="F7" s="62">
        <f t="shared" ref="F7:F17" si="8">H7*mai</f>
        <v>0</v>
      </c>
      <c r="G7" s="62">
        <f>SUM(F$6:F7)</f>
        <v>0</v>
      </c>
      <c r="H7" s="62">
        <f t="shared" ref="H7:H17" si="9">B7+D7</f>
        <v>0</v>
      </c>
      <c r="I7" s="62">
        <f>SUM(H$6:H7)</f>
        <v>0</v>
      </c>
      <c r="J7" s="57">
        <f>Input!E10</f>
        <v>0</v>
      </c>
      <c r="K7" s="13">
        <f>TP*J7*VE</f>
        <v>0</v>
      </c>
      <c r="L7" s="13">
        <f>SUM(K$6:K7)</f>
        <v>0</v>
      </c>
      <c r="M7" s="12">
        <f t="shared" ref="M7:M17" si="10">TP-C7-E7-L7</f>
        <v>0</v>
      </c>
      <c r="N7" s="16" t="e">
        <f t="shared" ref="N7:N17" si="11">IF(ScI=1,B7/M6,IF(ScI=2,Q7/P7,0))</f>
        <v>#DIV/0!</v>
      </c>
      <c r="O7" s="16" t="e">
        <f t="shared" ref="O7:O17" si="12">IF(ScI=1,D7/M6,IF(ScI=2,S7/P7,0))</f>
        <v>#DIV/0!</v>
      </c>
      <c r="P7" s="12" t="e">
        <f>U6</f>
        <v>#DIV/0!</v>
      </c>
      <c r="Q7" s="14" t="e">
        <f>IF(ScI=1,P7*N7,IF(ScI=2,Input!I10,0))</f>
        <v>#DIV/0!</v>
      </c>
      <c r="R7" s="14" t="e">
        <f>SUM(Q$6:Q7)</f>
        <v>#DIV/0!</v>
      </c>
      <c r="S7" s="14" t="e">
        <f t="shared" si="0"/>
        <v>#DIV/0!</v>
      </c>
      <c r="T7" s="12" t="e">
        <f>SUM(S$6:S7)</f>
        <v>#DIV/0!</v>
      </c>
      <c r="U7" s="12" t="e">
        <f t="shared" si="1"/>
        <v>#DIV/0!</v>
      </c>
      <c r="V7" s="12" t="e">
        <f t="shared" si="2"/>
        <v>#DIV/0!</v>
      </c>
      <c r="W7" s="12" t="e">
        <f>SUM(V$6:V7)</f>
        <v>#DIV/0!</v>
      </c>
      <c r="X7" s="12" t="e">
        <f t="shared" ref="X7:X17" si="13">Q7+S7</f>
        <v>#DIV/0!</v>
      </c>
      <c r="Y7" s="12" t="e">
        <f>SUM(X$6:X7)</f>
        <v>#DIV/0!</v>
      </c>
      <c r="AA7" s="31" t="e">
        <f t="shared" si="3"/>
        <v>#DIV/0!</v>
      </c>
      <c r="AB7" s="31" t="e">
        <f t="shared" si="4"/>
        <v>#DIV/0!</v>
      </c>
      <c r="AC7" s="31" t="e">
        <f t="shared" ref="AC7:AC17" si="14">V7-F7</f>
        <v>#DIV/0!</v>
      </c>
      <c r="AD7" s="31" t="e">
        <f>X7-H7</f>
        <v>#DIV/0!</v>
      </c>
      <c r="AE7" s="48"/>
      <c r="AF7" s="48"/>
      <c r="AG7" s="48"/>
      <c r="AH7" s="48"/>
      <c r="AI7" s="48"/>
      <c r="AJ7" s="48"/>
      <c r="AL7" s="35" t="e">
        <f t="shared" ref="AL7:AL17" si="15">IF(Scl=1,Q7/U6,0)</f>
        <v>#DIV/0!</v>
      </c>
      <c r="AM7" s="35" t="e">
        <f t="shared" ref="AM7:AM17" si="16">IF(Scl=1,S7/U6,0)</f>
        <v>#DIV/0!</v>
      </c>
      <c r="AN7" s="117">
        <f>Co_2</f>
        <v>0</v>
      </c>
      <c r="AO7" s="35">
        <f t="shared" si="5"/>
        <v>0</v>
      </c>
      <c r="AP7" s="35">
        <f>SUM(AO$6:AO7)</f>
        <v>0</v>
      </c>
      <c r="AQ7" s="35" t="e">
        <f>AL7*AU6</f>
        <v>#DIV/0!</v>
      </c>
      <c r="AR7" s="35" t="e">
        <f>SUM(AQ$6:AQ7)</f>
        <v>#DIV/0!</v>
      </c>
      <c r="AS7" s="35" t="e">
        <f>AM7*AU6</f>
        <v>#DIV/0!</v>
      </c>
      <c r="AT7" s="35" t="e">
        <f>SUM(AS$6:AS7)</f>
        <v>#DIV/0!</v>
      </c>
      <c r="AU7" s="35" t="e">
        <f t="shared" si="6"/>
        <v>#DIV/0!</v>
      </c>
    </row>
    <row r="8" spans="1:47" ht="15.75" thickBot="1" x14ac:dyDescent="0.3">
      <c r="A8" s="17">
        <v>3</v>
      </c>
      <c r="B8" s="61">
        <f>IF(ScI=1,Input!I11,IF(ScI=2,M7*N8,0))</f>
        <v>0</v>
      </c>
      <c r="C8" s="61">
        <f>SUM(B$6:B8)</f>
        <v>0</v>
      </c>
      <c r="D8" s="62">
        <f t="shared" si="7"/>
        <v>0</v>
      </c>
      <c r="E8" s="62">
        <f>SUM(D$6:D8)</f>
        <v>0</v>
      </c>
      <c r="F8" s="62">
        <f t="shared" si="8"/>
        <v>0</v>
      </c>
      <c r="G8" s="62">
        <f>SUM(F$6:F8)</f>
        <v>0</v>
      </c>
      <c r="H8" s="62">
        <f t="shared" si="9"/>
        <v>0</v>
      </c>
      <c r="I8" s="62">
        <f>SUM(H$6:H8)</f>
        <v>0</v>
      </c>
      <c r="J8" s="57">
        <f>Input!E11</f>
        <v>0</v>
      </c>
      <c r="K8" s="13">
        <f t="shared" ref="K8:K17" si="17">TP*J8*VE</f>
        <v>0</v>
      </c>
      <c r="L8" s="13">
        <f>SUM(K$6:K8)</f>
        <v>0</v>
      </c>
      <c r="M8" s="12">
        <f>TP-C8-E8-L8</f>
        <v>0</v>
      </c>
      <c r="N8" s="16" t="e">
        <f t="shared" si="11"/>
        <v>#DIV/0!</v>
      </c>
      <c r="O8" s="16" t="e">
        <f t="shared" si="12"/>
        <v>#DIV/0!</v>
      </c>
      <c r="P8" s="12" t="e">
        <f>U7</f>
        <v>#DIV/0!</v>
      </c>
      <c r="Q8" s="14" t="e">
        <f>IF(ScI=1,P8*N8,IF(ScI=2,Input!I11,0))</f>
        <v>#DIV/0!</v>
      </c>
      <c r="R8" s="14" t="e">
        <f>SUM(Q$6:Q8)</f>
        <v>#DIV/0!</v>
      </c>
      <c r="S8" s="87" t="e">
        <f>IF(ScI=1,P8*O8,IF(ScI=2,Q8*hnh,0))</f>
        <v>#DIV/0!</v>
      </c>
      <c r="T8" s="12" t="e">
        <f>SUM(S$6:S8)</f>
        <v>#DIV/0!</v>
      </c>
      <c r="U8" s="12" t="e">
        <f t="shared" si="1"/>
        <v>#DIV/0!</v>
      </c>
      <c r="V8" s="12" t="e">
        <f t="shared" si="2"/>
        <v>#DIV/0!</v>
      </c>
      <c r="W8" s="12" t="e">
        <f>SUM(V$6:V8)</f>
        <v>#DIV/0!</v>
      </c>
      <c r="X8" s="12" t="e">
        <f t="shared" si="13"/>
        <v>#DIV/0!</v>
      </c>
      <c r="Y8" s="12" t="e">
        <f>SUM(X$6:X8)</f>
        <v>#DIV/0!</v>
      </c>
      <c r="AA8" s="31" t="e">
        <f t="shared" si="3"/>
        <v>#DIV/0!</v>
      </c>
      <c r="AB8" s="31" t="e">
        <f>S8-D8</f>
        <v>#DIV/0!</v>
      </c>
      <c r="AC8" s="31" t="e">
        <f t="shared" si="14"/>
        <v>#DIV/0!</v>
      </c>
      <c r="AD8" s="31" t="e">
        <f t="shared" ref="AD8:AD17" si="18">X8-H8</f>
        <v>#DIV/0!</v>
      </c>
      <c r="AE8" s="48"/>
      <c r="AF8" s="48"/>
      <c r="AG8" s="48"/>
      <c r="AH8" s="48"/>
      <c r="AI8" s="48"/>
      <c r="AJ8" s="48"/>
      <c r="AL8" s="35" t="e">
        <f t="shared" si="15"/>
        <v>#DIV/0!</v>
      </c>
      <c r="AM8" s="35" t="e">
        <f t="shared" si="16"/>
        <v>#DIV/0!</v>
      </c>
      <c r="AN8" s="117">
        <f>Co_3</f>
        <v>0</v>
      </c>
      <c r="AO8" s="35">
        <f t="shared" si="5"/>
        <v>0</v>
      </c>
      <c r="AP8" s="35">
        <f>SUM(AO$6:AO8)</f>
        <v>0</v>
      </c>
      <c r="AQ8" s="35" t="e">
        <f t="shared" ref="AQ8:AQ17" si="19">AL8*AU7</f>
        <v>#DIV/0!</v>
      </c>
      <c r="AR8" s="35" t="e">
        <f>SUM(AQ$6:AQ8)</f>
        <v>#DIV/0!</v>
      </c>
      <c r="AS8" s="35" t="e">
        <f>AM8*AU7</f>
        <v>#DIV/0!</v>
      </c>
      <c r="AT8" s="35" t="e">
        <f>SUM(AS$6:AS8)</f>
        <v>#DIV/0!</v>
      </c>
      <c r="AU8" s="35" t="e">
        <f t="shared" si="6"/>
        <v>#DIV/0!</v>
      </c>
    </row>
    <row r="9" spans="1:47" ht="15.75" thickBot="1" x14ac:dyDescent="0.3">
      <c r="A9" s="17">
        <v>4</v>
      </c>
      <c r="B9" s="61">
        <f>IF(ScI=1,Input!I12,IF(ScI=2,M8*N9,0))</f>
        <v>0</v>
      </c>
      <c r="C9" s="61">
        <f>SUM(B$6:B9)</f>
        <v>0</v>
      </c>
      <c r="D9" s="62">
        <f t="shared" si="7"/>
        <v>0</v>
      </c>
      <c r="E9" s="62">
        <f>SUM(D$6:D9)</f>
        <v>0</v>
      </c>
      <c r="F9" s="62">
        <f t="shared" si="8"/>
        <v>0</v>
      </c>
      <c r="G9" s="62">
        <f>SUM(F$6:F9)</f>
        <v>0</v>
      </c>
      <c r="H9" s="62">
        <f t="shared" si="9"/>
        <v>0</v>
      </c>
      <c r="I9" s="62">
        <f>SUM(H$6:H9)</f>
        <v>0</v>
      </c>
      <c r="J9" s="57">
        <f>Input!E12</f>
        <v>0</v>
      </c>
      <c r="K9" s="13">
        <f t="shared" si="17"/>
        <v>0</v>
      </c>
      <c r="L9" s="13">
        <f>SUM(K$6:K9)</f>
        <v>0</v>
      </c>
      <c r="M9" s="12">
        <f t="shared" si="10"/>
        <v>0</v>
      </c>
      <c r="N9" s="16" t="e">
        <f t="shared" si="11"/>
        <v>#DIV/0!</v>
      </c>
      <c r="O9" s="16" t="e">
        <f t="shared" si="12"/>
        <v>#DIV/0!</v>
      </c>
      <c r="P9" s="12" t="e">
        <f t="shared" ref="P9:P17" si="20">U8</f>
        <v>#DIV/0!</v>
      </c>
      <c r="Q9" s="14" t="e">
        <f>IF(ScI=1,P9*N9,IF(ScI=2,Input!I12,0))</f>
        <v>#DIV/0!</v>
      </c>
      <c r="R9" s="14" t="e">
        <f>SUM(Q$6:Q9)</f>
        <v>#DIV/0!</v>
      </c>
      <c r="S9" s="14" t="e">
        <f t="shared" si="0"/>
        <v>#DIV/0!</v>
      </c>
      <c r="T9" s="12" t="e">
        <f>SUM(S$6:S9)</f>
        <v>#DIV/0!</v>
      </c>
      <c r="U9" s="12" t="e">
        <f t="shared" si="1"/>
        <v>#DIV/0!</v>
      </c>
      <c r="V9" s="12" t="e">
        <f t="shared" si="2"/>
        <v>#DIV/0!</v>
      </c>
      <c r="W9" s="12" t="e">
        <f>SUM(V$6:V9)</f>
        <v>#DIV/0!</v>
      </c>
      <c r="X9" s="12" t="e">
        <f t="shared" si="13"/>
        <v>#DIV/0!</v>
      </c>
      <c r="Y9" s="12" t="e">
        <f>SUM(X$6:X9)</f>
        <v>#DIV/0!</v>
      </c>
      <c r="AA9" s="31" t="e">
        <f t="shared" si="3"/>
        <v>#DIV/0!</v>
      </c>
      <c r="AB9" s="31" t="e">
        <f t="shared" si="4"/>
        <v>#DIV/0!</v>
      </c>
      <c r="AC9" s="31" t="e">
        <f t="shared" si="14"/>
        <v>#DIV/0!</v>
      </c>
      <c r="AD9" s="31" t="e">
        <f t="shared" si="18"/>
        <v>#DIV/0!</v>
      </c>
      <c r="AE9" s="48"/>
      <c r="AF9" s="48"/>
      <c r="AG9" s="48"/>
      <c r="AH9" s="48"/>
      <c r="AI9" s="48"/>
      <c r="AJ9" s="48"/>
      <c r="AL9" s="35" t="e">
        <f t="shared" si="15"/>
        <v>#DIV/0!</v>
      </c>
      <c r="AM9" s="35" t="e">
        <f t="shared" si="16"/>
        <v>#DIV/0!</v>
      </c>
      <c r="AN9" s="117">
        <f>Co_4</f>
        <v>0</v>
      </c>
      <c r="AO9" s="35">
        <f t="shared" si="5"/>
        <v>0</v>
      </c>
      <c r="AP9" s="35">
        <f>SUM(AO$6:AO9)</f>
        <v>0</v>
      </c>
      <c r="AQ9" s="35" t="e">
        <f>AL9*AU8</f>
        <v>#DIV/0!</v>
      </c>
      <c r="AR9" s="35" t="e">
        <f>SUM(AQ$6:AQ9)</f>
        <v>#DIV/0!</v>
      </c>
      <c r="AS9" s="35" t="e">
        <f t="shared" ref="AS9:AS17" si="21">AM9*AU8</f>
        <v>#DIV/0!</v>
      </c>
      <c r="AT9" s="35" t="e">
        <f>SUM(AS$6:AS9)</f>
        <v>#DIV/0!</v>
      </c>
      <c r="AU9" s="35" t="e">
        <f t="shared" si="6"/>
        <v>#DIV/0!</v>
      </c>
    </row>
    <row r="10" spans="1:47" ht="15.75" thickBot="1" x14ac:dyDescent="0.3">
      <c r="A10" s="17">
        <v>5</v>
      </c>
      <c r="B10" s="61">
        <f>IF(ScI=1,Input!I13,IF(ScI=2,M9*N10,0))</f>
        <v>0</v>
      </c>
      <c r="C10" s="61">
        <f>SUM(B$6:B10)</f>
        <v>0</v>
      </c>
      <c r="D10" s="62">
        <f t="shared" si="7"/>
        <v>0</v>
      </c>
      <c r="E10" s="62">
        <f>SUM(D$6:D10)</f>
        <v>0</v>
      </c>
      <c r="F10" s="62">
        <f t="shared" si="8"/>
        <v>0</v>
      </c>
      <c r="G10" s="62">
        <f>SUM(F$6:F10)</f>
        <v>0</v>
      </c>
      <c r="H10" s="62">
        <f t="shared" si="9"/>
        <v>0</v>
      </c>
      <c r="I10" s="62">
        <f>SUM(H$6:H10)</f>
        <v>0</v>
      </c>
      <c r="J10" s="57">
        <f>Input!E13</f>
        <v>0</v>
      </c>
      <c r="K10" s="13">
        <f t="shared" si="17"/>
        <v>0</v>
      </c>
      <c r="L10" s="13">
        <f>SUM(K$6:K10)</f>
        <v>0</v>
      </c>
      <c r="M10" s="12">
        <f t="shared" si="10"/>
        <v>0</v>
      </c>
      <c r="N10" s="16" t="e">
        <f t="shared" si="11"/>
        <v>#DIV/0!</v>
      </c>
      <c r="O10" s="16" t="e">
        <f t="shared" si="12"/>
        <v>#DIV/0!</v>
      </c>
      <c r="P10" s="12" t="e">
        <f t="shared" si="20"/>
        <v>#DIV/0!</v>
      </c>
      <c r="Q10" s="14" t="e">
        <f>IF(ScI=1,P10*N10,IF(ScI=2,Input!I13,0))</f>
        <v>#DIV/0!</v>
      </c>
      <c r="R10" s="14" t="e">
        <f>SUM(Q$6:Q10)</f>
        <v>#DIV/0!</v>
      </c>
      <c r="S10" s="14" t="e">
        <f t="shared" si="0"/>
        <v>#DIV/0!</v>
      </c>
      <c r="T10" s="12" t="e">
        <f>SUM(S$6:S10)</f>
        <v>#DIV/0!</v>
      </c>
      <c r="U10" s="12" t="e">
        <f t="shared" si="1"/>
        <v>#DIV/0!</v>
      </c>
      <c r="V10" s="12" t="e">
        <f t="shared" si="2"/>
        <v>#DIV/0!</v>
      </c>
      <c r="W10" s="12" t="e">
        <f>SUM(V$6:V10)</f>
        <v>#DIV/0!</v>
      </c>
      <c r="X10" s="12" t="e">
        <f t="shared" si="13"/>
        <v>#DIV/0!</v>
      </c>
      <c r="Y10" s="12" t="e">
        <f>SUM(X$6:X10)</f>
        <v>#DIV/0!</v>
      </c>
      <c r="AA10" s="31" t="e">
        <f t="shared" si="3"/>
        <v>#DIV/0!</v>
      </c>
      <c r="AB10" s="31" t="e">
        <f t="shared" si="4"/>
        <v>#DIV/0!</v>
      </c>
      <c r="AC10" s="31" t="e">
        <f t="shared" si="14"/>
        <v>#DIV/0!</v>
      </c>
      <c r="AD10" s="31" t="e">
        <f t="shared" si="18"/>
        <v>#DIV/0!</v>
      </c>
      <c r="AE10" s="48"/>
      <c r="AF10" s="48"/>
      <c r="AG10" s="48"/>
      <c r="AH10" s="48"/>
      <c r="AI10" s="48"/>
      <c r="AJ10" s="48"/>
      <c r="AL10" s="35" t="e">
        <f t="shared" si="15"/>
        <v>#DIV/0!</v>
      </c>
      <c r="AM10" s="35" t="e">
        <f t="shared" si="16"/>
        <v>#DIV/0!</v>
      </c>
      <c r="AN10" s="117">
        <f>Co_5</f>
        <v>0</v>
      </c>
      <c r="AO10" s="35">
        <f t="shared" si="5"/>
        <v>0</v>
      </c>
      <c r="AP10" s="35">
        <f>SUM(AO$6:AO10)</f>
        <v>0</v>
      </c>
      <c r="AQ10" s="35" t="e">
        <f t="shared" si="19"/>
        <v>#DIV/0!</v>
      </c>
      <c r="AR10" s="35" t="e">
        <f>SUM(AQ$6:AQ10)</f>
        <v>#DIV/0!</v>
      </c>
      <c r="AS10" s="35" t="e">
        <f t="shared" si="21"/>
        <v>#DIV/0!</v>
      </c>
      <c r="AT10" s="35" t="e">
        <f>SUM(AS$6:AS10)</f>
        <v>#DIV/0!</v>
      </c>
      <c r="AU10" s="35" t="e">
        <f t="shared" si="6"/>
        <v>#DIV/0!</v>
      </c>
    </row>
    <row r="11" spans="1:47" ht="15.75" thickBot="1" x14ac:dyDescent="0.3">
      <c r="A11" s="17">
        <v>6</v>
      </c>
      <c r="B11" s="61">
        <f>IF(ScI=1,Input!I14,IF(ScI=2,M10*N11,0))</f>
        <v>0</v>
      </c>
      <c r="C11" s="61">
        <f>SUM(B$6:B11)</f>
        <v>0</v>
      </c>
      <c r="D11" s="62">
        <f t="shared" si="7"/>
        <v>0</v>
      </c>
      <c r="E11" s="62">
        <f>SUM(D$6:D11)</f>
        <v>0</v>
      </c>
      <c r="F11" s="62">
        <f t="shared" si="8"/>
        <v>0</v>
      </c>
      <c r="G11" s="62">
        <f>SUM(F$6:F11)</f>
        <v>0</v>
      </c>
      <c r="H11" s="62">
        <f t="shared" si="9"/>
        <v>0</v>
      </c>
      <c r="I11" s="62">
        <f>SUM(H$6:H11)</f>
        <v>0</v>
      </c>
      <c r="J11" s="57">
        <f>Input!E14</f>
        <v>0</v>
      </c>
      <c r="K11" s="13">
        <f t="shared" si="17"/>
        <v>0</v>
      </c>
      <c r="L11" s="13">
        <f>SUM(K$6:K11)</f>
        <v>0</v>
      </c>
      <c r="M11" s="12">
        <f t="shared" si="10"/>
        <v>0</v>
      </c>
      <c r="N11" s="16" t="e">
        <f t="shared" si="11"/>
        <v>#DIV/0!</v>
      </c>
      <c r="O11" s="16" t="e">
        <f t="shared" si="12"/>
        <v>#DIV/0!</v>
      </c>
      <c r="P11" s="12" t="e">
        <f t="shared" si="20"/>
        <v>#DIV/0!</v>
      </c>
      <c r="Q11" s="14" t="e">
        <f>IF(ScI=1,P11*N11,IF(ScI=2,Input!I14,0))</f>
        <v>#DIV/0!</v>
      </c>
      <c r="R11" s="14" t="e">
        <f>SUM(Q$6:Q11)</f>
        <v>#DIV/0!</v>
      </c>
      <c r="S11" s="14" t="e">
        <f t="shared" si="0"/>
        <v>#DIV/0!</v>
      </c>
      <c r="T11" s="12" t="e">
        <f>SUM(S$6:S11)</f>
        <v>#DIV/0!</v>
      </c>
      <c r="U11" s="12" t="e">
        <f t="shared" si="1"/>
        <v>#DIV/0!</v>
      </c>
      <c r="V11" s="12" t="e">
        <f t="shared" si="2"/>
        <v>#DIV/0!</v>
      </c>
      <c r="W11" s="12" t="e">
        <f>SUM(V$6:V11)</f>
        <v>#DIV/0!</v>
      </c>
      <c r="X11" s="12" t="e">
        <f t="shared" si="13"/>
        <v>#DIV/0!</v>
      </c>
      <c r="Y11" s="12" t="e">
        <f>SUM(X$6:X11)</f>
        <v>#DIV/0!</v>
      </c>
      <c r="AA11" s="31" t="e">
        <f t="shared" si="3"/>
        <v>#DIV/0!</v>
      </c>
      <c r="AB11" s="31" t="e">
        <f t="shared" si="4"/>
        <v>#DIV/0!</v>
      </c>
      <c r="AC11" s="31" t="e">
        <f>V11-F11</f>
        <v>#DIV/0!</v>
      </c>
      <c r="AD11" s="31" t="e">
        <f t="shared" si="18"/>
        <v>#DIV/0!</v>
      </c>
      <c r="AE11" s="48"/>
      <c r="AF11" s="48"/>
      <c r="AG11" s="48"/>
      <c r="AH11" s="48"/>
      <c r="AI11" s="48"/>
      <c r="AJ11" s="48"/>
      <c r="AL11" s="35" t="e">
        <f t="shared" si="15"/>
        <v>#DIV/0!</v>
      </c>
      <c r="AM11" s="35" t="e">
        <f t="shared" si="16"/>
        <v>#DIV/0!</v>
      </c>
      <c r="AN11" s="117">
        <f>Co_6</f>
        <v>0</v>
      </c>
      <c r="AO11" s="35">
        <f t="shared" si="5"/>
        <v>0</v>
      </c>
      <c r="AP11" s="35">
        <f>SUM(AO$6:AO11)</f>
        <v>0</v>
      </c>
      <c r="AQ11" s="35" t="e">
        <f t="shared" si="19"/>
        <v>#DIV/0!</v>
      </c>
      <c r="AR11" s="35" t="e">
        <f>SUM(AQ$6:AQ11)</f>
        <v>#DIV/0!</v>
      </c>
      <c r="AS11" s="35" t="e">
        <f t="shared" si="21"/>
        <v>#DIV/0!</v>
      </c>
      <c r="AT11" s="35" t="e">
        <f>SUM(AS$6:AS11)</f>
        <v>#DIV/0!</v>
      </c>
      <c r="AU11" s="35" t="e">
        <f t="shared" si="6"/>
        <v>#DIV/0!</v>
      </c>
    </row>
    <row r="12" spans="1:47" ht="15.75" thickBot="1" x14ac:dyDescent="0.3">
      <c r="A12" s="17">
        <v>7</v>
      </c>
      <c r="B12" s="61">
        <f>IF(ScI=1,Input!I15,IF(ScI=2,M11*N12,0))</f>
        <v>0</v>
      </c>
      <c r="C12" s="61">
        <f>SUM(B$6:B12)</f>
        <v>0</v>
      </c>
      <c r="D12" s="62">
        <f t="shared" si="7"/>
        <v>0</v>
      </c>
      <c r="E12" s="62">
        <f>SUM(D$6:D12)</f>
        <v>0</v>
      </c>
      <c r="F12" s="62">
        <f t="shared" si="8"/>
        <v>0</v>
      </c>
      <c r="G12" s="62">
        <f>SUM(F$6:F12)</f>
        <v>0</v>
      </c>
      <c r="H12" s="62">
        <f t="shared" si="9"/>
        <v>0</v>
      </c>
      <c r="I12" s="62">
        <f>SUM(H$6:H12)</f>
        <v>0</v>
      </c>
      <c r="J12" s="57">
        <f>Input!E15</f>
        <v>0</v>
      </c>
      <c r="K12" s="13">
        <f t="shared" si="17"/>
        <v>0</v>
      </c>
      <c r="L12" s="13">
        <f>SUM(K$6:K12)</f>
        <v>0</v>
      </c>
      <c r="M12" s="12">
        <f t="shared" si="10"/>
        <v>0</v>
      </c>
      <c r="N12" s="16" t="e">
        <f t="shared" si="11"/>
        <v>#DIV/0!</v>
      </c>
      <c r="O12" s="16" t="e">
        <f t="shared" si="12"/>
        <v>#DIV/0!</v>
      </c>
      <c r="P12" s="12" t="e">
        <f t="shared" si="20"/>
        <v>#DIV/0!</v>
      </c>
      <c r="Q12" s="14" t="e">
        <f>IF(ScI=1,P12*N12,IF(ScI=2,Input!I15,0))</f>
        <v>#DIV/0!</v>
      </c>
      <c r="R12" s="14" t="e">
        <f>SUM(Q$6:Q12)</f>
        <v>#DIV/0!</v>
      </c>
      <c r="S12" s="14" t="e">
        <f t="shared" si="0"/>
        <v>#DIV/0!</v>
      </c>
      <c r="T12" s="12" t="e">
        <f>SUM(S$6:S12)</f>
        <v>#DIV/0!</v>
      </c>
      <c r="U12" s="12" t="e">
        <f t="shared" si="1"/>
        <v>#DIV/0!</v>
      </c>
      <c r="V12" s="12" t="e">
        <f t="shared" si="2"/>
        <v>#DIV/0!</v>
      </c>
      <c r="W12" s="12" t="e">
        <f>SUM(V$6:V12)</f>
        <v>#DIV/0!</v>
      </c>
      <c r="X12" s="12" t="e">
        <f t="shared" si="13"/>
        <v>#DIV/0!</v>
      </c>
      <c r="Y12" s="12" t="e">
        <f>SUM(X$6:X12)</f>
        <v>#DIV/0!</v>
      </c>
      <c r="AA12" s="31" t="e">
        <f t="shared" si="3"/>
        <v>#DIV/0!</v>
      </c>
      <c r="AB12" s="31" t="e">
        <f t="shared" si="4"/>
        <v>#DIV/0!</v>
      </c>
      <c r="AC12" s="31" t="e">
        <f t="shared" si="14"/>
        <v>#DIV/0!</v>
      </c>
      <c r="AD12" s="31" t="e">
        <f t="shared" si="18"/>
        <v>#DIV/0!</v>
      </c>
      <c r="AE12" s="48"/>
      <c r="AF12" s="48"/>
      <c r="AG12" s="48"/>
      <c r="AH12" s="48"/>
      <c r="AI12" s="48"/>
      <c r="AJ12" s="48"/>
      <c r="AL12" s="35" t="e">
        <f t="shared" si="15"/>
        <v>#DIV/0!</v>
      </c>
      <c r="AM12" s="35" t="e">
        <f t="shared" si="16"/>
        <v>#DIV/0!</v>
      </c>
      <c r="AN12" s="117">
        <f>Co_7</f>
        <v>0</v>
      </c>
      <c r="AO12" s="35">
        <f t="shared" si="5"/>
        <v>0</v>
      </c>
      <c r="AP12" s="35">
        <f>SUM(AO$6:AO12)</f>
        <v>0</v>
      </c>
      <c r="AQ12" s="35" t="e">
        <f t="shared" si="19"/>
        <v>#DIV/0!</v>
      </c>
      <c r="AR12" s="35" t="e">
        <f>SUM(AQ$6:AQ12)</f>
        <v>#DIV/0!</v>
      </c>
      <c r="AS12" s="35" t="e">
        <f t="shared" si="21"/>
        <v>#DIV/0!</v>
      </c>
      <c r="AT12" s="35" t="e">
        <f>SUM(AS$6:AS12)</f>
        <v>#DIV/0!</v>
      </c>
      <c r="AU12" s="35" t="e">
        <f t="shared" si="6"/>
        <v>#DIV/0!</v>
      </c>
    </row>
    <row r="13" spans="1:47" ht="15.75" thickBot="1" x14ac:dyDescent="0.3">
      <c r="A13" s="17">
        <v>8</v>
      </c>
      <c r="B13" s="61">
        <f>IF(ScI=1,Input!I16,IF(ScI=2,M12*N13,0))</f>
        <v>0</v>
      </c>
      <c r="C13" s="61">
        <f>SUM(B$6:B13)</f>
        <v>0</v>
      </c>
      <c r="D13" s="62">
        <f t="shared" si="7"/>
        <v>0</v>
      </c>
      <c r="E13" s="62">
        <f>SUM(D$6:D13)</f>
        <v>0</v>
      </c>
      <c r="F13" s="62">
        <f t="shared" si="8"/>
        <v>0</v>
      </c>
      <c r="G13" s="62">
        <f>SUM(F$6:F13)</f>
        <v>0</v>
      </c>
      <c r="H13" s="62">
        <f t="shared" si="9"/>
        <v>0</v>
      </c>
      <c r="I13" s="62">
        <f>SUM(H$6:H13)</f>
        <v>0</v>
      </c>
      <c r="J13" s="57">
        <f>Input!E16</f>
        <v>0</v>
      </c>
      <c r="K13" s="13">
        <f t="shared" si="17"/>
        <v>0</v>
      </c>
      <c r="L13" s="13">
        <f>SUM(K$6:K13)</f>
        <v>0</v>
      </c>
      <c r="M13" s="12">
        <f t="shared" si="10"/>
        <v>0</v>
      </c>
      <c r="N13" s="16" t="e">
        <f t="shared" si="11"/>
        <v>#DIV/0!</v>
      </c>
      <c r="O13" s="16" t="e">
        <f t="shared" si="12"/>
        <v>#DIV/0!</v>
      </c>
      <c r="P13" s="12" t="e">
        <f t="shared" si="20"/>
        <v>#DIV/0!</v>
      </c>
      <c r="Q13" s="14" t="e">
        <f>IF(ScI=1,P13*N13,IF(ScI=2,Input!I16,0))</f>
        <v>#DIV/0!</v>
      </c>
      <c r="R13" s="14" t="e">
        <f>SUM(Q$6:Q13)</f>
        <v>#DIV/0!</v>
      </c>
      <c r="S13" s="14" t="e">
        <f t="shared" si="0"/>
        <v>#DIV/0!</v>
      </c>
      <c r="T13" s="12" t="e">
        <f>SUM(S$6:S13)</f>
        <v>#DIV/0!</v>
      </c>
      <c r="U13" s="12" t="e">
        <f t="shared" si="1"/>
        <v>#DIV/0!</v>
      </c>
      <c r="V13" s="12" t="e">
        <f t="shared" si="2"/>
        <v>#DIV/0!</v>
      </c>
      <c r="W13" s="12" t="e">
        <f>SUM(V$6:V13)</f>
        <v>#DIV/0!</v>
      </c>
      <c r="X13" s="12" t="e">
        <f t="shared" si="13"/>
        <v>#DIV/0!</v>
      </c>
      <c r="Y13" s="12" t="e">
        <f>SUM(X$6:X13)</f>
        <v>#DIV/0!</v>
      </c>
      <c r="AA13" s="31" t="e">
        <f t="shared" si="3"/>
        <v>#DIV/0!</v>
      </c>
      <c r="AB13" s="31" t="e">
        <f t="shared" si="4"/>
        <v>#DIV/0!</v>
      </c>
      <c r="AC13" s="31" t="e">
        <f t="shared" si="14"/>
        <v>#DIV/0!</v>
      </c>
      <c r="AD13" s="31" t="e">
        <f t="shared" si="18"/>
        <v>#DIV/0!</v>
      </c>
      <c r="AE13" s="48"/>
      <c r="AF13" s="48"/>
      <c r="AG13" s="48"/>
      <c r="AH13" s="48"/>
      <c r="AI13" s="48"/>
      <c r="AJ13" s="48"/>
      <c r="AL13" s="35" t="e">
        <f t="shared" si="15"/>
        <v>#DIV/0!</v>
      </c>
      <c r="AM13" s="35" t="e">
        <f t="shared" si="16"/>
        <v>#DIV/0!</v>
      </c>
      <c r="AN13" s="117">
        <f>Co_8</f>
        <v>0</v>
      </c>
      <c r="AO13" s="35">
        <f t="shared" si="5"/>
        <v>0</v>
      </c>
      <c r="AP13" s="35">
        <f>SUM(AO$6:AO13)</f>
        <v>0</v>
      </c>
      <c r="AQ13" s="35" t="e">
        <f t="shared" si="19"/>
        <v>#DIV/0!</v>
      </c>
      <c r="AR13" s="35" t="e">
        <f>SUM(AQ$6:AQ13)</f>
        <v>#DIV/0!</v>
      </c>
      <c r="AS13" s="35" t="e">
        <f t="shared" si="21"/>
        <v>#DIV/0!</v>
      </c>
      <c r="AT13" s="35" t="e">
        <f>SUM(AS$6:AS13)</f>
        <v>#DIV/0!</v>
      </c>
      <c r="AU13" s="35" t="e">
        <f t="shared" si="6"/>
        <v>#DIV/0!</v>
      </c>
    </row>
    <row r="14" spans="1:47" ht="15.75" thickBot="1" x14ac:dyDescent="0.3">
      <c r="A14" s="17">
        <v>9</v>
      </c>
      <c r="B14" s="61">
        <f>IF(ScI=1,Input!I17,IF(ScI=2,M13*N14,0))</f>
        <v>0</v>
      </c>
      <c r="C14" s="61">
        <f>SUM(B$6:B14)</f>
        <v>0</v>
      </c>
      <c r="D14" s="62">
        <f t="shared" si="7"/>
        <v>0</v>
      </c>
      <c r="E14" s="62">
        <f>SUM(D$6:D14)</f>
        <v>0</v>
      </c>
      <c r="F14" s="62">
        <f t="shared" si="8"/>
        <v>0</v>
      </c>
      <c r="G14" s="62">
        <f>SUM(F$6:F14)</f>
        <v>0</v>
      </c>
      <c r="H14" s="62">
        <f t="shared" si="9"/>
        <v>0</v>
      </c>
      <c r="I14" s="62">
        <f>SUM(H$6:H14)</f>
        <v>0</v>
      </c>
      <c r="J14" s="57">
        <f>Input!E17</f>
        <v>0</v>
      </c>
      <c r="K14" s="13">
        <f t="shared" si="17"/>
        <v>0</v>
      </c>
      <c r="L14" s="13">
        <f>SUM(K$6:K14)</f>
        <v>0</v>
      </c>
      <c r="M14" s="12">
        <f t="shared" si="10"/>
        <v>0</v>
      </c>
      <c r="N14" s="16" t="e">
        <f t="shared" si="11"/>
        <v>#DIV/0!</v>
      </c>
      <c r="O14" s="16" t="e">
        <f t="shared" si="12"/>
        <v>#DIV/0!</v>
      </c>
      <c r="P14" s="12" t="e">
        <f t="shared" si="20"/>
        <v>#DIV/0!</v>
      </c>
      <c r="Q14" s="14" t="e">
        <f>IF(ScI=1,P14*N14,IF(ScI=2,Input!I17,0))</f>
        <v>#DIV/0!</v>
      </c>
      <c r="R14" s="14" t="e">
        <f>SUM(Q$6:Q14)</f>
        <v>#DIV/0!</v>
      </c>
      <c r="S14" s="14" t="e">
        <f t="shared" si="0"/>
        <v>#DIV/0!</v>
      </c>
      <c r="T14" s="12" t="e">
        <f>SUM(S$6:S14)</f>
        <v>#DIV/0!</v>
      </c>
      <c r="U14" s="12" t="e">
        <f t="shared" si="1"/>
        <v>#DIV/0!</v>
      </c>
      <c r="V14" s="12" t="e">
        <f>X14*mai</f>
        <v>#DIV/0!</v>
      </c>
      <c r="W14" s="12" t="e">
        <f>SUM(V$6:V14)</f>
        <v>#DIV/0!</v>
      </c>
      <c r="X14" s="12" t="e">
        <f t="shared" si="13"/>
        <v>#DIV/0!</v>
      </c>
      <c r="Y14" s="12" t="e">
        <f>SUM(X$6:X14)</f>
        <v>#DIV/0!</v>
      </c>
      <c r="AA14" s="31" t="e">
        <f t="shared" si="3"/>
        <v>#DIV/0!</v>
      </c>
      <c r="AB14" s="31" t="e">
        <f t="shared" si="4"/>
        <v>#DIV/0!</v>
      </c>
      <c r="AC14" s="31" t="e">
        <f t="shared" si="14"/>
        <v>#DIV/0!</v>
      </c>
      <c r="AD14" s="31" t="e">
        <f t="shared" si="18"/>
        <v>#DIV/0!</v>
      </c>
      <c r="AE14" s="48"/>
      <c r="AF14" s="48"/>
      <c r="AG14" s="48"/>
      <c r="AH14" s="48"/>
      <c r="AI14" s="48"/>
      <c r="AJ14" s="48"/>
      <c r="AL14" s="35" t="e">
        <f t="shared" si="15"/>
        <v>#DIV/0!</v>
      </c>
      <c r="AM14" s="35" t="e">
        <f t="shared" si="16"/>
        <v>#DIV/0!</v>
      </c>
      <c r="AN14" s="117">
        <f>Co_9</f>
        <v>0</v>
      </c>
      <c r="AO14" s="35">
        <f t="shared" si="5"/>
        <v>0</v>
      </c>
      <c r="AP14" s="35">
        <f>SUM(AO$6:AO14)</f>
        <v>0</v>
      </c>
      <c r="AQ14" s="35" t="e">
        <f t="shared" si="19"/>
        <v>#DIV/0!</v>
      </c>
      <c r="AR14" s="35" t="e">
        <f>SUM(AQ$6:AQ14)</f>
        <v>#DIV/0!</v>
      </c>
      <c r="AS14" s="35" t="e">
        <f t="shared" si="21"/>
        <v>#DIV/0!</v>
      </c>
      <c r="AT14" s="35" t="e">
        <f>SUM(AS$6:AS14)</f>
        <v>#DIV/0!</v>
      </c>
      <c r="AU14" s="35" t="e">
        <f t="shared" si="6"/>
        <v>#DIV/0!</v>
      </c>
    </row>
    <row r="15" spans="1:47" ht="15.75" thickBot="1" x14ac:dyDescent="0.3">
      <c r="A15" s="17">
        <v>10</v>
      </c>
      <c r="B15" s="61">
        <f>IF(ScI=1,Input!I18,IF(ScI=2,M14*N15,0))</f>
        <v>0</v>
      </c>
      <c r="C15" s="61">
        <f>SUM(B$6:B15)</f>
        <v>0</v>
      </c>
      <c r="D15" s="62">
        <f t="shared" si="7"/>
        <v>0</v>
      </c>
      <c r="E15" s="62">
        <f>SUM(D$6:D15)</f>
        <v>0</v>
      </c>
      <c r="F15" s="62">
        <f t="shared" si="8"/>
        <v>0</v>
      </c>
      <c r="G15" s="62">
        <f>SUM(F$6:F15)</f>
        <v>0</v>
      </c>
      <c r="H15" s="62">
        <f t="shared" si="9"/>
        <v>0</v>
      </c>
      <c r="I15" s="62">
        <f>SUM(H$6:H15)</f>
        <v>0</v>
      </c>
      <c r="J15" s="57">
        <f>Input!E18</f>
        <v>0</v>
      </c>
      <c r="K15" s="13">
        <f t="shared" si="17"/>
        <v>0</v>
      </c>
      <c r="L15" s="13">
        <f>SUM(K$6:K15)</f>
        <v>0</v>
      </c>
      <c r="M15" s="12">
        <f t="shared" si="10"/>
        <v>0</v>
      </c>
      <c r="N15" s="16" t="e">
        <f t="shared" si="11"/>
        <v>#DIV/0!</v>
      </c>
      <c r="O15" s="16" t="e">
        <f t="shared" si="12"/>
        <v>#DIV/0!</v>
      </c>
      <c r="P15" s="12" t="e">
        <f t="shared" si="20"/>
        <v>#DIV/0!</v>
      </c>
      <c r="Q15" s="14" t="e">
        <f>IF(ScI=1,P15*N15,IF(ScI=2,Input!I18,0))</f>
        <v>#DIV/0!</v>
      </c>
      <c r="R15" s="14" t="e">
        <f>SUM(Q$6:Q15)</f>
        <v>#DIV/0!</v>
      </c>
      <c r="S15" s="14" t="e">
        <f t="shared" si="0"/>
        <v>#DIV/0!</v>
      </c>
      <c r="T15" s="12" t="e">
        <f>SUM(S$6:S15)</f>
        <v>#DIV/0!</v>
      </c>
      <c r="U15" s="12" t="e">
        <f t="shared" si="1"/>
        <v>#DIV/0!</v>
      </c>
      <c r="V15" s="12" t="e">
        <f t="shared" si="2"/>
        <v>#DIV/0!</v>
      </c>
      <c r="W15" s="12" t="e">
        <f>SUM(V$6:V15)</f>
        <v>#DIV/0!</v>
      </c>
      <c r="X15" s="12" t="e">
        <f t="shared" si="13"/>
        <v>#DIV/0!</v>
      </c>
      <c r="Y15" s="12" t="e">
        <f>SUM(X$6:X15)</f>
        <v>#DIV/0!</v>
      </c>
      <c r="AA15" s="31" t="e">
        <f t="shared" si="3"/>
        <v>#DIV/0!</v>
      </c>
      <c r="AB15" s="31" t="e">
        <f t="shared" si="4"/>
        <v>#DIV/0!</v>
      </c>
      <c r="AC15" s="31" t="e">
        <f t="shared" si="14"/>
        <v>#DIV/0!</v>
      </c>
      <c r="AD15" s="31" t="e">
        <f t="shared" si="18"/>
        <v>#DIV/0!</v>
      </c>
      <c r="AE15" s="48"/>
      <c r="AF15" s="48"/>
      <c r="AG15" s="48"/>
      <c r="AH15" s="48"/>
      <c r="AI15" s="48"/>
      <c r="AJ15" s="48"/>
      <c r="AL15" s="35" t="e">
        <f t="shared" si="15"/>
        <v>#DIV/0!</v>
      </c>
      <c r="AM15" s="35" t="e">
        <f t="shared" si="16"/>
        <v>#DIV/0!</v>
      </c>
      <c r="AN15" s="117">
        <f>Co_10</f>
        <v>0</v>
      </c>
      <c r="AO15" s="35">
        <f t="shared" si="5"/>
        <v>0</v>
      </c>
      <c r="AP15" s="35">
        <f>SUM(AO$6:AO15)</f>
        <v>0</v>
      </c>
      <c r="AQ15" s="35" t="e">
        <f t="shared" si="19"/>
        <v>#DIV/0!</v>
      </c>
      <c r="AR15" s="35" t="e">
        <f>SUM(AQ$6:AQ15)</f>
        <v>#DIV/0!</v>
      </c>
      <c r="AS15" s="35" t="e">
        <f t="shared" si="21"/>
        <v>#DIV/0!</v>
      </c>
      <c r="AT15" s="35" t="e">
        <f>SUM(AS$6:AS15)</f>
        <v>#DIV/0!</v>
      </c>
      <c r="AU15" s="35" t="e">
        <f t="shared" si="6"/>
        <v>#DIV/0!</v>
      </c>
    </row>
    <row r="16" spans="1:47" ht="15.75" thickBot="1" x14ac:dyDescent="0.3">
      <c r="A16" s="17">
        <v>11</v>
      </c>
      <c r="B16" s="61">
        <f>IF(ScI=1,Input!I19,IF(ScI=2,M15*N16,0))</f>
        <v>0</v>
      </c>
      <c r="C16" s="61">
        <f>SUM(B$6:B16)</f>
        <v>0</v>
      </c>
      <c r="D16" s="62">
        <f t="shared" si="7"/>
        <v>0</v>
      </c>
      <c r="E16" s="62">
        <f>SUM(D$6:D16)</f>
        <v>0</v>
      </c>
      <c r="F16" s="62">
        <f t="shared" si="8"/>
        <v>0</v>
      </c>
      <c r="G16" s="62">
        <f>SUM(F$6:F16)</f>
        <v>0</v>
      </c>
      <c r="H16" s="62">
        <f t="shared" si="9"/>
        <v>0</v>
      </c>
      <c r="I16" s="62">
        <f>SUM(H$6:H16)</f>
        <v>0</v>
      </c>
      <c r="J16" s="57">
        <f>Input!E19</f>
        <v>0</v>
      </c>
      <c r="K16" s="13">
        <f t="shared" si="17"/>
        <v>0</v>
      </c>
      <c r="L16" s="13">
        <f>SUM(K$6:K16)</f>
        <v>0</v>
      </c>
      <c r="M16" s="12">
        <f t="shared" si="10"/>
        <v>0</v>
      </c>
      <c r="N16" s="16" t="e">
        <f t="shared" si="11"/>
        <v>#DIV/0!</v>
      </c>
      <c r="O16" s="16" t="e">
        <f t="shared" si="12"/>
        <v>#DIV/0!</v>
      </c>
      <c r="P16" s="12" t="e">
        <f t="shared" si="20"/>
        <v>#DIV/0!</v>
      </c>
      <c r="Q16" s="14" t="e">
        <f>IF(ScI=1,P16*N16,IF(ScI=2,Input!I19,0))</f>
        <v>#DIV/0!</v>
      </c>
      <c r="R16" s="14" t="e">
        <f>SUM(Q$6:Q16)</f>
        <v>#DIV/0!</v>
      </c>
      <c r="S16" s="14" t="e">
        <f t="shared" si="0"/>
        <v>#DIV/0!</v>
      </c>
      <c r="T16" s="12" t="e">
        <f>SUM(S$6:S16)</f>
        <v>#DIV/0!</v>
      </c>
      <c r="U16" s="12" t="e">
        <f t="shared" si="1"/>
        <v>#DIV/0!</v>
      </c>
      <c r="V16" s="12" t="e">
        <f t="shared" si="2"/>
        <v>#DIV/0!</v>
      </c>
      <c r="W16" s="12" t="e">
        <f>SUM(V$6:V16)</f>
        <v>#DIV/0!</v>
      </c>
      <c r="X16" s="12" t="e">
        <f t="shared" si="13"/>
        <v>#DIV/0!</v>
      </c>
      <c r="Y16" s="12" t="e">
        <f>SUM(X$6:X16)</f>
        <v>#DIV/0!</v>
      </c>
      <c r="AA16" s="31" t="e">
        <f t="shared" si="3"/>
        <v>#DIV/0!</v>
      </c>
      <c r="AB16" s="31" t="e">
        <f t="shared" si="4"/>
        <v>#DIV/0!</v>
      </c>
      <c r="AC16" s="31" t="e">
        <f t="shared" si="14"/>
        <v>#DIV/0!</v>
      </c>
      <c r="AD16" s="31" t="e">
        <f t="shared" si="18"/>
        <v>#DIV/0!</v>
      </c>
      <c r="AE16" s="48"/>
      <c r="AF16" s="48"/>
      <c r="AG16" s="48"/>
      <c r="AH16" s="48"/>
      <c r="AI16" s="48"/>
      <c r="AJ16" s="48"/>
      <c r="AL16" s="35" t="e">
        <f t="shared" si="15"/>
        <v>#DIV/0!</v>
      </c>
      <c r="AM16" s="35" t="e">
        <f t="shared" si="16"/>
        <v>#DIV/0!</v>
      </c>
      <c r="AN16" s="117">
        <f>Co_11</f>
        <v>0</v>
      </c>
      <c r="AO16" s="35">
        <f t="shared" si="5"/>
        <v>0</v>
      </c>
      <c r="AP16" s="35">
        <f>SUM(AO$6:AO16)</f>
        <v>0</v>
      </c>
      <c r="AQ16" s="35" t="e">
        <f t="shared" si="19"/>
        <v>#DIV/0!</v>
      </c>
      <c r="AR16" s="35" t="e">
        <f>SUM(AQ$6:AQ16)</f>
        <v>#DIV/0!</v>
      </c>
      <c r="AS16" s="35" t="e">
        <f t="shared" si="21"/>
        <v>#DIV/0!</v>
      </c>
      <c r="AT16" s="35" t="e">
        <f>SUM(AS$6:AS16)</f>
        <v>#DIV/0!</v>
      </c>
      <c r="AU16" s="35" t="e">
        <f t="shared" si="6"/>
        <v>#DIV/0!</v>
      </c>
    </row>
    <row r="17" spans="1:47" ht="15.75" thickBot="1" x14ac:dyDescent="0.3">
      <c r="A17" s="17">
        <v>12</v>
      </c>
      <c r="B17" s="61">
        <f>IF(ScI=1,Input!I20,IF(ScI=2,M16*N17,0))</f>
        <v>0</v>
      </c>
      <c r="C17" s="61">
        <f>SUM(B$6:B17)</f>
        <v>0</v>
      </c>
      <c r="D17" s="62">
        <f t="shared" si="7"/>
        <v>0</v>
      </c>
      <c r="E17" s="62">
        <f>SUM(D$6:D17)</f>
        <v>0</v>
      </c>
      <c r="F17" s="62">
        <f t="shared" si="8"/>
        <v>0</v>
      </c>
      <c r="G17" s="62">
        <f>SUM(F$6:F17)</f>
        <v>0</v>
      </c>
      <c r="H17" s="62">
        <f t="shared" si="9"/>
        <v>0</v>
      </c>
      <c r="I17" s="62">
        <f>SUM(H$6:H17)</f>
        <v>0</v>
      </c>
      <c r="J17" s="57">
        <f>Input!E20</f>
        <v>0</v>
      </c>
      <c r="K17" s="13">
        <f t="shared" si="17"/>
        <v>0</v>
      </c>
      <c r="L17" s="13">
        <f>SUM(K$6:K17)</f>
        <v>0</v>
      </c>
      <c r="M17" s="12">
        <f t="shared" si="10"/>
        <v>0</v>
      </c>
      <c r="N17" s="16" t="e">
        <f t="shared" si="11"/>
        <v>#DIV/0!</v>
      </c>
      <c r="O17" s="16" t="e">
        <f t="shared" si="12"/>
        <v>#DIV/0!</v>
      </c>
      <c r="P17" s="12" t="e">
        <f t="shared" si="20"/>
        <v>#DIV/0!</v>
      </c>
      <c r="Q17" s="14" t="e">
        <f>IF(ScI=1,P17*N17,IF(ScI=2,Input!I20,0))</f>
        <v>#DIV/0!</v>
      </c>
      <c r="R17" s="14" t="e">
        <f>SUM(Q$6:Q17)</f>
        <v>#DIV/0!</v>
      </c>
      <c r="S17" s="14" t="e">
        <f t="shared" si="0"/>
        <v>#DIV/0!</v>
      </c>
      <c r="T17" s="12" t="e">
        <f>SUM(S$6:S17)</f>
        <v>#DIV/0!</v>
      </c>
      <c r="U17" s="12" t="e">
        <f t="shared" si="1"/>
        <v>#DIV/0!</v>
      </c>
      <c r="V17" s="12" t="e">
        <f t="shared" si="2"/>
        <v>#DIV/0!</v>
      </c>
      <c r="W17" s="12" t="e">
        <f>SUM(V$6:V17)</f>
        <v>#DIV/0!</v>
      </c>
      <c r="X17" s="12" t="e">
        <f t="shared" si="13"/>
        <v>#DIV/0!</v>
      </c>
      <c r="Y17" s="12" t="e">
        <f>SUM(X$6:X17)</f>
        <v>#DIV/0!</v>
      </c>
      <c r="AA17" s="31" t="e">
        <f t="shared" si="3"/>
        <v>#DIV/0!</v>
      </c>
      <c r="AB17" s="31" t="e">
        <f t="shared" si="4"/>
        <v>#DIV/0!</v>
      </c>
      <c r="AC17" s="31" t="e">
        <f t="shared" si="14"/>
        <v>#DIV/0!</v>
      </c>
      <c r="AD17" s="31" t="e">
        <f t="shared" si="18"/>
        <v>#DIV/0!</v>
      </c>
      <c r="AE17" s="48"/>
      <c r="AF17" s="48"/>
      <c r="AG17" s="48"/>
      <c r="AH17" s="48"/>
      <c r="AI17" s="48"/>
      <c r="AJ17" s="48"/>
      <c r="AL17" s="35" t="e">
        <f t="shared" si="15"/>
        <v>#DIV/0!</v>
      </c>
      <c r="AM17" s="35" t="e">
        <f t="shared" si="16"/>
        <v>#DIV/0!</v>
      </c>
      <c r="AN17" s="117">
        <f>Co_12</f>
        <v>0</v>
      </c>
      <c r="AO17" s="35">
        <f t="shared" si="5"/>
        <v>0</v>
      </c>
      <c r="AP17" s="35">
        <f>SUM(AO$6:AO17)</f>
        <v>0</v>
      </c>
      <c r="AQ17" s="35" t="e">
        <f t="shared" si="19"/>
        <v>#DIV/0!</v>
      </c>
      <c r="AR17" s="35" t="e">
        <f>SUM(AQ$6:AQ17)</f>
        <v>#DIV/0!</v>
      </c>
      <c r="AS17" s="35" t="e">
        <f t="shared" si="21"/>
        <v>#DIV/0!</v>
      </c>
      <c r="AT17" s="35" t="e">
        <f>SUM(AS$6:AS17)</f>
        <v>#DIV/0!</v>
      </c>
      <c r="AU17" s="35" t="e">
        <f t="shared" si="6"/>
        <v>#DIV/0!</v>
      </c>
    </row>
    <row r="18" spans="1:47" x14ac:dyDescent="0.25">
      <c r="A18" s="41" t="s">
        <v>11</v>
      </c>
      <c r="B18" s="58">
        <f>IF(ISBLANK(B6), " ", SUM(B6:B17))</f>
        <v>0</v>
      </c>
      <c r="C18" s="50"/>
      <c r="D18" s="59">
        <f t="shared" ref="D18:K18" si="22">IF(ISBLANK(D6), " ", SUM(D6:D17))</f>
        <v>0</v>
      </c>
      <c r="E18" s="50"/>
      <c r="F18" s="59">
        <f t="shared" si="22"/>
        <v>0</v>
      </c>
      <c r="G18" s="50"/>
      <c r="H18" s="59">
        <f t="shared" si="22"/>
        <v>0</v>
      </c>
      <c r="I18" s="50"/>
      <c r="J18" s="79">
        <f t="shared" si="22"/>
        <v>0</v>
      </c>
      <c r="K18" s="59">
        <f t="shared" si="22"/>
        <v>0</v>
      </c>
      <c r="L18" s="50"/>
      <c r="M18" s="50"/>
      <c r="N18" s="50"/>
      <c r="O18" s="50"/>
      <c r="P18" s="50"/>
      <c r="Q18" s="40" t="e">
        <f>SUM(Q6:Q17)</f>
        <v>#DIV/0!</v>
      </c>
      <c r="R18" s="51"/>
      <c r="S18" s="136" t="e">
        <f>SUM(S6:S17)</f>
        <v>#DIV/0!</v>
      </c>
      <c r="T18" s="50"/>
      <c r="U18" s="50"/>
      <c r="V18" s="40" t="e">
        <f>SUM(V6:V17)</f>
        <v>#DIV/0!</v>
      </c>
      <c r="W18" s="50"/>
      <c r="X18" s="40" t="e">
        <f>SUM(X6:X17)</f>
        <v>#DIV/0!</v>
      </c>
      <c r="Y18" s="50"/>
      <c r="AA18" s="43">
        <f>IF(mb=1,SUM(AA6:AA17),IF(mb=2,SUM(AA7:AA17),IF(mb=3,SUM(AA8:AA17),IF(mb=4,SUM(AA9:AA17),IF(mb=5,SUM(AA10:AA17),IF(mb=6,SUM(AA11:AA17),IF(mb=7,SUM(AA12:AA17),IF(mb=8,SUM(AA13:AA17),0))))))))</f>
        <v>0</v>
      </c>
      <c r="AB18" s="43">
        <f>IF(mb=1,SUM(AB6:AB17),IF(mb=2,SUM(AB7:AB17),IF(mb=3,SUM(AB8:AB17),IF(mb=4,SUM(AB9:AB17),IF(mb=5,SUM(AB10:AB17),IF(mb=6,SUM(AB11:AB17),IF(mb=7,SUM(AB12:AB17),IF(mb=8,SUM(AB13:AB17),0))))))))</f>
        <v>0</v>
      </c>
      <c r="AC18" s="43">
        <f>IF(mb=1,SUM(AC6:AC17),IF(mb=2,SUM(AC7:AC17),IF(mb=3,SUM(AC8:AC17),IF(mb=4,SUM(AC9:AC17),IF(mb=5,SUM(AC10:AC17),IF(mb=6,SUM(AC11:AC17),IF(mb=7,SUM(AC12:AC17),IF(mb=8,SUM(AC13:AC17),0))))))))</f>
        <v>0</v>
      </c>
      <c r="AD18" s="43">
        <f>IF(mb=1,SUM(AD6:AD17),IF(mb=2,SUM(AD7:AD17),IF(mb=3,SUM(AD8:AD17),IF(mb=4,SUM(AD9:AD17),IF(mb=5,SUM(AD10:AD17),IF(mb=6,SUM(AD11:AD17),IF(mb=7,SUM(AD12:AD17),IF(mb=8,SUM(AD13:AD17),0))))))))</f>
        <v>0</v>
      </c>
      <c r="AE18" s="47" t="str">
        <f>IF(mb=1,AA18/Q18,IF(mb=2,SUM(AA7:AA17)/SUM(Q7:Q17),IF(mb=3,SUM(AA8:AA17)/SUM(Q8:Q17),IF(mb=4,SUM(AA9:AA17)/SUM(Q9:Q17),IF(mb=5,SUM(AA10:AA17)/SUM(Q10:Q17),IF(mb=6,SUM(AA11:AA17)/SUM(Q11:Q17),IF(mb=7,SUM(AA12:AA17)/SUM(Q12:Q17),IF(mb=8,SUM(AA13:AA17)/SUM(Q13:Q17),"Fail"))))))))</f>
        <v>Fail</v>
      </c>
      <c r="AF18" s="47" t="str">
        <f>IF(mb=1,AB18/S18,IF(mb=2,SUM(AB7:AB17)/SUM(S7:S17),IF(mb=3,SUM(AB8:AB17)/SUM(S8:S17),IF(mb=4,SUM(AB9:AB17)/SUM(S9:S17),IF(mb=5,SUM(AB10:AB17)/SUM(S10:S17),IF(mb=6,SUM(AB11:AB17)/SUM(S11:S17),IF(mb=7,SUM(AB12:AB17)/SUM(S12:S17),IF(mb=8,SUM(AB13:AB17)/SUM(S13:S17),"Fail"))))))))</f>
        <v>Fail</v>
      </c>
      <c r="AG18" s="43" t="e">
        <f>1/((VE*IF(mb=1,Q18,IF(mb=2,SUM(Q7:Q17),IF(mb=3,SUM(Q8:Q17),IF(mb=4,SUM(Q9:Q17),IF(mb=5,SUM(Q10:Q17),IF(mb=6,SUM(Q11:Q17),IF(mb=7,SUM(Q12:Q17),IF(mb=8,SUM(Q13:Q17),"fail")))))))))/TP)</f>
        <v>#VALUE!</v>
      </c>
      <c r="AH18" s="43" t="e">
        <f>1/((VE*IF(mb=1,S18,IF(mb=2,SUM(S7:S17),IF(mb=3,SUM(S8:S17),IF(mb=4,SUM(S9:S17),IF(mb=5,SUM(S10:S17),IF(mb=6,SUM(S11:S17),IF(mb=7,SUM(S12:S17),IF(mb=8,SUM(S13:S17),"fail")))))))))/TP)</f>
        <v>#VALUE!</v>
      </c>
      <c r="AI18" s="43" t="e">
        <f>1/((VE*IF(mb=1,V18,IF(mb=2,SUM(V7:V17),IF(mb=3,SUM(V8:V17),IF(mb=4,SUM(V9:V17),IF(mb=5,SUM(V10:V17),IF(mb=6,SUM(V11:V17),IF(mb=7,SUM(V12:V17),IF(mb=8,SUM(V12:V16),"fail")))))))))/TP)</f>
        <v>#VALUE!</v>
      </c>
      <c r="AJ18" s="43" t="e">
        <f>1/((VE*IF(mb=1,(S18+Q18),IF(mb=2,SUM(S7:S17,Q7:Q17),IF(mb=3,SUM(S8:S17,Q8:Q17),IF(mb=4,SUM(S9:S17,Q9:Q17),IF(mb=5,SUM(S10:S17,Q10:Q17),IF(mb=6,SUM(S11:S17,Q11:Q17),IF(mb=7,SUM(S12:S17,Q12:Q17),IF(mb=8,SUM(S13:S17,Q13:Q17),"fail")))))))))/TP)</f>
        <v>#VALUE!</v>
      </c>
      <c r="AL18" s="130"/>
      <c r="AM18" s="130"/>
      <c r="AN18" s="133">
        <f>SUM(AN6:AN17)</f>
        <v>0</v>
      </c>
      <c r="AO18" s="134">
        <f>SUM(AO6:AO17)</f>
        <v>0</v>
      </c>
      <c r="AP18" s="130"/>
      <c r="AQ18" s="135" t="e">
        <f>SUM(AQ6:AQ17)</f>
        <v>#DIV/0!</v>
      </c>
      <c r="AR18" s="131"/>
      <c r="AS18" s="135" t="e">
        <f>SUM(AS6:AS17)</f>
        <v>#DIV/0!</v>
      </c>
      <c r="AT18" s="131"/>
      <c r="AU18" s="131"/>
    </row>
    <row r="19" spans="1:47" x14ac:dyDescent="0.25">
      <c r="A19" s="39"/>
      <c r="B19" s="34"/>
      <c r="C19" s="18"/>
      <c r="D19" s="18"/>
      <c r="E19" s="18"/>
      <c r="F19" s="18"/>
      <c r="G19" s="18"/>
      <c r="H19" s="18"/>
      <c r="I19" s="18"/>
      <c r="J19" s="18"/>
      <c r="K19" s="18"/>
      <c r="L19" s="18"/>
      <c r="M19" s="18"/>
      <c r="N19" s="18"/>
      <c r="O19" s="18"/>
      <c r="P19" s="18"/>
      <c r="Q19" s="18"/>
      <c r="R19" s="18"/>
      <c r="S19" s="18"/>
      <c r="T19" s="18"/>
      <c r="U19" s="18"/>
      <c r="V19" s="18"/>
      <c r="W19" s="18"/>
      <c r="X19" s="18"/>
      <c r="Y19" s="18"/>
    </row>
    <row r="20" spans="1:47" x14ac:dyDescent="0.25">
      <c r="A20" s="39"/>
      <c r="B20" s="34"/>
      <c r="C20" s="18"/>
      <c r="D20" s="18"/>
      <c r="E20" s="18"/>
      <c r="F20" s="18"/>
      <c r="G20" s="18"/>
      <c r="H20" s="18"/>
      <c r="I20" s="18"/>
      <c r="J20" s="18"/>
      <c r="K20" s="18"/>
      <c r="L20" s="18"/>
      <c r="M20" s="18"/>
      <c r="N20" s="18"/>
      <c r="O20" s="18"/>
      <c r="P20" s="18"/>
      <c r="Q20" s="18"/>
      <c r="R20" s="18"/>
      <c r="S20" s="18"/>
      <c r="T20" s="18"/>
      <c r="U20" s="18"/>
      <c r="V20" s="18"/>
      <c r="W20" s="18"/>
      <c r="X20" s="18"/>
      <c r="Y20" s="18"/>
      <c r="AN20" s="107"/>
    </row>
    <row r="21" spans="1:47" x14ac:dyDescent="0.25">
      <c r="J21" t="s">
        <v>56</v>
      </c>
      <c r="O21" t="e">
        <f>(S18/Q18)-hnh</f>
        <v>#DIV/0!</v>
      </c>
      <c r="AE21" t="e">
        <f>AA18/Q18</f>
        <v>#DIV/0!</v>
      </c>
    </row>
    <row r="22" spans="1:47" x14ac:dyDescent="0.25">
      <c r="F22" s="26"/>
      <c r="J22" s="108">
        <f>J18-Input!B28</f>
        <v>0</v>
      </c>
      <c r="X22" s="282" t="e">
        <f>S18-D18</f>
        <v>#DIV/0!</v>
      </c>
      <c r="AL22" s="37" t="e">
        <f>AL6-N6</f>
        <v>#DIV/0!</v>
      </c>
      <c r="AM22" s="37" t="e">
        <f>AM6-O6</f>
        <v>#DIV/0!</v>
      </c>
    </row>
    <row r="23" spans="1:47" ht="15.75" thickBot="1" x14ac:dyDescent="0.3">
      <c r="N23" t="e">
        <f>O6/N6</f>
        <v>#DIV/0!</v>
      </c>
      <c r="Q23" t="e">
        <f>nh1_1/Q6</f>
        <v>#DIV/0!</v>
      </c>
      <c r="R23" t="e">
        <f>T6/R6</f>
        <v>#DIV/0!</v>
      </c>
      <c r="X23" s="33" t="e">
        <f>SUM(S8:S17)-SUM(D8:D17)</f>
        <v>#DIV/0!</v>
      </c>
      <c r="AB23" s="31" t="e">
        <f>SUM(AB6:AB17)</f>
        <v>#DIV/0!</v>
      </c>
      <c r="AL23" s="37" t="e">
        <f t="shared" ref="AL23:AM34" si="23">AL7-N7</f>
        <v>#DIV/0!</v>
      </c>
      <c r="AM23" s="37" t="e">
        <f t="shared" si="23"/>
        <v>#DIV/0!</v>
      </c>
    </row>
    <row r="24" spans="1:47" x14ac:dyDescent="0.25">
      <c r="E24" s="99" t="s">
        <v>120</v>
      </c>
      <c r="I24" t="s">
        <v>34</v>
      </c>
      <c r="N24" t="e">
        <f>O7/N7</f>
        <v>#DIV/0!</v>
      </c>
      <c r="O24" s="25"/>
      <c r="Q24" t="e">
        <f>nh1_2/Q7</f>
        <v>#DIV/0!</v>
      </c>
      <c r="R24" t="e">
        <f t="shared" ref="R24:R34" si="24">T7/R7</f>
        <v>#DIV/0!</v>
      </c>
      <c r="X24" s="33" t="e">
        <f>SUM(S9:S17)-SUM(D9:D17)</f>
        <v>#DIV/0!</v>
      </c>
      <c r="AA24" s="33"/>
      <c r="AB24" s="33"/>
      <c r="AC24" s="37"/>
      <c r="AD24" s="33"/>
      <c r="AE24" s="45"/>
      <c r="AF24" s="46"/>
      <c r="AG24" s="28"/>
      <c r="AH24" s="32"/>
      <c r="AJ24" s="31"/>
      <c r="AL24" s="37" t="e">
        <f t="shared" si="23"/>
        <v>#DIV/0!</v>
      </c>
      <c r="AM24" s="37" t="e">
        <f t="shared" si="23"/>
        <v>#DIV/0!</v>
      </c>
    </row>
    <row r="25" spans="1:47" ht="15.75" thickBot="1" x14ac:dyDescent="0.3">
      <c r="B25" t="s">
        <v>68</v>
      </c>
      <c r="C25" t="s">
        <v>69</v>
      </c>
      <c r="D25" s="11" t="s">
        <v>70</v>
      </c>
      <c r="E25" s="100" t="str">
        <f>IF(ScI=1,"presence of vaccine","absence of vaccine")</f>
        <v>presence of vaccine</v>
      </c>
      <c r="N25" t="e">
        <f t="shared" ref="N25:N34" si="25">O8/N8</f>
        <v>#DIV/0!</v>
      </c>
      <c r="Q25" t="e">
        <f>nh1_3/Q8</f>
        <v>#DIV/0!</v>
      </c>
      <c r="R25" t="e">
        <f t="shared" si="24"/>
        <v>#DIV/0!</v>
      </c>
      <c r="AL25" s="37" t="e">
        <f t="shared" si="23"/>
        <v>#DIV/0!</v>
      </c>
      <c r="AM25" s="37" t="e">
        <f t="shared" si="23"/>
        <v>#DIV/0!</v>
      </c>
    </row>
    <row r="26" spans="1:47" ht="30" x14ac:dyDescent="0.25">
      <c r="A26" s="19" t="s">
        <v>28</v>
      </c>
      <c r="B26" s="31" t="e">
        <f>S18</f>
        <v>#DIV/0!</v>
      </c>
      <c r="C26" s="91" t="e">
        <f>B26-B117</f>
        <v>#DIV/0!</v>
      </c>
      <c r="D26" s="92" t="e">
        <f>B73-B26</f>
        <v>#DIV/0!</v>
      </c>
      <c r="G26" t="s">
        <v>35</v>
      </c>
      <c r="H26" s="89">
        <f>SUM(J6:J17)*TP</f>
        <v>0</v>
      </c>
      <c r="N26" t="e">
        <f t="shared" si="25"/>
        <v>#DIV/0!</v>
      </c>
      <c r="Q26" t="e">
        <f>nh1_4/Q9</f>
        <v>#DIV/0!</v>
      </c>
      <c r="R26" t="e">
        <f t="shared" si="24"/>
        <v>#DIV/0!</v>
      </c>
      <c r="AL26" s="37" t="e">
        <f t="shared" si="23"/>
        <v>#DIV/0!</v>
      </c>
      <c r="AM26" s="37" t="e">
        <f t="shared" si="23"/>
        <v>#DIV/0!</v>
      </c>
    </row>
    <row r="27" spans="1:47" ht="30" x14ac:dyDescent="0.25">
      <c r="A27" s="19" t="s">
        <v>29</v>
      </c>
      <c r="B27" s="31">
        <f>D18</f>
        <v>0</v>
      </c>
      <c r="C27" s="91">
        <f t="shared" ref="C27:C42" si="26">B27-B118</f>
        <v>0</v>
      </c>
      <c r="D27" s="92" t="e">
        <f t="shared" ref="D27:D42" si="27">B74-B27</f>
        <v>#DIV/0!</v>
      </c>
      <c r="G27" t="s">
        <v>121</v>
      </c>
      <c r="H27" s="89" t="e">
        <f>SUM(K6:K17)/VE</f>
        <v>#DIV/0!</v>
      </c>
      <c r="N27" t="e">
        <f t="shared" si="25"/>
        <v>#DIV/0!</v>
      </c>
      <c r="Q27" t="e">
        <f>nh1_5/Q10</f>
        <v>#DIV/0!</v>
      </c>
      <c r="R27" t="e">
        <f t="shared" si="24"/>
        <v>#DIV/0!</v>
      </c>
      <c r="AB27" s="31"/>
      <c r="AL27" s="37" t="e">
        <f t="shared" si="23"/>
        <v>#DIV/0!</v>
      </c>
      <c r="AM27" s="37" t="e">
        <f t="shared" si="23"/>
        <v>#DIV/0!</v>
      </c>
    </row>
    <row r="28" spans="1:47" ht="30" x14ac:dyDescent="0.25">
      <c r="A28" s="19" t="s">
        <v>20</v>
      </c>
      <c r="B28" s="33" t="e">
        <f>B26-B27</f>
        <v>#DIV/0!</v>
      </c>
      <c r="C28" s="91" t="e">
        <f>B28-B119</f>
        <v>#DIV/0!</v>
      </c>
      <c r="D28" s="92" t="e">
        <f t="shared" si="27"/>
        <v>#DIV/0!</v>
      </c>
      <c r="N28" t="e">
        <f t="shared" si="25"/>
        <v>#DIV/0!</v>
      </c>
      <c r="Q28" t="e">
        <f>nh1_6/Q11</f>
        <v>#DIV/0!</v>
      </c>
      <c r="R28" t="e">
        <f t="shared" si="24"/>
        <v>#DIV/0!</v>
      </c>
      <c r="AL28" s="37" t="e">
        <f t="shared" si="23"/>
        <v>#DIV/0!</v>
      </c>
      <c r="AM28" s="37" t="e">
        <f t="shared" si="23"/>
        <v>#DIV/0!</v>
      </c>
    </row>
    <row r="29" spans="1:47" ht="30" x14ac:dyDescent="0.25">
      <c r="A29" s="19" t="s">
        <v>23</v>
      </c>
      <c r="B29" s="29" t="e">
        <f>1/((VE*SUM(S9:S17))/TP)</f>
        <v>#DIV/0!</v>
      </c>
      <c r="C29" s="91" t="e">
        <f t="shared" si="26"/>
        <v>#DIV/0!</v>
      </c>
      <c r="D29" s="92" t="e">
        <f t="shared" si="27"/>
        <v>#DIV/0!</v>
      </c>
      <c r="G29" s="336" t="s">
        <v>122</v>
      </c>
      <c r="H29" s="336"/>
      <c r="N29" t="e">
        <f t="shared" si="25"/>
        <v>#DIV/0!</v>
      </c>
      <c r="Q29" t="e">
        <f>nh1_7/Q12</f>
        <v>#DIV/0!</v>
      </c>
      <c r="R29" t="e">
        <f t="shared" si="24"/>
        <v>#DIV/0!</v>
      </c>
      <c r="AL29" s="37" t="e">
        <f t="shared" si="23"/>
        <v>#DIV/0!</v>
      </c>
      <c r="AM29" s="37" t="e">
        <f t="shared" si="23"/>
        <v>#DIV/0!</v>
      </c>
    </row>
    <row r="30" spans="1:47" x14ac:dyDescent="0.25">
      <c r="A30" s="19"/>
      <c r="C30" s="91">
        <f t="shared" si="26"/>
        <v>0</v>
      </c>
      <c r="D30" s="92">
        <f t="shared" si="27"/>
        <v>0</v>
      </c>
      <c r="G30" t="s">
        <v>123</v>
      </c>
      <c r="H30" s="89" t="e">
        <f>(((L9/VE)/SUM(J6:J9)))-TP</f>
        <v>#DIV/0!</v>
      </c>
      <c r="N30" t="e">
        <f t="shared" si="25"/>
        <v>#DIV/0!</v>
      </c>
      <c r="Q30" t="e">
        <f>nh1_8/Q13</f>
        <v>#DIV/0!</v>
      </c>
      <c r="R30" t="e">
        <f t="shared" si="24"/>
        <v>#DIV/0!</v>
      </c>
      <c r="AL30" s="37" t="e">
        <f t="shared" si="23"/>
        <v>#DIV/0!</v>
      </c>
      <c r="AM30" s="37" t="e">
        <f t="shared" si="23"/>
        <v>#DIV/0!</v>
      </c>
    </row>
    <row r="31" spans="1:47" x14ac:dyDescent="0.25">
      <c r="A31" s="19" t="s">
        <v>30</v>
      </c>
      <c r="B31" s="31" t="e">
        <f>X18</f>
        <v>#DIV/0!</v>
      </c>
      <c r="C31" s="91" t="e">
        <f t="shared" si="26"/>
        <v>#DIV/0!</v>
      </c>
      <c r="D31" s="92" t="e">
        <f t="shared" si="27"/>
        <v>#DIV/0!</v>
      </c>
      <c r="G31" t="s">
        <v>124</v>
      </c>
      <c r="H31" s="89" t="e">
        <f>(((L11/VE)/SUM(J6:J11)))-TP</f>
        <v>#DIV/0!</v>
      </c>
      <c r="N31" t="e">
        <f t="shared" si="25"/>
        <v>#DIV/0!</v>
      </c>
      <c r="Q31" t="e">
        <f>nh1_9/Q14</f>
        <v>#DIV/0!</v>
      </c>
      <c r="R31" t="e">
        <f t="shared" si="24"/>
        <v>#DIV/0!</v>
      </c>
      <c r="AL31" s="37" t="e">
        <f t="shared" si="23"/>
        <v>#DIV/0!</v>
      </c>
      <c r="AM31" s="37" t="e">
        <f t="shared" si="23"/>
        <v>#DIV/0!</v>
      </c>
    </row>
    <row r="32" spans="1:47" x14ac:dyDescent="0.25">
      <c r="A32" s="19" t="s">
        <v>31</v>
      </c>
      <c r="B32" s="25">
        <f>H18</f>
        <v>0</v>
      </c>
      <c r="C32" s="91">
        <f t="shared" si="26"/>
        <v>0</v>
      </c>
      <c r="D32" s="92" t="e">
        <f t="shared" si="27"/>
        <v>#DIV/0!</v>
      </c>
      <c r="G32" t="s">
        <v>125</v>
      </c>
      <c r="H32" s="89" t="e">
        <f>(((L17/VE)/SUM(J6:J17)))-TP</f>
        <v>#DIV/0!</v>
      </c>
      <c r="N32" t="e">
        <f t="shared" si="25"/>
        <v>#DIV/0!</v>
      </c>
      <c r="Q32" t="e">
        <f>nh1_10/Q15</f>
        <v>#DIV/0!</v>
      </c>
      <c r="R32" t="e">
        <f t="shared" si="24"/>
        <v>#DIV/0!</v>
      </c>
      <c r="AL32" s="37" t="e">
        <f t="shared" si="23"/>
        <v>#DIV/0!</v>
      </c>
      <c r="AM32" s="37" t="e">
        <f t="shared" si="23"/>
        <v>#DIV/0!</v>
      </c>
    </row>
    <row r="33" spans="1:39" x14ac:dyDescent="0.25">
      <c r="A33" s="19" t="s">
        <v>21</v>
      </c>
      <c r="B33" s="33" t="e">
        <f>B31-B32</f>
        <v>#DIV/0!</v>
      </c>
      <c r="C33" s="91" t="e">
        <f t="shared" si="26"/>
        <v>#DIV/0!</v>
      </c>
      <c r="D33" s="92" t="e">
        <f t="shared" si="27"/>
        <v>#DIV/0!</v>
      </c>
      <c r="N33" t="e">
        <f t="shared" si="25"/>
        <v>#DIV/0!</v>
      </c>
      <c r="Q33" t="e">
        <f>nh1_11/Q16</f>
        <v>#DIV/0!</v>
      </c>
      <c r="R33" t="e">
        <f t="shared" si="24"/>
        <v>#DIV/0!</v>
      </c>
      <c r="AL33" s="37" t="e">
        <f t="shared" si="23"/>
        <v>#DIV/0!</v>
      </c>
      <c r="AM33" s="37" t="e">
        <f t="shared" si="23"/>
        <v>#DIV/0!</v>
      </c>
    </row>
    <row r="34" spans="1:39" x14ac:dyDescent="0.25">
      <c r="A34" s="19" t="s">
        <v>22</v>
      </c>
      <c r="B34" s="29" t="e">
        <f>1/(VE*(SUM(S9:S17,Q9:Q17))/TP)</f>
        <v>#DIV/0!</v>
      </c>
      <c r="C34" s="91" t="e">
        <f t="shared" si="26"/>
        <v>#DIV/0!</v>
      </c>
      <c r="D34" s="92" t="e">
        <f t="shared" si="27"/>
        <v>#DIV/0!</v>
      </c>
      <c r="N34" t="e">
        <f t="shared" si="25"/>
        <v>#DIV/0!</v>
      </c>
      <c r="Q34" t="e">
        <f>nh1_12/Q17</f>
        <v>#DIV/0!</v>
      </c>
      <c r="R34" t="e">
        <f t="shared" si="24"/>
        <v>#DIV/0!</v>
      </c>
      <c r="AL34" s="37">
        <f t="shared" si="23"/>
        <v>0</v>
      </c>
      <c r="AM34" s="37">
        <f t="shared" si="23"/>
        <v>0</v>
      </c>
    </row>
    <row r="35" spans="1:39" x14ac:dyDescent="0.25">
      <c r="A35" s="19"/>
      <c r="C35" s="91">
        <f t="shared" si="26"/>
        <v>0</v>
      </c>
      <c r="D35" s="92">
        <f t="shared" si="27"/>
        <v>0</v>
      </c>
      <c r="N35" t="e">
        <f>O18/N18</f>
        <v>#DIV/0!</v>
      </c>
    </row>
    <row r="36" spans="1:39" x14ac:dyDescent="0.25">
      <c r="A36" s="19" t="s">
        <v>32</v>
      </c>
      <c r="B36" s="33" t="e">
        <f>Q18</f>
        <v>#DIV/0!</v>
      </c>
      <c r="C36" s="91" t="e">
        <f t="shared" si="26"/>
        <v>#DIV/0!</v>
      </c>
      <c r="D36" s="92" t="e">
        <f t="shared" si="27"/>
        <v>#DIV/0!</v>
      </c>
    </row>
    <row r="37" spans="1:39" x14ac:dyDescent="0.25">
      <c r="A37" s="19" t="s">
        <v>33</v>
      </c>
      <c r="B37" s="33">
        <f>B18</f>
        <v>0</v>
      </c>
      <c r="C37" s="91">
        <f t="shared" si="26"/>
        <v>0</v>
      </c>
      <c r="D37" s="92" t="e">
        <f t="shared" si="27"/>
        <v>#DIV/0!</v>
      </c>
    </row>
    <row r="38" spans="1:39" ht="30" x14ac:dyDescent="0.25">
      <c r="A38" s="19" t="s">
        <v>12</v>
      </c>
      <c r="B38" s="33" t="e">
        <f>B36-B37</f>
        <v>#DIV/0!</v>
      </c>
      <c r="C38" s="91" t="e">
        <f t="shared" si="26"/>
        <v>#DIV/0!</v>
      </c>
      <c r="D38" s="92" t="e">
        <f t="shared" si="27"/>
        <v>#DIV/0!</v>
      </c>
    </row>
    <row r="39" spans="1:39" x14ac:dyDescent="0.25">
      <c r="A39" s="19" t="s">
        <v>25</v>
      </c>
      <c r="B39" s="27" t="e">
        <f>1/(VE*SUM(Q9:Q17)/TP)</f>
        <v>#DIV/0!</v>
      </c>
      <c r="C39" s="91" t="e">
        <f t="shared" si="26"/>
        <v>#DIV/0!</v>
      </c>
      <c r="D39" s="92" t="e">
        <f t="shared" si="27"/>
        <v>#DIV/0!</v>
      </c>
    </row>
    <row r="40" spans="1:39" x14ac:dyDescent="0.25">
      <c r="A40" s="19"/>
      <c r="C40" s="91">
        <f t="shared" si="26"/>
        <v>0</v>
      </c>
      <c r="D40" s="92">
        <f t="shared" si="27"/>
        <v>0</v>
      </c>
    </row>
    <row r="41" spans="1:39" ht="30" x14ac:dyDescent="0.25">
      <c r="A41" s="19" t="s">
        <v>26</v>
      </c>
      <c r="B41" s="30" t="str">
        <f>AF18</f>
        <v>Fail</v>
      </c>
      <c r="C41" s="91" t="e">
        <f t="shared" si="26"/>
        <v>#VALUE!</v>
      </c>
      <c r="D41" s="92" t="e">
        <f t="shared" si="27"/>
        <v>#VALUE!</v>
      </c>
    </row>
    <row r="42" spans="1:39" ht="30" x14ac:dyDescent="0.25">
      <c r="A42" s="19" t="s">
        <v>27</v>
      </c>
      <c r="B42" s="30" t="str">
        <f>AE18</f>
        <v>Fail</v>
      </c>
      <c r="C42" s="91" t="e">
        <f t="shared" si="26"/>
        <v>#VALUE!</v>
      </c>
      <c r="D42" s="92" t="e">
        <f t="shared" si="27"/>
        <v>#VALUE!</v>
      </c>
    </row>
    <row r="48" spans="1:39" ht="23.25" x14ac:dyDescent="0.25">
      <c r="A48" s="1" t="s">
        <v>66</v>
      </c>
      <c r="B48" s="2"/>
      <c r="C48" s="2"/>
      <c r="D48" s="2"/>
      <c r="E48" s="2"/>
      <c r="F48" s="2"/>
      <c r="G48" s="2"/>
      <c r="H48" s="2"/>
      <c r="I48" s="2"/>
      <c r="J48" s="2"/>
      <c r="K48" s="2"/>
      <c r="L48" s="2"/>
      <c r="M48" s="2"/>
      <c r="N48" s="2"/>
      <c r="O48" s="2"/>
      <c r="P48" s="2"/>
      <c r="Q48" s="2"/>
      <c r="R48" s="2"/>
      <c r="S48" s="2"/>
      <c r="T48" s="2"/>
      <c r="U48" s="2"/>
      <c r="V48" s="52"/>
      <c r="W48" s="52"/>
      <c r="X48" s="52"/>
      <c r="Y48" s="52"/>
    </row>
    <row r="50" spans="1:36" x14ac:dyDescent="0.25">
      <c r="A50" s="4" t="s">
        <v>0</v>
      </c>
      <c r="B50" s="6"/>
      <c r="C50" s="6"/>
      <c r="D50" s="6"/>
      <c r="E50" s="6"/>
      <c r="F50" s="6"/>
      <c r="G50" s="6"/>
      <c r="H50" s="6"/>
      <c r="I50" s="6"/>
      <c r="J50" s="6"/>
      <c r="K50" s="6"/>
      <c r="L50" s="6"/>
      <c r="M50" s="6"/>
      <c r="N50" s="6"/>
      <c r="O50" s="6"/>
      <c r="P50" s="6"/>
      <c r="Q50" s="6"/>
      <c r="R50" s="6"/>
      <c r="S50" s="6"/>
      <c r="T50" s="6"/>
      <c r="U50" s="6"/>
      <c r="V50" s="53"/>
      <c r="W50" s="53"/>
      <c r="X50" s="53"/>
      <c r="Y50" s="53"/>
    </row>
    <row r="51" spans="1:36" ht="15" customHeight="1" x14ac:dyDescent="0.25">
      <c r="A51" s="7"/>
      <c r="B51" s="349" t="s">
        <v>103</v>
      </c>
      <c r="C51" s="350"/>
      <c r="D51" s="350"/>
      <c r="E51" s="350"/>
      <c r="F51" s="350"/>
      <c r="G51" s="350"/>
      <c r="H51" s="350"/>
      <c r="I51" s="351"/>
      <c r="J51" s="55"/>
      <c r="K51" s="56"/>
      <c r="L51" s="56"/>
      <c r="M51" s="80"/>
      <c r="N51" s="354" t="s">
        <v>19</v>
      </c>
      <c r="O51" s="355"/>
      <c r="P51" s="360" t="s">
        <v>60</v>
      </c>
      <c r="Q51" s="361"/>
      <c r="R51" s="361"/>
      <c r="S51" s="361"/>
      <c r="T51" s="361"/>
      <c r="U51" s="361"/>
      <c r="V51" s="361"/>
      <c r="W51" s="361"/>
      <c r="X51" s="361"/>
      <c r="Y51" s="361"/>
      <c r="AA51" s="357" t="s">
        <v>54</v>
      </c>
      <c r="AB51" s="358"/>
      <c r="AC51" s="358"/>
      <c r="AD51" s="359"/>
      <c r="AE51" s="352" t="s">
        <v>49</v>
      </c>
      <c r="AF51" s="353"/>
      <c r="AG51" s="49" t="s">
        <v>52</v>
      </c>
      <c r="AH51" s="49"/>
      <c r="AI51" s="49"/>
      <c r="AJ51" s="49"/>
    </row>
    <row r="52" spans="1:36" s="11" customFormat="1" ht="75.75" thickBot="1" x14ac:dyDescent="0.3">
      <c r="A52" s="8" t="s">
        <v>1</v>
      </c>
      <c r="B52" s="63" t="s">
        <v>6</v>
      </c>
      <c r="C52" s="63" t="s">
        <v>7</v>
      </c>
      <c r="D52" s="64" t="s">
        <v>8</v>
      </c>
      <c r="E52" s="64" t="s">
        <v>9</v>
      </c>
      <c r="F52" s="65" t="s">
        <v>58</v>
      </c>
      <c r="G52" s="65" t="s">
        <v>59</v>
      </c>
      <c r="H52" s="66" t="s">
        <v>45</v>
      </c>
      <c r="I52" s="66" t="s">
        <v>61</v>
      </c>
      <c r="J52" s="9" t="s">
        <v>3</v>
      </c>
      <c r="K52" s="9" t="s">
        <v>5</v>
      </c>
      <c r="L52" s="20" t="s">
        <v>14</v>
      </c>
      <c r="M52" s="21" t="s">
        <v>63</v>
      </c>
      <c r="N52" s="21" t="s">
        <v>13</v>
      </c>
      <c r="O52" s="21" t="s">
        <v>2</v>
      </c>
      <c r="P52" s="67" t="s">
        <v>4</v>
      </c>
      <c r="Q52" s="10" t="s">
        <v>6</v>
      </c>
      <c r="R52" s="10" t="s">
        <v>7</v>
      </c>
      <c r="S52" s="10" t="s">
        <v>8</v>
      </c>
      <c r="T52" s="10" t="s">
        <v>9</v>
      </c>
      <c r="U52" s="67" t="s">
        <v>10</v>
      </c>
      <c r="V52" s="10" t="s">
        <v>58</v>
      </c>
      <c r="W52" s="10" t="s">
        <v>59</v>
      </c>
      <c r="X52" s="54" t="s">
        <v>45</v>
      </c>
      <c r="Y52" s="54" t="s">
        <v>61</v>
      </c>
      <c r="AA52" s="44" t="s">
        <v>44</v>
      </c>
      <c r="AB52" s="44" t="s">
        <v>55</v>
      </c>
      <c r="AC52" s="44" t="s">
        <v>58</v>
      </c>
      <c r="AD52" s="44" t="s">
        <v>45</v>
      </c>
      <c r="AE52" s="44" t="s">
        <v>44</v>
      </c>
      <c r="AF52" s="44" t="s">
        <v>55</v>
      </c>
      <c r="AG52" s="44" t="s">
        <v>44</v>
      </c>
      <c r="AH52" s="44" t="s">
        <v>55</v>
      </c>
      <c r="AI52" s="44" t="s">
        <v>58</v>
      </c>
      <c r="AJ52" s="44" t="s">
        <v>45</v>
      </c>
    </row>
    <row r="53" spans="1:36" ht="15.75" thickBot="1" x14ac:dyDescent="0.3">
      <c r="A53" s="15">
        <v>1</v>
      </c>
      <c r="B53" s="61" t="e">
        <f>TP*N53</f>
        <v>#DIV/0!</v>
      </c>
      <c r="C53" s="61" t="e">
        <f>SUM(B$53:B53)</f>
        <v>#DIV/0!</v>
      </c>
      <c r="D53" s="62" t="e">
        <f>TP*O53</f>
        <v>#DIV/0!</v>
      </c>
      <c r="E53" s="61" t="e">
        <f>SUM(D$53:D53)</f>
        <v>#DIV/0!</v>
      </c>
      <c r="F53" s="62" t="e">
        <f t="shared" ref="F53:F64" si="28">H53*mai</f>
        <v>#DIV/0!</v>
      </c>
      <c r="G53" s="61" t="e">
        <f>SUM(F$53:F53)</f>
        <v>#DIV/0!</v>
      </c>
      <c r="H53" s="62" t="e">
        <f>B53+D53</f>
        <v>#DIV/0!</v>
      </c>
      <c r="I53" s="61" t="e">
        <f>SUM(H$53:H53)</f>
        <v>#DIV/0!</v>
      </c>
      <c r="J53" s="57">
        <f>Input!E9</f>
        <v>0</v>
      </c>
      <c r="K53" s="13">
        <f t="shared" ref="K53:K64" si="29">TP*J53*VE</f>
        <v>0</v>
      </c>
      <c r="L53" s="14">
        <f>SUM(K$53:K53)</f>
        <v>0</v>
      </c>
      <c r="M53" s="14" t="e">
        <f t="shared" ref="M53:M64" si="30">TP-C53-E53-L53</f>
        <v>#DIV/0!</v>
      </c>
      <c r="N53" s="16" t="e">
        <f>Q53/P53</f>
        <v>#DIV/0!</v>
      </c>
      <c r="O53" s="16" t="e">
        <f>S53/P53</f>
        <v>#DIV/0!</v>
      </c>
      <c r="P53" s="12">
        <f>TP</f>
        <v>0</v>
      </c>
      <c r="Q53" s="14">
        <f>Input!I9</f>
        <v>0</v>
      </c>
      <c r="R53" s="14">
        <f>SUM(Q$53:Q53)</f>
        <v>0</v>
      </c>
      <c r="S53" s="14">
        <f t="shared" ref="S53:S64" si="31">Q53*hnh</f>
        <v>0</v>
      </c>
      <c r="T53" s="14">
        <f>SUM(S$53:S53)</f>
        <v>0</v>
      </c>
      <c r="U53" s="12">
        <f t="shared" ref="U53:U64" si="32">TP-R53-T53</f>
        <v>0</v>
      </c>
      <c r="V53" s="12">
        <f t="shared" ref="V53:V64" si="33">S53*mai</f>
        <v>0</v>
      </c>
      <c r="W53" s="14">
        <f>SUM(V$53:V53)</f>
        <v>0</v>
      </c>
      <c r="X53" s="12">
        <f>Q53+S53</f>
        <v>0</v>
      </c>
      <c r="Y53" s="14">
        <f>SUM(X$53:X53)</f>
        <v>0</v>
      </c>
      <c r="AA53" s="31" t="e">
        <f t="shared" ref="AA53:AA64" si="34">Q53-B53</f>
        <v>#DIV/0!</v>
      </c>
      <c r="AB53" s="31" t="e">
        <f t="shared" ref="AB53:AB64" si="35">S53-D53</f>
        <v>#DIV/0!</v>
      </c>
      <c r="AC53" s="31" t="e">
        <f t="shared" ref="AC53:AC58" si="36">V53-F53</f>
        <v>#DIV/0!</v>
      </c>
      <c r="AD53" s="31" t="e">
        <f>X53-H53</f>
        <v>#DIV/0!</v>
      </c>
      <c r="AE53" s="48"/>
      <c r="AF53" s="48"/>
      <c r="AG53" s="48"/>
      <c r="AH53" s="48"/>
      <c r="AI53" s="48"/>
      <c r="AJ53" s="48"/>
    </row>
    <row r="54" spans="1:36" ht="15.75" thickBot="1" x14ac:dyDescent="0.3">
      <c r="A54" s="17">
        <v>2</v>
      </c>
      <c r="B54" s="61" t="e">
        <f>M53*N54</f>
        <v>#DIV/0!</v>
      </c>
      <c r="C54" s="61" t="e">
        <f>SUM(B$53:B54)</f>
        <v>#DIV/0!</v>
      </c>
      <c r="D54" s="62" t="e">
        <f>M53*O54</f>
        <v>#DIV/0!</v>
      </c>
      <c r="E54" s="61" t="e">
        <f>SUM(D$53:D54)</f>
        <v>#DIV/0!</v>
      </c>
      <c r="F54" s="62" t="e">
        <f t="shared" si="28"/>
        <v>#DIV/0!</v>
      </c>
      <c r="G54" s="61" t="e">
        <f>SUM(F$53:F54)</f>
        <v>#DIV/0!</v>
      </c>
      <c r="H54" s="62" t="e">
        <f t="shared" ref="H54:H64" si="37">B54+D54</f>
        <v>#DIV/0!</v>
      </c>
      <c r="I54" s="61" t="e">
        <f>SUM(H$53:H54)</f>
        <v>#DIV/0!</v>
      </c>
      <c r="J54" s="57">
        <f>Input!E10</f>
        <v>0</v>
      </c>
      <c r="K54" s="13">
        <f t="shared" si="29"/>
        <v>0</v>
      </c>
      <c r="L54" s="14">
        <f>SUM(K$53:K54)</f>
        <v>0</v>
      </c>
      <c r="M54" s="14" t="e">
        <f t="shared" si="30"/>
        <v>#DIV/0!</v>
      </c>
      <c r="N54" s="16" t="e">
        <f>Q54/P54</f>
        <v>#DIV/0!</v>
      </c>
      <c r="O54" s="16" t="e">
        <f t="shared" ref="O54:O64" si="38">S54/P54</f>
        <v>#DIV/0!</v>
      </c>
      <c r="P54" s="12">
        <f>U53</f>
        <v>0</v>
      </c>
      <c r="Q54" s="14">
        <f>Input!I10</f>
        <v>0</v>
      </c>
      <c r="R54" s="14">
        <f>SUM(Q$53:Q54)</f>
        <v>0</v>
      </c>
      <c r="S54" s="14">
        <f t="shared" si="31"/>
        <v>0</v>
      </c>
      <c r="T54" s="14">
        <f>SUM(S$53:S54)</f>
        <v>0</v>
      </c>
      <c r="U54" s="12">
        <f t="shared" si="32"/>
        <v>0</v>
      </c>
      <c r="V54" s="12">
        <f t="shared" si="33"/>
        <v>0</v>
      </c>
      <c r="W54" s="14">
        <f>SUM(V$53:V54)</f>
        <v>0</v>
      </c>
      <c r="X54" s="12">
        <f t="shared" ref="X54:X64" si="39">Q54+S54</f>
        <v>0</v>
      </c>
      <c r="Y54" s="14">
        <f>SUM(X$53:X54)</f>
        <v>0</v>
      </c>
      <c r="AA54" s="31" t="e">
        <f t="shared" si="34"/>
        <v>#DIV/0!</v>
      </c>
      <c r="AB54" s="31" t="e">
        <f t="shared" si="35"/>
        <v>#DIV/0!</v>
      </c>
      <c r="AC54" s="31" t="e">
        <f t="shared" si="36"/>
        <v>#DIV/0!</v>
      </c>
      <c r="AD54" s="31" t="e">
        <f>X54-H54</f>
        <v>#DIV/0!</v>
      </c>
      <c r="AE54" s="48"/>
      <c r="AF54" s="48"/>
      <c r="AG54" s="48"/>
      <c r="AH54" s="48"/>
      <c r="AI54" s="48"/>
      <c r="AJ54" s="48"/>
    </row>
    <row r="55" spans="1:36" ht="15.75" thickBot="1" x14ac:dyDescent="0.3">
      <c r="A55" s="17">
        <v>3</v>
      </c>
      <c r="B55" s="61" t="e">
        <f t="shared" ref="B55:B64" si="40">M54*N55</f>
        <v>#DIV/0!</v>
      </c>
      <c r="C55" s="61" t="e">
        <f>SUM(B$53:B55)</f>
        <v>#DIV/0!</v>
      </c>
      <c r="D55" s="62" t="e">
        <f t="shared" ref="D55:D64" si="41">M54*O55</f>
        <v>#DIV/0!</v>
      </c>
      <c r="E55" s="61" t="e">
        <f>SUM(D$53:D55)</f>
        <v>#DIV/0!</v>
      </c>
      <c r="F55" s="62" t="e">
        <f t="shared" si="28"/>
        <v>#DIV/0!</v>
      </c>
      <c r="G55" s="61" t="e">
        <f>SUM(F$53:F55)</f>
        <v>#DIV/0!</v>
      </c>
      <c r="H55" s="62" t="e">
        <f t="shared" si="37"/>
        <v>#DIV/0!</v>
      </c>
      <c r="I55" s="61" t="e">
        <f>SUM(H$53:H55)</f>
        <v>#DIV/0!</v>
      </c>
      <c r="J55" s="57">
        <f>Input!E11</f>
        <v>0</v>
      </c>
      <c r="K55" s="13">
        <f t="shared" si="29"/>
        <v>0</v>
      </c>
      <c r="L55" s="14">
        <f>SUM(K$53:K55)</f>
        <v>0</v>
      </c>
      <c r="M55" s="14" t="e">
        <f t="shared" si="30"/>
        <v>#DIV/0!</v>
      </c>
      <c r="N55" s="16" t="e">
        <f t="shared" ref="N55:N64" si="42">Q55/P55</f>
        <v>#DIV/0!</v>
      </c>
      <c r="O55" s="16" t="e">
        <f t="shared" si="38"/>
        <v>#DIV/0!</v>
      </c>
      <c r="P55" s="12">
        <f t="shared" ref="P55:P64" si="43">U54</f>
        <v>0</v>
      </c>
      <c r="Q55" s="14">
        <f>Input!I11</f>
        <v>0</v>
      </c>
      <c r="R55" s="14">
        <f>SUM(Q$53:Q55)</f>
        <v>0</v>
      </c>
      <c r="S55" s="14">
        <f t="shared" si="31"/>
        <v>0</v>
      </c>
      <c r="T55" s="14">
        <f>SUM(S$53:S55)</f>
        <v>0</v>
      </c>
      <c r="U55" s="12">
        <f t="shared" si="32"/>
        <v>0</v>
      </c>
      <c r="V55" s="12">
        <f t="shared" si="33"/>
        <v>0</v>
      </c>
      <c r="W55" s="14">
        <f>SUM(V$53:V55)</f>
        <v>0</v>
      </c>
      <c r="X55" s="12">
        <f t="shared" si="39"/>
        <v>0</v>
      </c>
      <c r="Y55" s="14">
        <f>SUM(X$53:X55)</f>
        <v>0</v>
      </c>
      <c r="AA55" s="31" t="e">
        <f t="shared" si="34"/>
        <v>#DIV/0!</v>
      </c>
      <c r="AB55" s="31" t="e">
        <f t="shared" si="35"/>
        <v>#DIV/0!</v>
      </c>
      <c r="AC55" s="31" t="e">
        <f t="shared" si="36"/>
        <v>#DIV/0!</v>
      </c>
      <c r="AD55" s="31" t="e">
        <f t="shared" ref="AD55:AD64" si="44">X55-H55</f>
        <v>#DIV/0!</v>
      </c>
      <c r="AE55" s="48"/>
      <c r="AF55" s="48"/>
      <c r="AG55" s="48"/>
      <c r="AH55" s="48"/>
      <c r="AI55" s="48"/>
      <c r="AJ55" s="48"/>
    </row>
    <row r="56" spans="1:36" ht="15.75" thickBot="1" x14ac:dyDescent="0.3">
      <c r="A56" s="17">
        <v>4</v>
      </c>
      <c r="B56" s="61" t="e">
        <f t="shared" si="40"/>
        <v>#DIV/0!</v>
      </c>
      <c r="C56" s="61" t="e">
        <f>SUM(B$53:B56)</f>
        <v>#DIV/0!</v>
      </c>
      <c r="D56" s="62" t="e">
        <f t="shared" si="41"/>
        <v>#DIV/0!</v>
      </c>
      <c r="E56" s="61" t="e">
        <f>SUM(D$53:D56)</f>
        <v>#DIV/0!</v>
      </c>
      <c r="F56" s="62" t="e">
        <f t="shared" si="28"/>
        <v>#DIV/0!</v>
      </c>
      <c r="G56" s="61" t="e">
        <f>SUM(F$53:F56)</f>
        <v>#DIV/0!</v>
      </c>
      <c r="H56" s="62" t="e">
        <f t="shared" si="37"/>
        <v>#DIV/0!</v>
      </c>
      <c r="I56" s="61" t="e">
        <f>SUM(H$53:H56)</f>
        <v>#DIV/0!</v>
      </c>
      <c r="J56" s="57">
        <f>Input!E12</f>
        <v>0</v>
      </c>
      <c r="K56" s="13">
        <f t="shared" si="29"/>
        <v>0</v>
      </c>
      <c r="L56" s="14">
        <f>SUM(K$53:K56)</f>
        <v>0</v>
      </c>
      <c r="M56" s="14" t="e">
        <f t="shared" si="30"/>
        <v>#DIV/0!</v>
      </c>
      <c r="N56" s="16" t="e">
        <f t="shared" si="42"/>
        <v>#DIV/0!</v>
      </c>
      <c r="O56" s="16" t="e">
        <f t="shared" si="38"/>
        <v>#DIV/0!</v>
      </c>
      <c r="P56" s="12">
        <f t="shared" si="43"/>
        <v>0</v>
      </c>
      <c r="Q56" s="14">
        <f>Input!I12</f>
        <v>0</v>
      </c>
      <c r="R56" s="14">
        <f>SUM(Q$53:Q56)</f>
        <v>0</v>
      </c>
      <c r="S56" s="14">
        <f t="shared" si="31"/>
        <v>0</v>
      </c>
      <c r="T56" s="14">
        <f>SUM(S$53:S56)</f>
        <v>0</v>
      </c>
      <c r="U56" s="12">
        <f t="shared" si="32"/>
        <v>0</v>
      </c>
      <c r="V56" s="12">
        <f t="shared" si="33"/>
        <v>0</v>
      </c>
      <c r="W56" s="14">
        <f>SUM(V$53:V56)</f>
        <v>0</v>
      </c>
      <c r="X56" s="12">
        <f t="shared" si="39"/>
        <v>0</v>
      </c>
      <c r="Y56" s="14">
        <f>SUM(X$53:X56)</f>
        <v>0</v>
      </c>
      <c r="AA56" s="31" t="e">
        <f t="shared" si="34"/>
        <v>#DIV/0!</v>
      </c>
      <c r="AB56" s="31" t="e">
        <f t="shared" si="35"/>
        <v>#DIV/0!</v>
      </c>
      <c r="AC56" s="31" t="e">
        <f t="shared" si="36"/>
        <v>#DIV/0!</v>
      </c>
      <c r="AD56" s="31" t="e">
        <f t="shared" si="44"/>
        <v>#DIV/0!</v>
      </c>
      <c r="AE56" s="48"/>
      <c r="AF56" s="48"/>
      <c r="AG56" s="48"/>
      <c r="AH56" s="48"/>
      <c r="AI56" s="48"/>
      <c r="AJ56" s="48"/>
    </row>
    <row r="57" spans="1:36" ht="15.75" thickBot="1" x14ac:dyDescent="0.3">
      <c r="A57" s="17">
        <v>5</v>
      </c>
      <c r="B57" s="61" t="e">
        <f t="shared" si="40"/>
        <v>#DIV/0!</v>
      </c>
      <c r="C57" s="61" t="e">
        <f>SUM(B$53:B57)</f>
        <v>#DIV/0!</v>
      </c>
      <c r="D57" s="62" t="e">
        <f t="shared" si="41"/>
        <v>#DIV/0!</v>
      </c>
      <c r="E57" s="61" t="e">
        <f>SUM(D$53:D57)</f>
        <v>#DIV/0!</v>
      </c>
      <c r="F57" s="62" t="e">
        <f t="shared" si="28"/>
        <v>#DIV/0!</v>
      </c>
      <c r="G57" s="61" t="e">
        <f>SUM(F$53:F57)</f>
        <v>#DIV/0!</v>
      </c>
      <c r="H57" s="62" t="e">
        <f t="shared" si="37"/>
        <v>#DIV/0!</v>
      </c>
      <c r="I57" s="61" t="e">
        <f>SUM(H$53:H57)</f>
        <v>#DIV/0!</v>
      </c>
      <c r="J57" s="57">
        <f>Input!E13</f>
        <v>0</v>
      </c>
      <c r="K57" s="13">
        <f t="shared" si="29"/>
        <v>0</v>
      </c>
      <c r="L57" s="14">
        <f>SUM(K$53:K57)</f>
        <v>0</v>
      </c>
      <c r="M57" s="14" t="e">
        <f t="shared" si="30"/>
        <v>#DIV/0!</v>
      </c>
      <c r="N57" s="16" t="e">
        <f t="shared" si="42"/>
        <v>#DIV/0!</v>
      </c>
      <c r="O57" s="16" t="e">
        <f t="shared" si="38"/>
        <v>#DIV/0!</v>
      </c>
      <c r="P57" s="12">
        <f t="shared" si="43"/>
        <v>0</v>
      </c>
      <c r="Q57" s="14">
        <f>Input!I13</f>
        <v>0</v>
      </c>
      <c r="R57" s="14">
        <f>SUM(Q$53:Q57)</f>
        <v>0</v>
      </c>
      <c r="S57" s="14">
        <f t="shared" si="31"/>
        <v>0</v>
      </c>
      <c r="T57" s="14">
        <f>SUM(S$53:S57)</f>
        <v>0</v>
      </c>
      <c r="U57" s="12">
        <f t="shared" si="32"/>
        <v>0</v>
      </c>
      <c r="V57" s="12">
        <f t="shared" si="33"/>
        <v>0</v>
      </c>
      <c r="W57" s="14">
        <f>SUM(V$53:V57)</f>
        <v>0</v>
      </c>
      <c r="X57" s="12">
        <f t="shared" si="39"/>
        <v>0</v>
      </c>
      <c r="Y57" s="14">
        <f>SUM(X$53:X57)</f>
        <v>0</v>
      </c>
      <c r="AA57" s="31" t="e">
        <f t="shared" si="34"/>
        <v>#DIV/0!</v>
      </c>
      <c r="AB57" s="31" t="e">
        <f t="shared" si="35"/>
        <v>#DIV/0!</v>
      </c>
      <c r="AC57" s="31" t="e">
        <f t="shared" si="36"/>
        <v>#DIV/0!</v>
      </c>
      <c r="AD57" s="31" t="e">
        <f t="shared" si="44"/>
        <v>#DIV/0!</v>
      </c>
      <c r="AE57" s="48"/>
      <c r="AF57" s="48"/>
      <c r="AG57" s="48"/>
      <c r="AH57" s="48"/>
      <c r="AI57" s="48"/>
      <c r="AJ57" s="48"/>
    </row>
    <row r="58" spans="1:36" ht="15.75" thickBot="1" x14ac:dyDescent="0.3">
      <c r="A58" s="17">
        <v>6</v>
      </c>
      <c r="B58" s="61" t="e">
        <f t="shared" si="40"/>
        <v>#DIV/0!</v>
      </c>
      <c r="C58" s="61" t="e">
        <f>SUM(B$53:B58)</f>
        <v>#DIV/0!</v>
      </c>
      <c r="D58" s="62" t="e">
        <f t="shared" si="41"/>
        <v>#DIV/0!</v>
      </c>
      <c r="E58" s="61" t="e">
        <f>SUM(D$53:D58)</f>
        <v>#DIV/0!</v>
      </c>
      <c r="F58" s="62" t="e">
        <f t="shared" si="28"/>
        <v>#DIV/0!</v>
      </c>
      <c r="G58" s="61" t="e">
        <f>SUM(F$53:F58)</f>
        <v>#DIV/0!</v>
      </c>
      <c r="H58" s="62" t="e">
        <f t="shared" si="37"/>
        <v>#DIV/0!</v>
      </c>
      <c r="I58" s="61" t="e">
        <f>SUM(H$53:H58)</f>
        <v>#DIV/0!</v>
      </c>
      <c r="J58" s="57">
        <f>Input!E14</f>
        <v>0</v>
      </c>
      <c r="K58" s="13">
        <f t="shared" si="29"/>
        <v>0</v>
      </c>
      <c r="L58" s="14">
        <f>SUM(K$53:K58)</f>
        <v>0</v>
      </c>
      <c r="M58" s="14" t="e">
        <f t="shared" si="30"/>
        <v>#DIV/0!</v>
      </c>
      <c r="N58" s="16" t="e">
        <f t="shared" si="42"/>
        <v>#DIV/0!</v>
      </c>
      <c r="O58" s="16" t="e">
        <f t="shared" si="38"/>
        <v>#DIV/0!</v>
      </c>
      <c r="P58" s="12">
        <f t="shared" si="43"/>
        <v>0</v>
      </c>
      <c r="Q58" s="14">
        <f>Input!I14</f>
        <v>0</v>
      </c>
      <c r="R58" s="14">
        <f>SUM(Q$53:Q58)</f>
        <v>0</v>
      </c>
      <c r="S58" s="14">
        <f t="shared" si="31"/>
        <v>0</v>
      </c>
      <c r="T58" s="14">
        <f>SUM(S$53:S58)</f>
        <v>0</v>
      </c>
      <c r="U58" s="12">
        <f t="shared" si="32"/>
        <v>0</v>
      </c>
      <c r="V58" s="12">
        <f t="shared" si="33"/>
        <v>0</v>
      </c>
      <c r="W58" s="14">
        <f>SUM(V$53:V58)</f>
        <v>0</v>
      </c>
      <c r="X58" s="12">
        <f t="shared" si="39"/>
        <v>0</v>
      </c>
      <c r="Y58" s="14">
        <f>SUM(X$53:X58)</f>
        <v>0</v>
      </c>
      <c r="AA58" s="31" t="e">
        <f t="shared" si="34"/>
        <v>#DIV/0!</v>
      </c>
      <c r="AB58" s="31" t="e">
        <f t="shared" si="35"/>
        <v>#DIV/0!</v>
      </c>
      <c r="AC58" s="31" t="e">
        <f t="shared" si="36"/>
        <v>#DIV/0!</v>
      </c>
      <c r="AD58" s="31" t="e">
        <f t="shared" si="44"/>
        <v>#DIV/0!</v>
      </c>
      <c r="AE58" s="48"/>
      <c r="AF58" s="48"/>
      <c r="AG58" s="48"/>
      <c r="AH58" s="48"/>
      <c r="AI58" s="48"/>
      <c r="AJ58" s="48"/>
    </row>
    <row r="59" spans="1:36" ht="15.75" thickBot="1" x14ac:dyDescent="0.3">
      <c r="A59" s="17">
        <v>7</v>
      </c>
      <c r="B59" s="61" t="e">
        <f t="shared" si="40"/>
        <v>#DIV/0!</v>
      </c>
      <c r="C59" s="61" t="e">
        <f>SUM(B$53:B59)</f>
        <v>#DIV/0!</v>
      </c>
      <c r="D59" s="62" t="e">
        <f t="shared" si="41"/>
        <v>#DIV/0!</v>
      </c>
      <c r="E59" s="61" t="e">
        <f>SUM(D$53:D59)</f>
        <v>#DIV/0!</v>
      </c>
      <c r="F59" s="62" t="e">
        <f t="shared" si="28"/>
        <v>#DIV/0!</v>
      </c>
      <c r="G59" s="61" t="e">
        <f>SUM(F$53:F59)</f>
        <v>#DIV/0!</v>
      </c>
      <c r="H59" s="62" t="e">
        <f t="shared" si="37"/>
        <v>#DIV/0!</v>
      </c>
      <c r="I59" s="61" t="e">
        <f>SUM(H$53:H59)</f>
        <v>#DIV/0!</v>
      </c>
      <c r="J59" s="57">
        <f>Input!E15</f>
        <v>0</v>
      </c>
      <c r="K59" s="13">
        <f t="shared" si="29"/>
        <v>0</v>
      </c>
      <c r="L59" s="14">
        <f>SUM(K$53:K59)</f>
        <v>0</v>
      </c>
      <c r="M59" s="14" t="e">
        <f t="shared" si="30"/>
        <v>#DIV/0!</v>
      </c>
      <c r="N59" s="16" t="e">
        <f t="shared" si="42"/>
        <v>#DIV/0!</v>
      </c>
      <c r="O59" s="16" t="e">
        <f t="shared" si="38"/>
        <v>#DIV/0!</v>
      </c>
      <c r="P59" s="12">
        <f t="shared" si="43"/>
        <v>0</v>
      </c>
      <c r="Q59" s="14">
        <f>Input!I15</f>
        <v>0</v>
      </c>
      <c r="R59" s="14">
        <f>SUM(Q$53:Q59)</f>
        <v>0</v>
      </c>
      <c r="S59" s="14">
        <f t="shared" si="31"/>
        <v>0</v>
      </c>
      <c r="T59" s="14">
        <f>SUM(S$53:S59)</f>
        <v>0</v>
      </c>
      <c r="U59" s="12">
        <f t="shared" si="32"/>
        <v>0</v>
      </c>
      <c r="V59" s="12">
        <f t="shared" si="33"/>
        <v>0</v>
      </c>
      <c r="W59" s="14">
        <f>SUM(V$53:V59)</f>
        <v>0</v>
      </c>
      <c r="X59" s="12">
        <f t="shared" si="39"/>
        <v>0</v>
      </c>
      <c r="Y59" s="14">
        <f>SUM(X$53:X59)</f>
        <v>0</v>
      </c>
      <c r="AA59" s="31" t="e">
        <f t="shared" si="34"/>
        <v>#DIV/0!</v>
      </c>
      <c r="AB59" s="31" t="e">
        <f t="shared" si="35"/>
        <v>#DIV/0!</v>
      </c>
      <c r="AC59" s="31" t="e">
        <f t="shared" ref="AC59:AC64" si="45">V59-F59</f>
        <v>#DIV/0!</v>
      </c>
      <c r="AD59" s="31" t="e">
        <f t="shared" si="44"/>
        <v>#DIV/0!</v>
      </c>
      <c r="AE59" s="48"/>
      <c r="AF59" s="48"/>
      <c r="AG59" s="48"/>
      <c r="AH59" s="48"/>
      <c r="AI59" s="48"/>
      <c r="AJ59" s="48"/>
    </row>
    <row r="60" spans="1:36" ht="15.75" thickBot="1" x14ac:dyDescent="0.3">
      <c r="A60" s="17">
        <v>8</v>
      </c>
      <c r="B60" s="61" t="e">
        <f t="shared" si="40"/>
        <v>#DIV/0!</v>
      </c>
      <c r="C60" s="61" t="e">
        <f>SUM(B$53:B60)</f>
        <v>#DIV/0!</v>
      </c>
      <c r="D60" s="62" t="e">
        <f t="shared" si="41"/>
        <v>#DIV/0!</v>
      </c>
      <c r="E60" s="61" t="e">
        <f>SUM(D$53:D60)</f>
        <v>#DIV/0!</v>
      </c>
      <c r="F60" s="62" t="e">
        <f t="shared" si="28"/>
        <v>#DIV/0!</v>
      </c>
      <c r="G60" s="61" t="e">
        <f>SUM(F$53:F60)</f>
        <v>#DIV/0!</v>
      </c>
      <c r="H60" s="62" t="e">
        <f t="shared" si="37"/>
        <v>#DIV/0!</v>
      </c>
      <c r="I60" s="61" t="e">
        <f>SUM(H$53:H60)</f>
        <v>#DIV/0!</v>
      </c>
      <c r="J60" s="57">
        <f>Input!E16</f>
        <v>0</v>
      </c>
      <c r="K60" s="13">
        <f t="shared" si="29"/>
        <v>0</v>
      </c>
      <c r="L60" s="14">
        <f>SUM(K$53:K60)</f>
        <v>0</v>
      </c>
      <c r="M60" s="14" t="e">
        <f t="shared" si="30"/>
        <v>#DIV/0!</v>
      </c>
      <c r="N60" s="16" t="e">
        <f t="shared" si="42"/>
        <v>#DIV/0!</v>
      </c>
      <c r="O60" s="16" t="e">
        <f t="shared" si="38"/>
        <v>#DIV/0!</v>
      </c>
      <c r="P60" s="12">
        <f t="shared" si="43"/>
        <v>0</v>
      </c>
      <c r="Q60" s="14">
        <f>Input!I16</f>
        <v>0</v>
      </c>
      <c r="R60" s="14">
        <f>SUM(Q$53:Q60)</f>
        <v>0</v>
      </c>
      <c r="S60" s="14">
        <f t="shared" si="31"/>
        <v>0</v>
      </c>
      <c r="T60" s="14">
        <f>SUM(S$53:S60)</f>
        <v>0</v>
      </c>
      <c r="U60" s="12">
        <f t="shared" si="32"/>
        <v>0</v>
      </c>
      <c r="V60" s="12">
        <f t="shared" si="33"/>
        <v>0</v>
      </c>
      <c r="W60" s="14">
        <f>SUM(V$53:V60)</f>
        <v>0</v>
      </c>
      <c r="X60" s="12">
        <f t="shared" si="39"/>
        <v>0</v>
      </c>
      <c r="Y60" s="14">
        <f>SUM(X$53:X60)</f>
        <v>0</v>
      </c>
      <c r="AA60" s="31" t="e">
        <f t="shared" si="34"/>
        <v>#DIV/0!</v>
      </c>
      <c r="AB60" s="31" t="e">
        <f t="shared" si="35"/>
        <v>#DIV/0!</v>
      </c>
      <c r="AC60" s="31" t="e">
        <f t="shared" si="45"/>
        <v>#DIV/0!</v>
      </c>
      <c r="AD60" s="31" t="e">
        <f t="shared" si="44"/>
        <v>#DIV/0!</v>
      </c>
      <c r="AE60" s="48"/>
      <c r="AF60" s="48"/>
      <c r="AG60" s="48"/>
      <c r="AH60" s="48"/>
      <c r="AI60" s="48"/>
      <c r="AJ60" s="48"/>
    </row>
    <row r="61" spans="1:36" ht="15.75" thickBot="1" x14ac:dyDescent="0.3">
      <c r="A61" s="17">
        <v>9</v>
      </c>
      <c r="B61" s="61" t="e">
        <f t="shared" si="40"/>
        <v>#DIV/0!</v>
      </c>
      <c r="C61" s="61" t="e">
        <f>SUM(B$53:B61)</f>
        <v>#DIV/0!</v>
      </c>
      <c r="D61" s="62" t="e">
        <f t="shared" si="41"/>
        <v>#DIV/0!</v>
      </c>
      <c r="E61" s="61" t="e">
        <f>SUM(D$53:D61)</f>
        <v>#DIV/0!</v>
      </c>
      <c r="F61" s="62" t="e">
        <f t="shared" si="28"/>
        <v>#DIV/0!</v>
      </c>
      <c r="G61" s="61" t="e">
        <f>SUM(F$53:F61)</f>
        <v>#DIV/0!</v>
      </c>
      <c r="H61" s="62" t="e">
        <f t="shared" si="37"/>
        <v>#DIV/0!</v>
      </c>
      <c r="I61" s="61" t="e">
        <f>SUM(H$53:H61)</f>
        <v>#DIV/0!</v>
      </c>
      <c r="J61" s="57">
        <f>Input!E17</f>
        <v>0</v>
      </c>
      <c r="K61" s="13">
        <f t="shared" si="29"/>
        <v>0</v>
      </c>
      <c r="L61" s="14">
        <f>SUM(K$53:K61)</f>
        <v>0</v>
      </c>
      <c r="M61" s="14" t="e">
        <f t="shared" si="30"/>
        <v>#DIV/0!</v>
      </c>
      <c r="N61" s="16" t="e">
        <f t="shared" si="42"/>
        <v>#DIV/0!</v>
      </c>
      <c r="O61" s="16" t="e">
        <f t="shared" si="38"/>
        <v>#DIV/0!</v>
      </c>
      <c r="P61" s="12">
        <f t="shared" si="43"/>
        <v>0</v>
      </c>
      <c r="Q61" s="14">
        <f>Input!I17</f>
        <v>0</v>
      </c>
      <c r="R61" s="14">
        <f>SUM(Q$53:Q61)</f>
        <v>0</v>
      </c>
      <c r="S61" s="14">
        <f t="shared" si="31"/>
        <v>0</v>
      </c>
      <c r="T61" s="14">
        <f>SUM(S$53:S61)</f>
        <v>0</v>
      </c>
      <c r="U61" s="12">
        <f t="shared" si="32"/>
        <v>0</v>
      </c>
      <c r="V61" s="12">
        <f t="shared" si="33"/>
        <v>0</v>
      </c>
      <c r="W61" s="14">
        <f>SUM(V$53:V61)</f>
        <v>0</v>
      </c>
      <c r="X61" s="12">
        <f t="shared" si="39"/>
        <v>0</v>
      </c>
      <c r="Y61" s="14">
        <f>SUM(X$53:X61)</f>
        <v>0</v>
      </c>
      <c r="AA61" s="31" t="e">
        <f t="shared" si="34"/>
        <v>#DIV/0!</v>
      </c>
      <c r="AB61" s="31" t="e">
        <f t="shared" si="35"/>
        <v>#DIV/0!</v>
      </c>
      <c r="AC61" s="31" t="e">
        <f t="shared" si="45"/>
        <v>#DIV/0!</v>
      </c>
      <c r="AD61" s="31" t="e">
        <f t="shared" si="44"/>
        <v>#DIV/0!</v>
      </c>
      <c r="AE61" s="48"/>
      <c r="AF61" s="48"/>
      <c r="AG61" s="48"/>
      <c r="AH61" s="48"/>
      <c r="AI61" s="48"/>
      <c r="AJ61" s="48"/>
    </row>
    <row r="62" spans="1:36" ht="15.75" thickBot="1" x14ac:dyDescent="0.3">
      <c r="A62" s="17">
        <v>10</v>
      </c>
      <c r="B62" s="61" t="e">
        <f t="shared" si="40"/>
        <v>#DIV/0!</v>
      </c>
      <c r="C62" s="61" t="e">
        <f>SUM(B$53:B62)</f>
        <v>#DIV/0!</v>
      </c>
      <c r="D62" s="62" t="e">
        <f t="shared" si="41"/>
        <v>#DIV/0!</v>
      </c>
      <c r="E62" s="61" t="e">
        <f>SUM(D$53:D62)</f>
        <v>#DIV/0!</v>
      </c>
      <c r="F62" s="62" t="e">
        <f t="shared" si="28"/>
        <v>#DIV/0!</v>
      </c>
      <c r="G62" s="61" t="e">
        <f>SUM(F$53:F62)</f>
        <v>#DIV/0!</v>
      </c>
      <c r="H62" s="62" t="e">
        <f t="shared" si="37"/>
        <v>#DIV/0!</v>
      </c>
      <c r="I62" s="61" t="e">
        <f>SUM(H$53:H62)</f>
        <v>#DIV/0!</v>
      </c>
      <c r="J62" s="57">
        <f>Input!E18</f>
        <v>0</v>
      </c>
      <c r="K62" s="13">
        <f t="shared" si="29"/>
        <v>0</v>
      </c>
      <c r="L62" s="14">
        <f>SUM(K$53:K62)</f>
        <v>0</v>
      </c>
      <c r="M62" s="14" t="e">
        <f t="shared" si="30"/>
        <v>#DIV/0!</v>
      </c>
      <c r="N62" s="16" t="e">
        <f t="shared" si="42"/>
        <v>#DIV/0!</v>
      </c>
      <c r="O62" s="16" t="e">
        <f t="shared" si="38"/>
        <v>#DIV/0!</v>
      </c>
      <c r="P62" s="12">
        <f t="shared" si="43"/>
        <v>0</v>
      </c>
      <c r="Q62" s="14">
        <f>Input!I18</f>
        <v>0</v>
      </c>
      <c r="R62" s="14">
        <f>SUM(Q$53:Q62)</f>
        <v>0</v>
      </c>
      <c r="S62" s="14">
        <f t="shared" si="31"/>
        <v>0</v>
      </c>
      <c r="T62" s="14">
        <f>SUM(S$53:S62)</f>
        <v>0</v>
      </c>
      <c r="U62" s="12">
        <f t="shared" si="32"/>
        <v>0</v>
      </c>
      <c r="V62" s="12">
        <f t="shared" si="33"/>
        <v>0</v>
      </c>
      <c r="W62" s="14">
        <f>SUM(V$53:V62)</f>
        <v>0</v>
      </c>
      <c r="X62" s="12">
        <f t="shared" si="39"/>
        <v>0</v>
      </c>
      <c r="Y62" s="14">
        <f>SUM(X$53:X62)</f>
        <v>0</v>
      </c>
      <c r="AA62" s="31" t="e">
        <f t="shared" si="34"/>
        <v>#DIV/0!</v>
      </c>
      <c r="AB62" s="31" t="e">
        <f t="shared" si="35"/>
        <v>#DIV/0!</v>
      </c>
      <c r="AC62" s="31" t="e">
        <f t="shared" si="45"/>
        <v>#DIV/0!</v>
      </c>
      <c r="AD62" s="31" t="e">
        <f t="shared" si="44"/>
        <v>#DIV/0!</v>
      </c>
      <c r="AE62" s="48"/>
      <c r="AF62" s="48"/>
      <c r="AG62" s="48"/>
      <c r="AH62" s="48"/>
      <c r="AI62" s="48"/>
      <c r="AJ62" s="48"/>
    </row>
    <row r="63" spans="1:36" ht="15.75" thickBot="1" x14ac:dyDescent="0.3">
      <c r="A63" s="17">
        <v>11</v>
      </c>
      <c r="B63" s="61" t="e">
        <f t="shared" si="40"/>
        <v>#DIV/0!</v>
      </c>
      <c r="C63" s="61" t="e">
        <f>SUM(B$53:B63)</f>
        <v>#DIV/0!</v>
      </c>
      <c r="D63" s="62" t="e">
        <f t="shared" si="41"/>
        <v>#DIV/0!</v>
      </c>
      <c r="E63" s="61" t="e">
        <f>SUM(D$53:D63)</f>
        <v>#DIV/0!</v>
      </c>
      <c r="F63" s="62" t="e">
        <f t="shared" si="28"/>
        <v>#DIV/0!</v>
      </c>
      <c r="G63" s="61" t="e">
        <f>SUM(F$53:F63)</f>
        <v>#DIV/0!</v>
      </c>
      <c r="H63" s="62" t="e">
        <f t="shared" si="37"/>
        <v>#DIV/0!</v>
      </c>
      <c r="I63" s="61" t="e">
        <f>SUM(H$53:H63)</f>
        <v>#DIV/0!</v>
      </c>
      <c r="J63" s="57">
        <f>Input!E19</f>
        <v>0</v>
      </c>
      <c r="K63" s="13">
        <f t="shared" si="29"/>
        <v>0</v>
      </c>
      <c r="L63" s="14">
        <f>SUM(K$53:K63)</f>
        <v>0</v>
      </c>
      <c r="M63" s="14" t="e">
        <f t="shared" si="30"/>
        <v>#DIV/0!</v>
      </c>
      <c r="N63" s="16" t="e">
        <f t="shared" si="42"/>
        <v>#DIV/0!</v>
      </c>
      <c r="O63" s="16" t="e">
        <f t="shared" si="38"/>
        <v>#DIV/0!</v>
      </c>
      <c r="P63" s="12">
        <f t="shared" si="43"/>
        <v>0</v>
      </c>
      <c r="Q63" s="14">
        <f>Input!I19</f>
        <v>0</v>
      </c>
      <c r="R63" s="14">
        <f>SUM(Q$53:Q63)</f>
        <v>0</v>
      </c>
      <c r="S63" s="14">
        <f t="shared" si="31"/>
        <v>0</v>
      </c>
      <c r="T63" s="14">
        <f>SUM(S$53:S63)</f>
        <v>0</v>
      </c>
      <c r="U63" s="12">
        <f t="shared" si="32"/>
        <v>0</v>
      </c>
      <c r="V63" s="12">
        <f t="shared" si="33"/>
        <v>0</v>
      </c>
      <c r="W63" s="14">
        <f>SUM(V$53:V63)</f>
        <v>0</v>
      </c>
      <c r="X63" s="12">
        <f t="shared" si="39"/>
        <v>0</v>
      </c>
      <c r="Y63" s="14">
        <f>SUM(X$53:X63)</f>
        <v>0</v>
      </c>
      <c r="AA63" s="31" t="e">
        <f t="shared" si="34"/>
        <v>#DIV/0!</v>
      </c>
      <c r="AB63" s="31" t="e">
        <f t="shared" si="35"/>
        <v>#DIV/0!</v>
      </c>
      <c r="AC63" s="31" t="e">
        <f t="shared" si="45"/>
        <v>#DIV/0!</v>
      </c>
      <c r="AD63" s="31" t="e">
        <f t="shared" si="44"/>
        <v>#DIV/0!</v>
      </c>
      <c r="AE63" s="48"/>
      <c r="AF63" s="48"/>
      <c r="AG63" s="48"/>
      <c r="AH63" s="48"/>
      <c r="AI63" s="48"/>
      <c r="AJ63" s="48"/>
    </row>
    <row r="64" spans="1:36" ht="15.75" thickBot="1" x14ac:dyDescent="0.3">
      <c r="A64" s="17">
        <v>12</v>
      </c>
      <c r="B64" s="61" t="e">
        <f t="shared" si="40"/>
        <v>#DIV/0!</v>
      </c>
      <c r="C64" s="61" t="e">
        <f>SUM(B$53:B64)</f>
        <v>#DIV/0!</v>
      </c>
      <c r="D64" s="62" t="e">
        <f t="shared" si="41"/>
        <v>#DIV/0!</v>
      </c>
      <c r="E64" s="61" t="e">
        <f>SUM(D$53:D64)</f>
        <v>#DIV/0!</v>
      </c>
      <c r="F64" s="62" t="e">
        <f t="shared" si="28"/>
        <v>#DIV/0!</v>
      </c>
      <c r="G64" s="61" t="e">
        <f>SUM(F$53:F64)</f>
        <v>#DIV/0!</v>
      </c>
      <c r="H64" s="62" t="e">
        <f t="shared" si="37"/>
        <v>#DIV/0!</v>
      </c>
      <c r="I64" s="61" t="e">
        <f>SUM(H$53:H64)</f>
        <v>#DIV/0!</v>
      </c>
      <c r="J64" s="57">
        <f>Input!E20</f>
        <v>0</v>
      </c>
      <c r="K64" s="13">
        <f t="shared" si="29"/>
        <v>0</v>
      </c>
      <c r="L64" s="14">
        <f>SUM(K$53:K64)</f>
        <v>0</v>
      </c>
      <c r="M64" s="14" t="e">
        <f t="shared" si="30"/>
        <v>#DIV/0!</v>
      </c>
      <c r="N64" s="16" t="e">
        <f t="shared" si="42"/>
        <v>#DIV/0!</v>
      </c>
      <c r="O64" s="16" t="e">
        <f t="shared" si="38"/>
        <v>#DIV/0!</v>
      </c>
      <c r="P64" s="12">
        <f t="shared" si="43"/>
        <v>0</v>
      </c>
      <c r="Q64" s="14">
        <f>Input!I20</f>
        <v>0</v>
      </c>
      <c r="R64" s="14">
        <f>SUM(Q$53:Q64)</f>
        <v>0</v>
      </c>
      <c r="S64" s="14">
        <f t="shared" si="31"/>
        <v>0</v>
      </c>
      <c r="T64" s="14">
        <f>SUM(S$53:S64)</f>
        <v>0</v>
      </c>
      <c r="U64" s="12">
        <f t="shared" si="32"/>
        <v>0</v>
      </c>
      <c r="V64" s="12">
        <f t="shared" si="33"/>
        <v>0</v>
      </c>
      <c r="W64" s="14">
        <f>SUM(V$53:V64)</f>
        <v>0</v>
      </c>
      <c r="X64" s="12">
        <f t="shared" si="39"/>
        <v>0</v>
      </c>
      <c r="Y64" s="14">
        <f>SUM(X$53:X64)</f>
        <v>0</v>
      </c>
      <c r="AA64" s="31" t="e">
        <f t="shared" si="34"/>
        <v>#DIV/0!</v>
      </c>
      <c r="AB64" s="31" t="e">
        <f t="shared" si="35"/>
        <v>#DIV/0!</v>
      </c>
      <c r="AC64" s="31" t="e">
        <f t="shared" si="45"/>
        <v>#DIV/0!</v>
      </c>
      <c r="AD64" s="31" t="e">
        <f t="shared" si="44"/>
        <v>#DIV/0!</v>
      </c>
      <c r="AE64" s="48"/>
      <c r="AF64" s="48"/>
      <c r="AG64" s="48"/>
      <c r="AH64" s="48"/>
      <c r="AI64" s="48"/>
      <c r="AJ64" s="48"/>
    </row>
    <row r="65" spans="1:36" x14ac:dyDescent="0.25">
      <c r="A65" s="41" t="s">
        <v>11</v>
      </c>
      <c r="B65" s="58" t="e">
        <f>IF(ISBLANK(B53), " ", SUM(B53:B64))</f>
        <v>#DIV/0!</v>
      </c>
      <c r="C65" s="50"/>
      <c r="D65" s="59" t="e">
        <f>IF(ISBLANK(D53), " ", SUM(D53:D64))</f>
        <v>#DIV/0!</v>
      </c>
      <c r="E65" s="50"/>
      <c r="F65" s="59" t="e">
        <f>IF(ISBLANK(F53), " ", SUM(F53:F64))</f>
        <v>#DIV/0!</v>
      </c>
      <c r="G65" s="50"/>
      <c r="H65" s="59" t="e">
        <f>IF(ISBLANK(H53), " ", SUM(H53:H64))</f>
        <v>#DIV/0!</v>
      </c>
      <c r="I65" s="50"/>
      <c r="J65" s="79">
        <f>IF(ISBLANK(J53), " ", SUM(J53:J64))</f>
        <v>0</v>
      </c>
      <c r="K65" s="59">
        <f>IF(ISBLANK(K53), " ", SUM(K53:K64))</f>
        <v>0</v>
      </c>
      <c r="L65" s="50"/>
      <c r="M65" s="50"/>
      <c r="N65" s="50"/>
      <c r="O65" s="50"/>
      <c r="P65" s="50"/>
      <c r="Q65" s="40">
        <f>SUM(Q53:Q64)</f>
        <v>0</v>
      </c>
      <c r="R65" s="51"/>
      <c r="S65" s="40">
        <f>SUM(S53:S64)</f>
        <v>0</v>
      </c>
      <c r="T65" s="50"/>
      <c r="U65" s="50"/>
      <c r="V65" s="40">
        <f>SUM(V53:V64)</f>
        <v>0</v>
      </c>
      <c r="W65" s="50"/>
      <c r="X65" s="40">
        <f>SUM(X53:X64)</f>
        <v>0</v>
      </c>
      <c r="Y65" s="50"/>
      <c r="AA65" s="43" t="e">
        <f>SUM(AA53:AA64)</f>
        <v>#DIV/0!</v>
      </c>
      <c r="AB65" s="43" t="e">
        <f>SUM(AB53:AB64)</f>
        <v>#DIV/0!</v>
      </c>
      <c r="AC65" s="43" t="e">
        <f>SUM(AC53:AC64)</f>
        <v>#DIV/0!</v>
      </c>
      <c r="AD65" s="43" t="e">
        <f>SUM(AD53:AD64)</f>
        <v>#DIV/0!</v>
      </c>
      <c r="AE65" s="47" t="str">
        <f>IF(mb=1,AA65/Q65,IF(mb=2,SUM(AA54:AA64)/SUM(Q54:Q64),IF(mb=3,SUM(AA55:AA64)/SUM(Q55:Q64),IF(mb=4,SUM(AA56:AA64)/SUM(Q56:Q64),IF(mb=5,SUM(AA57:AA64)/SUM(Q57:Q64),IF(mb=6,SUM(AA58:AA64)/SUM(Q58:Q64),IF(mb=7,SUM(AA59:AA64)/SUM(Q59:Q64),IF(mb=8,SUM(AA60:AA64)/SUM(Q60:Q64),"Fail"))))))))</f>
        <v>Fail</v>
      </c>
      <c r="AF65" s="47" t="str">
        <f>IF(mb=1,AB65/S65,IF(mb=2,SUM(AB54:AB64)/SUM(S54:S64),IF(mb=3,SUM(AB55:AB64)/SUM(S55:S64),IF(mb=4,SUM(AB56:AB64)/SUM(S56:S64),IF(mb=5,SUM(AB57:AB64)/SUM(S57:S64),IF(mb=6,SUM(AB58:AB64)/SUM(S58:S64),IF(mb=7,SUM(AB59:AB64)/SUM(S59:S64),IF(mb=8,SUM(AB60:AB64)/SUM(S60:S64),"Fail"))))))))</f>
        <v>Fail</v>
      </c>
      <c r="AG65" s="43" t="e">
        <f>1/((VE*IF(mb=1,Q65,IF(mb=2,SUM(Q54:Q64),IF(mb=3,SUM(Q55:Q64),IF(mb=4,SUM(Q56:Q64),IF(mb=5,SUM(Q57:Q64),IF(mb=6,SUM(Q58:Q64),IF(mb=7,SUM(Q59:Q64),IF(mb=8,SUM(Q60:Q64),"fail")))))))))/TP)</f>
        <v>#VALUE!</v>
      </c>
      <c r="AH65" s="43" t="e">
        <f>1/((VE*IF(mb=1,S65,IF(mb=2,SUM(S54:S64),IF(mb=3,SUM(S55:S64),IF(mb=4,SUM(S56:S64),IF(mb=5,SUM(S57:S64),IF(mb=6,SUM(S58:S64),IF(mb=7,SUM(S59:S64),IF(mb=8,SUM(S60:S64),"fail")))))))))/TP)</f>
        <v>#VALUE!</v>
      </c>
      <c r="AI65" s="43" t="e">
        <f>1/((VE*IF(mb=1,V65,IF(mb=2,SUM(V54:V64),IF(mb=3,SUM(V55:V64),IF(mb=4,SUM(V56:V64),IF(mb=5,SUM(V57:V64),IF(mb=6,SUM(V58:V64),IF(mb=7,SUM(V59:V64),IF(mb=8,SUM(V59:V63),"fail")))))))))/TP)</f>
        <v>#VALUE!</v>
      </c>
      <c r="AJ65" s="43" t="e">
        <f>1/((VE*IF(mb=1,(S65+Q65),IF(mb=2,SUM(S54:S64,Q54:Q64),IF(mb=3,SUM(S55:S64,Q55:Q64),IF(mb=4,SUM(S56:S64,Q56:Q64),IF(mb=5,SUM(S57:S64,Q57:Q64),IF(mb=6,SUM(S58:S64,Q58:Q64),IF(mb=7,SUM(S59:S64,Q59:Q64),IF(mb=8,SUM(S60:S64,Q60:Q64),"fail")))))))))/TP)</f>
        <v>#VALUE!</v>
      </c>
    </row>
    <row r="66" spans="1:36" x14ac:dyDescent="0.25">
      <c r="A66" s="39"/>
      <c r="B66" s="34"/>
      <c r="C66" s="18"/>
      <c r="D66" s="18"/>
      <c r="E66" s="18"/>
      <c r="F66" s="18"/>
      <c r="G66" s="18"/>
      <c r="H66" s="18"/>
      <c r="I66" s="18"/>
      <c r="J66" s="18"/>
      <c r="K66" s="18"/>
      <c r="L66" s="18"/>
      <c r="M66" s="18"/>
      <c r="N66" s="18"/>
      <c r="O66" s="18"/>
      <c r="P66" s="18"/>
      <c r="Q66" s="18"/>
      <c r="R66" s="18"/>
      <c r="S66" s="18"/>
      <c r="T66" s="18"/>
      <c r="U66" s="18"/>
      <c r="V66" s="18"/>
      <c r="W66" s="18"/>
      <c r="X66" s="18"/>
      <c r="Y66" s="18"/>
    </row>
    <row r="67" spans="1:36" x14ac:dyDescent="0.25">
      <c r="A67" s="39"/>
      <c r="B67" s="34"/>
      <c r="C67" s="18"/>
      <c r="D67" s="18"/>
      <c r="E67" s="18"/>
      <c r="F67" s="18"/>
      <c r="G67" s="18"/>
      <c r="H67" s="18"/>
      <c r="I67" s="18"/>
      <c r="J67" s="18"/>
      <c r="K67" s="18"/>
      <c r="L67" s="18"/>
      <c r="M67" s="18"/>
      <c r="N67" s="18"/>
      <c r="O67" s="18"/>
      <c r="P67" s="18"/>
      <c r="Q67" s="18"/>
      <c r="R67" s="18"/>
      <c r="S67" s="18"/>
      <c r="T67" s="18"/>
      <c r="U67" s="18"/>
      <c r="V67" s="18"/>
      <c r="W67" s="18"/>
      <c r="X67" s="18"/>
      <c r="Y67" s="18"/>
    </row>
    <row r="68" spans="1:36" x14ac:dyDescent="0.25">
      <c r="J68" t="s">
        <v>56</v>
      </c>
    </row>
    <row r="69" spans="1:36" x14ac:dyDescent="0.25">
      <c r="J69" s="38">
        <f>J65-Input!B28</f>
        <v>0</v>
      </c>
    </row>
    <row r="72" spans="1:36" x14ac:dyDescent="0.25">
      <c r="B72" t="s">
        <v>24</v>
      </c>
      <c r="H72" t="s">
        <v>35</v>
      </c>
      <c r="I72">
        <f>Input!B28*TP</f>
        <v>0</v>
      </c>
    </row>
    <row r="73" spans="1:36" ht="30" x14ac:dyDescent="0.25">
      <c r="A73" s="19" t="s">
        <v>28</v>
      </c>
      <c r="B73" s="31">
        <f>S65</f>
        <v>0</v>
      </c>
      <c r="D73" s="31"/>
      <c r="E73" s="31"/>
      <c r="H73" t="s">
        <v>36</v>
      </c>
      <c r="I73" t="e">
        <f>K65/VE</f>
        <v>#DIV/0!</v>
      </c>
    </row>
    <row r="74" spans="1:36" ht="30" x14ac:dyDescent="0.25">
      <c r="A74" s="19" t="s">
        <v>29</v>
      </c>
      <c r="B74" s="31" t="e">
        <f>D65</f>
        <v>#DIV/0!</v>
      </c>
      <c r="D74" s="31"/>
      <c r="E74" s="31"/>
      <c r="H74" t="s">
        <v>37</v>
      </c>
      <c r="I74" t="e">
        <f>(((L56/VE)/SUM(J53:J56)))-TP</f>
        <v>#DIV/0!</v>
      </c>
    </row>
    <row r="75" spans="1:36" ht="30" x14ac:dyDescent="0.25">
      <c r="A75" s="19" t="s">
        <v>20</v>
      </c>
      <c r="B75" s="33" t="e">
        <f>B73-B74</f>
        <v>#DIV/0!</v>
      </c>
      <c r="D75" s="31"/>
      <c r="E75" s="31"/>
      <c r="H75" t="s">
        <v>38</v>
      </c>
      <c r="I75" t="e">
        <f>(((L58/VE)/SUM(J53:J58)))-TP</f>
        <v>#DIV/0!</v>
      </c>
    </row>
    <row r="76" spans="1:36" ht="30" x14ac:dyDescent="0.25">
      <c r="A76" s="19" t="s">
        <v>23</v>
      </c>
      <c r="B76" s="29" t="e">
        <f>1/((VE*SUM(S56:S64))/TP)</f>
        <v>#DIV/0!</v>
      </c>
      <c r="D76" s="31"/>
      <c r="E76" s="31"/>
      <c r="H76" t="s">
        <v>39</v>
      </c>
      <c r="I76" t="e">
        <f>(((L64/VE)/SUM(J53:J64)))-TP</f>
        <v>#DIV/0!</v>
      </c>
    </row>
    <row r="77" spans="1:36" x14ac:dyDescent="0.25">
      <c r="A77" s="19"/>
      <c r="D77" s="31"/>
      <c r="E77" s="31"/>
    </row>
    <row r="78" spans="1:36" x14ac:dyDescent="0.25">
      <c r="A78" s="19" t="s">
        <v>30</v>
      </c>
      <c r="B78" s="31">
        <f>X65</f>
        <v>0</v>
      </c>
      <c r="D78" s="31"/>
      <c r="E78" s="31"/>
    </row>
    <row r="79" spans="1:36" x14ac:dyDescent="0.25">
      <c r="A79" s="19" t="s">
        <v>31</v>
      </c>
      <c r="B79" s="25" t="e">
        <f>H65</f>
        <v>#DIV/0!</v>
      </c>
      <c r="D79" s="31"/>
      <c r="E79" s="31"/>
    </row>
    <row r="80" spans="1:36" x14ac:dyDescent="0.25">
      <c r="A80" s="19" t="s">
        <v>21</v>
      </c>
      <c r="B80" s="33" t="e">
        <f>B78-B79</f>
        <v>#DIV/0!</v>
      </c>
      <c r="D80" s="31"/>
      <c r="E80" s="31"/>
    </row>
    <row r="81" spans="1:36" x14ac:dyDescent="0.25">
      <c r="A81" s="19" t="s">
        <v>22</v>
      </c>
      <c r="B81" s="29" t="e">
        <f>1/(VE*(SUM(S56:S64,Q56:Q64))/TP)</f>
        <v>#DIV/0!</v>
      </c>
      <c r="D81" s="31"/>
      <c r="E81" s="31"/>
    </row>
    <row r="82" spans="1:36" x14ac:dyDescent="0.25">
      <c r="A82" s="19"/>
      <c r="D82" s="31"/>
      <c r="E82" s="31"/>
    </row>
    <row r="83" spans="1:36" x14ac:dyDescent="0.25">
      <c r="A83" s="19" t="s">
        <v>32</v>
      </c>
      <c r="B83" s="33">
        <f>Q65</f>
        <v>0</v>
      </c>
      <c r="D83" s="31"/>
      <c r="E83" s="31"/>
    </row>
    <row r="84" spans="1:36" x14ac:dyDescent="0.25">
      <c r="A84" s="19" t="s">
        <v>33</v>
      </c>
      <c r="B84" s="33" t="e">
        <f>B65</f>
        <v>#DIV/0!</v>
      </c>
      <c r="D84" s="31"/>
      <c r="E84" s="31"/>
    </row>
    <row r="85" spans="1:36" ht="30" x14ac:dyDescent="0.25">
      <c r="A85" s="19" t="s">
        <v>12</v>
      </c>
      <c r="B85" s="33" t="e">
        <f>B83-B84</f>
        <v>#DIV/0!</v>
      </c>
      <c r="D85" s="31"/>
      <c r="E85" s="31"/>
    </row>
    <row r="86" spans="1:36" x14ac:dyDescent="0.25">
      <c r="A86" s="19" t="s">
        <v>25</v>
      </c>
      <c r="B86" s="27" t="e">
        <f>1/(VE*SUM(Q56:Q64)/TP)</f>
        <v>#DIV/0!</v>
      </c>
      <c r="D86" s="31"/>
      <c r="E86" s="31"/>
    </row>
    <row r="87" spans="1:36" x14ac:dyDescent="0.25">
      <c r="A87" s="19"/>
      <c r="D87" s="31"/>
      <c r="E87" s="31"/>
    </row>
    <row r="88" spans="1:36" ht="30" x14ac:dyDescent="0.25">
      <c r="A88" s="19" t="s">
        <v>26</v>
      </c>
      <c r="B88" s="30" t="str">
        <f>AF65</f>
        <v>Fail</v>
      </c>
      <c r="D88" s="31"/>
      <c r="E88" s="81"/>
    </row>
    <row r="89" spans="1:36" ht="30" x14ac:dyDescent="0.25">
      <c r="A89" s="19" t="s">
        <v>27</v>
      </c>
      <c r="B89" s="30" t="str">
        <f>AE65</f>
        <v>Fail</v>
      </c>
      <c r="D89" s="31"/>
      <c r="E89" s="81"/>
    </row>
    <row r="92" spans="1:36" ht="23.25" x14ac:dyDescent="0.25">
      <c r="A92" s="1" t="s">
        <v>67</v>
      </c>
      <c r="B92" s="2"/>
      <c r="C92" s="2"/>
      <c r="D92" s="2"/>
      <c r="E92" s="2"/>
      <c r="F92" s="2"/>
      <c r="G92" s="2"/>
      <c r="H92" s="2"/>
      <c r="I92" s="2"/>
      <c r="J92" s="2"/>
      <c r="K92" s="2"/>
      <c r="L92" s="2"/>
      <c r="M92" s="2"/>
      <c r="N92" s="2"/>
      <c r="O92" s="2"/>
      <c r="P92" s="2"/>
      <c r="Q92" s="2"/>
      <c r="R92" s="2"/>
      <c r="S92" s="2"/>
      <c r="T92" s="2"/>
      <c r="U92" s="2"/>
      <c r="V92" s="52"/>
      <c r="W92" s="52"/>
      <c r="X92" s="52"/>
      <c r="Y92" s="52"/>
    </row>
    <row r="94" spans="1:36" x14ac:dyDescent="0.25">
      <c r="A94" s="4" t="s">
        <v>0</v>
      </c>
      <c r="B94" s="6"/>
      <c r="C94" s="6"/>
      <c r="D94" s="6"/>
      <c r="E94" s="6"/>
      <c r="F94" s="6"/>
      <c r="G94" s="6"/>
      <c r="H94" s="6"/>
      <c r="I94" s="6"/>
      <c r="J94" s="6"/>
      <c r="K94" s="6"/>
      <c r="L94" s="6"/>
      <c r="M94" s="6"/>
      <c r="N94" s="6"/>
      <c r="O94" s="6"/>
      <c r="P94" s="6"/>
      <c r="Q94" s="6"/>
      <c r="R94" s="6"/>
      <c r="S94" s="6"/>
      <c r="T94" s="6"/>
      <c r="U94" s="6"/>
      <c r="V94" s="53"/>
      <c r="W94" s="53"/>
      <c r="X94" s="53"/>
      <c r="Y94" s="53"/>
    </row>
    <row r="95" spans="1:36" ht="15" customHeight="1" x14ac:dyDescent="0.25">
      <c r="A95" s="7"/>
      <c r="B95" s="349" t="s">
        <v>103</v>
      </c>
      <c r="C95" s="350"/>
      <c r="D95" s="350"/>
      <c r="E95" s="350"/>
      <c r="F95" s="350"/>
      <c r="G95" s="350"/>
      <c r="H95" s="350"/>
      <c r="I95" s="351"/>
      <c r="J95" s="55"/>
      <c r="K95" s="56"/>
      <c r="L95" s="56"/>
      <c r="M95" s="80"/>
      <c r="N95" s="354" t="s">
        <v>19</v>
      </c>
      <c r="O95" s="355"/>
      <c r="P95" s="360" t="s">
        <v>60</v>
      </c>
      <c r="Q95" s="361"/>
      <c r="R95" s="361"/>
      <c r="S95" s="361"/>
      <c r="T95" s="361"/>
      <c r="U95" s="361"/>
      <c r="V95" s="361"/>
      <c r="W95" s="361"/>
      <c r="X95" s="361"/>
      <c r="Y95" s="361"/>
      <c r="AA95" s="357" t="s">
        <v>54</v>
      </c>
      <c r="AB95" s="358"/>
      <c r="AC95" s="358"/>
      <c r="AD95" s="359"/>
      <c r="AE95" s="352" t="s">
        <v>49</v>
      </c>
      <c r="AF95" s="353"/>
      <c r="AG95" s="49" t="s">
        <v>52</v>
      </c>
      <c r="AH95" s="49"/>
      <c r="AI95" s="49"/>
      <c r="AJ95" s="49"/>
    </row>
    <row r="96" spans="1:36" s="11" customFormat="1" ht="75.75" thickBot="1" x14ac:dyDescent="0.3">
      <c r="A96" s="8" t="s">
        <v>1</v>
      </c>
      <c r="B96" s="82" t="s">
        <v>6</v>
      </c>
      <c r="C96" s="63" t="s">
        <v>7</v>
      </c>
      <c r="D96" s="83" t="s">
        <v>8</v>
      </c>
      <c r="E96" s="64" t="s">
        <v>9</v>
      </c>
      <c r="F96" s="65" t="s">
        <v>58</v>
      </c>
      <c r="G96" s="65" t="s">
        <v>59</v>
      </c>
      <c r="H96" s="66" t="s">
        <v>45</v>
      </c>
      <c r="I96" s="66" t="s">
        <v>61</v>
      </c>
      <c r="J96" s="9" t="s">
        <v>3</v>
      </c>
      <c r="K96" s="9" t="s">
        <v>5</v>
      </c>
      <c r="L96" s="20" t="s">
        <v>14</v>
      </c>
      <c r="M96" s="21" t="s">
        <v>63</v>
      </c>
      <c r="N96" s="84" t="s">
        <v>13</v>
      </c>
      <c r="O96" s="84" t="s">
        <v>2</v>
      </c>
      <c r="P96" s="67" t="s">
        <v>64</v>
      </c>
      <c r="Q96" s="85" t="s">
        <v>6</v>
      </c>
      <c r="R96" s="10" t="s">
        <v>7</v>
      </c>
      <c r="S96" s="85" t="s">
        <v>8</v>
      </c>
      <c r="T96" s="10" t="s">
        <v>9</v>
      </c>
      <c r="U96" s="67" t="s">
        <v>10</v>
      </c>
      <c r="V96" s="10" t="s">
        <v>58</v>
      </c>
      <c r="W96" s="10" t="s">
        <v>59</v>
      </c>
      <c r="X96" s="54" t="s">
        <v>45</v>
      </c>
      <c r="Y96" s="54" t="s">
        <v>61</v>
      </c>
      <c r="AA96" s="44" t="s">
        <v>44</v>
      </c>
      <c r="AB96" s="44" t="s">
        <v>55</v>
      </c>
      <c r="AC96" s="44" t="s">
        <v>58</v>
      </c>
      <c r="AD96" s="44" t="s">
        <v>45</v>
      </c>
      <c r="AE96" s="44" t="s">
        <v>44</v>
      </c>
      <c r="AF96" s="44" t="s">
        <v>55</v>
      </c>
      <c r="AG96" s="44" t="s">
        <v>44</v>
      </c>
      <c r="AH96" s="44" t="s">
        <v>55</v>
      </c>
      <c r="AI96" s="44" t="s">
        <v>58</v>
      </c>
      <c r="AJ96" s="44" t="s">
        <v>45</v>
      </c>
    </row>
    <row r="97" spans="1:36" ht="15.75" thickBot="1" x14ac:dyDescent="0.3">
      <c r="A97" s="15">
        <v>1</v>
      </c>
      <c r="B97" s="61">
        <f>Input!I9</f>
        <v>0</v>
      </c>
      <c r="C97" s="61">
        <f>SUM(B$97:B97)</f>
        <v>0</v>
      </c>
      <c r="D97" s="62">
        <f t="shared" ref="D97:D108" si="46">B97*hnh</f>
        <v>0</v>
      </c>
      <c r="E97" s="62">
        <f>SUM(D$97:D97)</f>
        <v>0</v>
      </c>
      <c r="F97" s="62">
        <f t="shared" ref="F97:F108" si="47">H97*mai</f>
        <v>0</v>
      </c>
      <c r="G97" s="62">
        <f>SUM(F$97:F97)</f>
        <v>0</v>
      </c>
      <c r="H97" s="62">
        <f>B97+D97</f>
        <v>0</v>
      </c>
      <c r="I97" s="62">
        <f>SUM(H$97:H97)</f>
        <v>0</v>
      </c>
      <c r="J97" s="57">
        <f>Input!E9</f>
        <v>0</v>
      </c>
      <c r="K97" s="13">
        <f t="shared" ref="K97:K108" si="48">TP*J97*VE</f>
        <v>0</v>
      </c>
      <c r="L97" s="13">
        <f>SUM(K$97:K97)</f>
        <v>0</v>
      </c>
      <c r="M97" s="12">
        <f t="shared" ref="M97:M108" si="49">TP-C97-E97-L97</f>
        <v>0</v>
      </c>
      <c r="N97" s="16" t="e">
        <f>B97/TP</f>
        <v>#DIV/0!</v>
      </c>
      <c r="O97" s="16" t="e">
        <f>D97/TP</f>
        <v>#DIV/0!</v>
      </c>
      <c r="P97" s="12">
        <f>TP</f>
        <v>0</v>
      </c>
      <c r="Q97" s="14" t="e">
        <f t="shared" ref="Q97:Q108" si="50">P97*N97</f>
        <v>#DIV/0!</v>
      </c>
      <c r="R97" s="14" t="e">
        <f>SUM(Q$97:Q97)</f>
        <v>#DIV/0!</v>
      </c>
      <c r="S97" s="14" t="e">
        <f t="shared" ref="S97:S108" si="51">P97*O97</f>
        <v>#DIV/0!</v>
      </c>
      <c r="T97" s="12" t="e">
        <f>SUM(S$97:S97)</f>
        <v>#DIV/0!</v>
      </c>
      <c r="U97" s="12" t="e">
        <f t="shared" ref="U97:U108" si="52">TP-R97-T97</f>
        <v>#DIV/0!</v>
      </c>
      <c r="V97" s="12" t="e">
        <f t="shared" ref="V97:V108" si="53">X97*mai</f>
        <v>#DIV/0!</v>
      </c>
      <c r="W97" s="12" t="e">
        <f>SUM(V$97:V97)</f>
        <v>#DIV/0!</v>
      </c>
      <c r="X97" s="12" t="e">
        <f>Q97+S97</f>
        <v>#DIV/0!</v>
      </c>
      <c r="Y97" s="12" t="e">
        <f>SUM(X$97:X97)</f>
        <v>#DIV/0!</v>
      </c>
      <c r="AA97" s="31" t="e">
        <f t="shared" ref="AA97:AA108" si="54">Q97-B97</f>
        <v>#DIV/0!</v>
      </c>
      <c r="AB97" s="31" t="e">
        <f t="shared" ref="AB97:AB108" si="55">S97-D97</f>
        <v>#DIV/0!</v>
      </c>
      <c r="AC97" s="31" t="e">
        <f t="shared" ref="AC97:AC102" si="56">V97-F97</f>
        <v>#DIV/0!</v>
      </c>
      <c r="AD97" s="31" t="e">
        <f>X97-H97</f>
        <v>#DIV/0!</v>
      </c>
      <c r="AE97" s="48"/>
      <c r="AF97" s="48"/>
      <c r="AG97" s="48"/>
      <c r="AH97" s="48"/>
      <c r="AI97" s="48"/>
      <c r="AJ97" s="48"/>
    </row>
    <row r="98" spans="1:36" ht="15.75" thickBot="1" x14ac:dyDescent="0.3">
      <c r="A98" s="17">
        <v>2</v>
      </c>
      <c r="B98" s="61">
        <f>Input!I10</f>
        <v>0</v>
      </c>
      <c r="C98" s="61">
        <f>SUM(B$97:B98)</f>
        <v>0</v>
      </c>
      <c r="D98" s="62">
        <f t="shared" si="46"/>
        <v>0</v>
      </c>
      <c r="E98" s="62">
        <f>SUM(D$97:D98)</f>
        <v>0</v>
      </c>
      <c r="F98" s="62">
        <f t="shared" si="47"/>
        <v>0</v>
      </c>
      <c r="G98" s="62">
        <f>SUM(F$97:F98)</f>
        <v>0</v>
      </c>
      <c r="H98" s="62">
        <f t="shared" ref="H98:H108" si="57">B98+D98</f>
        <v>0</v>
      </c>
      <c r="I98" s="62">
        <f>SUM(H$97:H98)</f>
        <v>0</v>
      </c>
      <c r="J98" s="57">
        <f>Input!E10</f>
        <v>0</v>
      </c>
      <c r="K98" s="13">
        <f t="shared" si="48"/>
        <v>0</v>
      </c>
      <c r="L98" s="13">
        <f>SUM(K$97:K98)</f>
        <v>0</v>
      </c>
      <c r="M98" s="12">
        <f t="shared" si="49"/>
        <v>0</v>
      </c>
      <c r="N98" s="16" t="e">
        <f>B98/M97</f>
        <v>#DIV/0!</v>
      </c>
      <c r="O98" s="16" t="e">
        <f>D98/M97</f>
        <v>#DIV/0!</v>
      </c>
      <c r="P98" s="12" t="e">
        <f>U97</f>
        <v>#DIV/0!</v>
      </c>
      <c r="Q98" s="14" t="e">
        <f t="shared" si="50"/>
        <v>#DIV/0!</v>
      </c>
      <c r="R98" s="14" t="e">
        <f>SUM(Q$97:Q98)</f>
        <v>#DIV/0!</v>
      </c>
      <c r="S98" s="14" t="e">
        <f t="shared" si="51"/>
        <v>#DIV/0!</v>
      </c>
      <c r="T98" s="12" t="e">
        <f>SUM(S$97:S98)</f>
        <v>#DIV/0!</v>
      </c>
      <c r="U98" s="12" t="e">
        <f t="shared" si="52"/>
        <v>#DIV/0!</v>
      </c>
      <c r="V98" s="12" t="e">
        <f t="shared" si="53"/>
        <v>#DIV/0!</v>
      </c>
      <c r="W98" s="12" t="e">
        <f>SUM(V$97:V98)</f>
        <v>#DIV/0!</v>
      </c>
      <c r="X98" s="12" t="e">
        <f t="shared" ref="X98:X108" si="58">Q98+S98</f>
        <v>#DIV/0!</v>
      </c>
      <c r="Y98" s="12" t="e">
        <f>SUM(X$97:X98)</f>
        <v>#DIV/0!</v>
      </c>
      <c r="AA98" s="31" t="e">
        <f t="shared" si="54"/>
        <v>#DIV/0!</v>
      </c>
      <c r="AB98" s="31" t="e">
        <f t="shared" si="55"/>
        <v>#DIV/0!</v>
      </c>
      <c r="AC98" s="31" t="e">
        <f t="shared" si="56"/>
        <v>#DIV/0!</v>
      </c>
      <c r="AD98" s="31" t="e">
        <f>X98-H98</f>
        <v>#DIV/0!</v>
      </c>
      <c r="AE98" s="48"/>
      <c r="AF98" s="48"/>
      <c r="AG98" s="48"/>
      <c r="AH98" s="48"/>
      <c r="AI98" s="48"/>
      <c r="AJ98" s="48"/>
    </row>
    <row r="99" spans="1:36" ht="15.75" thickBot="1" x14ac:dyDescent="0.3">
      <c r="A99" s="17">
        <v>3</v>
      </c>
      <c r="B99" s="61">
        <f>Input!I11</f>
        <v>0</v>
      </c>
      <c r="C99" s="61">
        <f>SUM(B$97:B99)</f>
        <v>0</v>
      </c>
      <c r="D99" s="62">
        <f t="shared" si="46"/>
        <v>0</v>
      </c>
      <c r="E99" s="62">
        <f>SUM(D$97:D99)</f>
        <v>0</v>
      </c>
      <c r="F99" s="62">
        <f t="shared" si="47"/>
        <v>0</v>
      </c>
      <c r="G99" s="62">
        <f>SUM(F$97:F99)</f>
        <v>0</v>
      </c>
      <c r="H99" s="62">
        <f t="shared" si="57"/>
        <v>0</v>
      </c>
      <c r="I99" s="62">
        <f>SUM(H$97:H99)</f>
        <v>0</v>
      </c>
      <c r="J99" s="57">
        <f>Input!E11</f>
        <v>0</v>
      </c>
      <c r="K99" s="13">
        <f t="shared" si="48"/>
        <v>0</v>
      </c>
      <c r="L99" s="13">
        <f>SUM(K$97:K99)</f>
        <v>0</v>
      </c>
      <c r="M99" s="12">
        <f t="shared" si="49"/>
        <v>0</v>
      </c>
      <c r="N99" s="16" t="e">
        <f t="shared" ref="N99:N108" si="59">B99/M98</f>
        <v>#DIV/0!</v>
      </c>
      <c r="O99" s="16" t="e">
        <f t="shared" ref="O99:O108" si="60">D99/M98</f>
        <v>#DIV/0!</v>
      </c>
      <c r="P99" s="12" t="e">
        <f>U98</f>
        <v>#DIV/0!</v>
      </c>
      <c r="Q99" s="14" t="e">
        <f>P99*N99</f>
        <v>#DIV/0!</v>
      </c>
      <c r="R99" s="14" t="e">
        <f>SUM(Q$97:Q99)</f>
        <v>#DIV/0!</v>
      </c>
      <c r="S99" s="14" t="e">
        <f t="shared" si="51"/>
        <v>#DIV/0!</v>
      </c>
      <c r="T99" s="12" t="e">
        <f>SUM(S$97:S99)</f>
        <v>#DIV/0!</v>
      </c>
      <c r="U99" s="12" t="e">
        <f t="shared" si="52"/>
        <v>#DIV/0!</v>
      </c>
      <c r="V99" s="12" t="e">
        <f t="shared" si="53"/>
        <v>#DIV/0!</v>
      </c>
      <c r="W99" s="12" t="e">
        <f>SUM(V$97:V99)</f>
        <v>#DIV/0!</v>
      </c>
      <c r="X99" s="12" t="e">
        <f t="shared" si="58"/>
        <v>#DIV/0!</v>
      </c>
      <c r="Y99" s="12" t="e">
        <f>SUM(X$97:X99)</f>
        <v>#DIV/0!</v>
      </c>
      <c r="AA99" s="31" t="e">
        <f t="shared" si="54"/>
        <v>#DIV/0!</v>
      </c>
      <c r="AB99" s="31" t="e">
        <f t="shared" si="55"/>
        <v>#DIV/0!</v>
      </c>
      <c r="AC99" s="31" t="e">
        <f t="shared" si="56"/>
        <v>#DIV/0!</v>
      </c>
      <c r="AD99" s="31" t="e">
        <f t="shared" ref="AD99:AD108" si="61">X99-H99</f>
        <v>#DIV/0!</v>
      </c>
      <c r="AE99" s="48"/>
      <c r="AF99" s="48"/>
      <c r="AG99" s="48"/>
      <c r="AH99" s="48"/>
      <c r="AI99" s="48"/>
      <c r="AJ99" s="48"/>
    </row>
    <row r="100" spans="1:36" ht="15.75" thickBot="1" x14ac:dyDescent="0.3">
      <c r="A100" s="17">
        <v>4</v>
      </c>
      <c r="B100" s="61">
        <f>Input!I12</f>
        <v>0</v>
      </c>
      <c r="C100" s="61">
        <f>SUM(B$97:B100)</f>
        <v>0</v>
      </c>
      <c r="D100" s="62">
        <f t="shared" si="46"/>
        <v>0</v>
      </c>
      <c r="E100" s="62">
        <f>SUM(D$97:D100)</f>
        <v>0</v>
      </c>
      <c r="F100" s="62">
        <f t="shared" si="47"/>
        <v>0</v>
      </c>
      <c r="G100" s="62">
        <f>SUM(F$97:F100)</f>
        <v>0</v>
      </c>
      <c r="H100" s="62">
        <f t="shared" si="57"/>
        <v>0</v>
      </c>
      <c r="I100" s="62">
        <f>SUM(H$97:H100)</f>
        <v>0</v>
      </c>
      <c r="J100" s="57">
        <f>Input!E12</f>
        <v>0</v>
      </c>
      <c r="K100" s="13">
        <f t="shared" si="48"/>
        <v>0</v>
      </c>
      <c r="L100" s="13">
        <f>SUM(K$97:K100)</f>
        <v>0</v>
      </c>
      <c r="M100" s="12">
        <f t="shared" si="49"/>
        <v>0</v>
      </c>
      <c r="N100" s="16" t="e">
        <f t="shared" si="59"/>
        <v>#DIV/0!</v>
      </c>
      <c r="O100" s="16" t="e">
        <f t="shared" si="60"/>
        <v>#DIV/0!</v>
      </c>
      <c r="P100" s="12" t="e">
        <f t="shared" ref="P100:P108" si="62">U99</f>
        <v>#DIV/0!</v>
      </c>
      <c r="Q100" s="14" t="e">
        <f t="shared" si="50"/>
        <v>#DIV/0!</v>
      </c>
      <c r="R100" s="14" t="e">
        <f>SUM(Q$97:Q100)</f>
        <v>#DIV/0!</v>
      </c>
      <c r="S100" s="14" t="e">
        <f t="shared" si="51"/>
        <v>#DIV/0!</v>
      </c>
      <c r="T100" s="12" t="e">
        <f>SUM(S$97:S100)</f>
        <v>#DIV/0!</v>
      </c>
      <c r="U100" s="12" t="e">
        <f t="shared" si="52"/>
        <v>#DIV/0!</v>
      </c>
      <c r="V100" s="12" t="e">
        <f t="shared" si="53"/>
        <v>#DIV/0!</v>
      </c>
      <c r="W100" s="12" t="e">
        <f>SUM(V$97:V100)</f>
        <v>#DIV/0!</v>
      </c>
      <c r="X100" s="12" t="e">
        <f t="shared" si="58"/>
        <v>#DIV/0!</v>
      </c>
      <c r="Y100" s="12" t="e">
        <f>SUM(X$97:X100)</f>
        <v>#DIV/0!</v>
      </c>
      <c r="AA100" s="31" t="e">
        <f t="shared" si="54"/>
        <v>#DIV/0!</v>
      </c>
      <c r="AB100" s="31" t="e">
        <f t="shared" si="55"/>
        <v>#DIV/0!</v>
      </c>
      <c r="AC100" s="31" t="e">
        <f t="shared" si="56"/>
        <v>#DIV/0!</v>
      </c>
      <c r="AD100" s="31" t="e">
        <f t="shared" si="61"/>
        <v>#DIV/0!</v>
      </c>
      <c r="AE100" s="48"/>
      <c r="AF100" s="48"/>
      <c r="AG100" s="48"/>
      <c r="AH100" s="48"/>
      <c r="AI100" s="48"/>
      <c r="AJ100" s="48"/>
    </row>
    <row r="101" spans="1:36" ht="15.75" thickBot="1" x14ac:dyDescent="0.3">
      <c r="A101" s="17">
        <v>5</v>
      </c>
      <c r="B101" s="61">
        <f>Input!I13</f>
        <v>0</v>
      </c>
      <c r="C101" s="61">
        <f>SUM(B$97:B101)</f>
        <v>0</v>
      </c>
      <c r="D101" s="62">
        <f t="shared" si="46"/>
        <v>0</v>
      </c>
      <c r="E101" s="62">
        <f>SUM(D$97:D101)</f>
        <v>0</v>
      </c>
      <c r="F101" s="62">
        <f t="shared" si="47"/>
        <v>0</v>
      </c>
      <c r="G101" s="62">
        <f>SUM(F$97:F101)</f>
        <v>0</v>
      </c>
      <c r="H101" s="62">
        <f t="shared" si="57"/>
        <v>0</v>
      </c>
      <c r="I101" s="62">
        <f>SUM(H$97:H101)</f>
        <v>0</v>
      </c>
      <c r="J101" s="57">
        <f>Input!E13</f>
        <v>0</v>
      </c>
      <c r="K101" s="13">
        <f t="shared" si="48"/>
        <v>0</v>
      </c>
      <c r="L101" s="13">
        <f>SUM(K$97:K101)</f>
        <v>0</v>
      </c>
      <c r="M101" s="12">
        <f t="shared" si="49"/>
        <v>0</v>
      </c>
      <c r="N101" s="16" t="e">
        <f t="shared" si="59"/>
        <v>#DIV/0!</v>
      </c>
      <c r="O101" s="16" t="e">
        <f t="shared" si="60"/>
        <v>#DIV/0!</v>
      </c>
      <c r="P101" s="12" t="e">
        <f t="shared" si="62"/>
        <v>#DIV/0!</v>
      </c>
      <c r="Q101" s="14" t="e">
        <f t="shared" si="50"/>
        <v>#DIV/0!</v>
      </c>
      <c r="R101" s="14" t="e">
        <f>SUM(Q$97:Q101)</f>
        <v>#DIV/0!</v>
      </c>
      <c r="S101" s="14" t="e">
        <f t="shared" si="51"/>
        <v>#DIV/0!</v>
      </c>
      <c r="T101" s="12" t="e">
        <f>SUM(S$97:S101)</f>
        <v>#DIV/0!</v>
      </c>
      <c r="U101" s="12" t="e">
        <f t="shared" si="52"/>
        <v>#DIV/0!</v>
      </c>
      <c r="V101" s="12" t="e">
        <f t="shared" si="53"/>
        <v>#DIV/0!</v>
      </c>
      <c r="W101" s="12" t="e">
        <f>SUM(V$97:V101)</f>
        <v>#DIV/0!</v>
      </c>
      <c r="X101" s="12" t="e">
        <f t="shared" si="58"/>
        <v>#DIV/0!</v>
      </c>
      <c r="Y101" s="12" t="e">
        <f>SUM(X$97:X101)</f>
        <v>#DIV/0!</v>
      </c>
      <c r="AA101" s="31" t="e">
        <f t="shared" si="54"/>
        <v>#DIV/0!</v>
      </c>
      <c r="AB101" s="31" t="e">
        <f t="shared" si="55"/>
        <v>#DIV/0!</v>
      </c>
      <c r="AC101" s="31" t="e">
        <f t="shared" si="56"/>
        <v>#DIV/0!</v>
      </c>
      <c r="AD101" s="31" t="e">
        <f t="shared" si="61"/>
        <v>#DIV/0!</v>
      </c>
      <c r="AE101" s="48"/>
      <c r="AF101" s="48"/>
      <c r="AG101" s="48"/>
      <c r="AH101" s="48"/>
      <c r="AI101" s="48"/>
      <c r="AJ101" s="48"/>
    </row>
    <row r="102" spans="1:36" ht="15.75" thickBot="1" x14ac:dyDescent="0.3">
      <c r="A102" s="17">
        <v>6</v>
      </c>
      <c r="B102" s="61">
        <f>Input!I14</f>
        <v>0</v>
      </c>
      <c r="C102" s="61">
        <f>SUM(B$97:B102)</f>
        <v>0</v>
      </c>
      <c r="D102" s="62">
        <f t="shared" si="46"/>
        <v>0</v>
      </c>
      <c r="E102" s="62">
        <f>SUM(D$97:D102)</f>
        <v>0</v>
      </c>
      <c r="F102" s="62">
        <f t="shared" si="47"/>
        <v>0</v>
      </c>
      <c r="G102" s="62">
        <f>SUM(F$97:F102)</f>
        <v>0</v>
      </c>
      <c r="H102" s="62">
        <f t="shared" si="57"/>
        <v>0</v>
      </c>
      <c r="I102" s="62">
        <f>SUM(H$97:H102)</f>
        <v>0</v>
      </c>
      <c r="J102" s="57">
        <f>Input!E14</f>
        <v>0</v>
      </c>
      <c r="K102" s="13">
        <f t="shared" si="48"/>
        <v>0</v>
      </c>
      <c r="L102" s="13">
        <f>SUM(K$97:K102)</f>
        <v>0</v>
      </c>
      <c r="M102" s="12">
        <f t="shared" si="49"/>
        <v>0</v>
      </c>
      <c r="N102" s="16" t="e">
        <f t="shared" si="59"/>
        <v>#DIV/0!</v>
      </c>
      <c r="O102" s="16" t="e">
        <f t="shared" si="60"/>
        <v>#DIV/0!</v>
      </c>
      <c r="P102" s="12" t="e">
        <f t="shared" si="62"/>
        <v>#DIV/0!</v>
      </c>
      <c r="Q102" s="14" t="e">
        <f t="shared" si="50"/>
        <v>#DIV/0!</v>
      </c>
      <c r="R102" s="14" t="e">
        <f>SUM(Q$97:Q102)</f>
        <v>#DIV/0!</v>
      </c>
      <c r="S102" s="14" t="e">
        <f t="shared" si="51"/>
        <v>#DIV/0!</v>
      </c>
      <c r="T102" s="12" t="e">
        <f>SUM(S$97:S102)</f>
        <v>#DIV/0!</v>
      </c>
      <c r="U102" s="12" t="e">
        <f t="shared" si="52"/>
        <v>#DIV/0!</v>
      </c>
      <c r="V102" s="12" t="e">
        <f t="shared" si="53"/>
        <v>#DIV/0!</v>
      </c>
      <c r="W102" s="12" t="e">
        <f>SUM(V$97:V102)</f>
        <v>#DIV/0!</v>
      </c>
      <c r="X102" s="12" t="e">
        <f t="shared" si="58"/>
        <v>#DIV/0!</v>
      </c>
      <c r="Y102" s="12" t="e">
        <f>SUM(X$97:X102)</f>
        <v>#DIV/0!</v>
      </c>
      <c r="AA102" s="31" t="e">
        <f t="shared" si="54"/>
        <v>#DIV/0!</v>
      </c>
      <c r="AB102" s="31" t="e">
        <f t="shared" si="55"/>
        <v>#DIV/0!</v>
      </c>
      <c r="AC102" s="31" t="e">
        <f t="shared" si="56"/>
        <v>#DIV/0!</v>
      </c>
      <c r="AD102" s="31" t="e">
        <f t="shared" si="61"/>
        <v>#DIV/0!</v>
      </c>
      <c r="AE102" s="48"/>
      <c r="AF102" s="48"/>
      <c r="AG102" s="48"/>
      <c r="AH102" s="48"/>
      <c r="AI102" s="48"/>
      <c r="AJ102" s="48"/>
    </row>
    <row r="103" spans="1:36" ht="15.75" thickBot="1" x14ac:dyDescent="0.3">
      <c r="A103" s="17">
        <v>7</v>
      </c>
      <c r="B103" s="61">
        <f>Input!I15</f>
        <v>0</v>
      </c>
      <c r="C103" s="61">
        <f>SUM(B$97:B103)</f>
        <v>0</v>
      </c>
      <c r="D103" s="62">
        <f t="shared" si="46"/>
        <v>0</v>
      </c>
      <c r="E103" s="62">
        <f>SUM(D$97:D103)</f>
        <v>0</v>
      </c>
      <c r="F103" s="62">
        <f t="shared" si="47"/>
        <v>0</v>
      </c>
      <c r="G103" s="62">
        <f>SUM(F$97:F103)</f>
        <v>0</v>
      </c>
      <c r="H103" s="62">
        <f t="shared" si="57"/>
        <v>0</v>
      </c>
      <c r="I103" s="62">
        <f>SUM(H$97:H103)</f>
        <v>0</v>
      </c>
      <c r="J103" s="57">
        <f>Input!E15</f>
        <v>0</v>
      </c>
      <c r="K103" s="13">
        <f t="shared" si="48"/>
        <v>0</v>
      </c>
      <c r="L103" s="13">
        <f>SUM(K$97:K103)</f>
        <v>0</v>
      </c>
      <c r="M103" s="12">
        <f t="shared" si="49"/>
        <v>0</v>
      </c>
      <c r="N103" s="16" t="e">
        <f t="shared" si="59"/>
        <v>#DIV/0!</v>
      </c>
      <c r="O103" s="16" t="e">
        <f t="shared" si="60"/>
        <v>#DIV/0!</v>
      </c>
      <c r="P103" s="12" t="e">
        <f t="shared" si="62"/>
        <v>#DIV/0!</v>
      </c>
      <c r="Q103" s="14" t="e">
        <f t="shared" si="50"/>
        <v>#DIV/0!</v>
      </c>
      <c r="R103" s="14" t="e">
        <f>SUM(Q$97:Q103)</f>
        <v>#DIV/0!</v>
      </c>
      <c r="S103" s="14" t="e">
        <f t="shared" si="51"/>
        <v>#DIV/0!</v>
      </c>
      <c r="T103" s="12" t="e">
        <f>SUM(S$97:S103)</f>
        <v>#DIV/0!</v>
      </c>
      <c r="U103" s="12" t="e">
        <f t="shared" si="52"/>
        <v>#DIV/0!</v>
      </c>
      <c r="V103" s="12" t="e">
        <f t="shared" si="53"/>
        <v>#DIV/0!</v>
      </c>
      <c r="W103" s="12" t="e">
        <f>SUM(V$97:V103)</f>
        <v>#DIV/0!</v>
      </c>
      <c r="X103" s="12" t="e">
        <f t="shared" si="58"/>
        <v>#DIV/0!</v>
      </c>
      <c r="Y103" s="12" t="e">
        <f>SUM(X$97:X103)</f>
        <v>#DIV/0!</v>
      </c>
      <c r="AA103" s="31" t="e">
        <f t="shared" si="54"/>
        <v>#DIV/0!</v>
      </c>
      <c r="AB103" s="31" t="e">
        <f t="shared" si="55"/>
        <v>#DIV/0!</v>
      </c>
      <c r="AC103" s="31" t="e">
        <f t="shared" ref="AC103:AC108" si="63">V103-F103</f>
        <v>#DIV/0!</v>
      </c>
      <c r="AD103" s="31" t="e">
        <f t="shared" si="61"/>
        <v>#DIV/0!</v>
      </c>
      <c r="AE103" s="48"/>
      <c r="AF103" s="48"/>
      <c r="AG103" s="48"/>
      <c r="AH103" s="48"/>
      <c r="AI103" s="48"/>
      <c r="AJ103" s="48"/>
    </row>
    <row r="104" spans="1:36" ht="15.75" thickBot="1" x14ac:dyDescent="0.3">
      <c r="A104" s="17">
        <v>8</v>
      </c>
      <c r="B104" s="61">
        <f>Input!I16</f>
        <v>0</v>
      </c>
      <c r="C104" s="61">
        <f>SUM(B$97:B104)</f>
        <v>0</v>
      </c>
      <c r="D104" s="62">
        <f t="shared" si="46"/>
        <v>0</v>
      </c>
      <c r="E104" s="62">
        <f>SUM(D$97:D104)</f>
        <v>0</v>
      </c>
      <c r="F104" s="62">
        <f t="shared" si="47"/>
        <v>0</v>
      </c>
      <c r="G104" s="62">
        <f>SUM(F$97:F104)</f>
        <v>0</v>
      </c>
      <c r="H104" s="62">
        <f t="shared" si="57"/>
        <v>0</v>
      </c>
      <c r="I104" s="62">
        <f>SUM(H$97:H104)</f>
        <v>0</v>
      </c>
      <c r="J104" s="57">
        <f>Input!E16</f>
        <v>0</v>
      </c>
      <c r="K104" s="13">
        <f t="shared" si="48"/>
        <v>0</v>
      </c>
      <c r="L104" s="13">
        <f>SUM(K$97:K104)</f>
        <v>0</v>
      </c>
      <c r="M104" s="12">
        <f t="shared" si="49"/>
        <v>0</v>
      </c>
      <c r="N104" s="16" t="e">
        <f t="shared" si="59"/>
        <v>#DIV/0!</v>
      </c>
      <c r="O104" s="16" t="e">
        <f t="shared" si="60"/>
        <v>#DIV/0!</v>
      </c>
      <c r="P104" s="12" t="e">
        <f t="shared" si="62"/>
        <v>#DIV/0!</v>
      </c>
      <c r="Q104" s="14" t="e">
        <f t="shared" si="50"/>
        <v>#DIV/0!</v>
      </c>
      <c r="R104" s="14" t="e">
        <f>SUM(Q$97:Q104)</f>
        <v>#DIV/0!</v>
      </c>
      <c r="S104" s="14" t="e">
        <f t="shared" si="51"/>
        <v>#DIV/0!</v>
      </c>
      <c r="T104" s="12" t="e">
        <f>SUM(S$97:S104)</f>
        <v>#DIV/0!</v>
      </c>
      <c r="U104" s="12" t="e">
        <f t="shared" si="52"/>
        <v>#DIV/0!</v>
      </c>
      <c r="V104" s="12" t="e">
        <f t="shared" si="53"/>
        <v>#DIV/0!</v>
      </c>
      <c r="W104" s="12" t="e">
        <f>SUM(V$97:V104)</f>
        <v>#DIV/0!</v>
      </c>
      <c r="X104" s="12" t="e">
        <f t="shared" si="58"/>
        <v>#DIV/0!</v>
      </c>
      <c r="Y104" s="12" t="e">
        <f>SUM(X$97:X104)</f>
        <v>#DIV/0!</v>
      </c>
      <c r="AA104" s="31" t="e">
        <f t="shared" si="54"/>
        <v>#DIV/0!</v>
      </c>
      <c r="AB104" s="31" t="e">
        <f t="shared" si="55"/>
        <v>#DIV/0!</v>
      </c>
      <c r="AC104" s="31" t="e">
        <f t="shared" si="63"/>
        <v>#DIV/0!</v>
      </c>
      <c r="AD104" s="31" t="e">
        <f t="shared" si="61"/>
        <v>#DIV/0!</v>
      </c>
      <c r="AE104" s="48"/>
      <c r="AF104" s="48"/>
      <c r="AG104" s="48"/>
      <c r="AH104" s="48"/>
      <c r="AI104" s="48"/>
      <c r="AJ104" s="48"/>
    </row>
    <row r="105" spans="1:36" ht="15.75" thickBot="1" x14ac:dyDescent="0.3">
      <c r="A105" s="17">
        <v>9</v>
      </c>
      <c r="B105" s="61">
        <f>Input!I17</f>
        <v>0</v>
      </c>
      <c r="C105" s="61">
        <f>SUM(B$97:B105)</f>
        <v>0</v>
      </c>
      <c r="D105" s="62">
        <f t="shared" si="46"/>
        <v>0</v>
      </c>
      <c r="E105" s="62">
        <f>SUM(D$97:D105)</f>
        <v>0</v>
      </c>
      <c r="F105" s="62">
        <f t="shared" si="47"/>
        <v>0</v>
      </c>
      <c r="G105" s="62">
        <f>SUM(F$97:F105)</f>
        <v>0</v>
      </c>
      <c r="H105" s="62">
        <f t="shared" si="57"/>
        <v>0</v>
      </c>
      <c r="I105" s="62">
        <f>SUM(H$97:H105)</f>
        <v>0</v>
      </c>
      <c r="J105" s="57">
        <f>Input!E17</f>
        <v>0</v>
      </c>
      <c r="K105" s="13">
        <f t="shared" si="48"/>
        <v>0</v>
      </c>
      <c r="L105" s="13">
        <f>SUM(K$97:K105)</f>
        <v>0</v>
      </c>
      <c r="M105" s="12">
        <f t="shared" si="49"/>
        <v>0</v>
      </c>
      <c r="N105" s="16" t="e">
        <f t="shared" si="59"/>
        <v>#DIV/0!</v>
      </c>
      <c r="O105" s="16" t="e">
        <f t="shared" si="60"/>
        <v>#DIV/0!</v>
      </c>
      <c r="P105" s="12" t="e">
        <f t="shared" si="62"/>
        <v>#DIV/0!</v>
      </c>
      <c r="Q105" s="14" t="e">
        <f t="shared" si="50"/>
        <v>#DIV/0!</v>
      </c>
      <c r="R105" s="14" t="e">
        <f>SUM(Q$97:Q105)</f>
        <v>#DIV/0!</v>
      </c>
      <c r="S105" s="14" t="e">
        <f t="shared" si="51"/>
        <v>#DIV/0!</v>
      </c>
      <c r="T105" s="12" t="e">
        <f>SUM(S$97:S105)</f>
        <v>#DIV/0!</v>
      </c>
      <c r="U105" s="12" t="e">
        <f t="shared" si="52"/>
        <v>#DIV/0!</v>
      </c>
      <c r="V105" s="12" t="e">
        <f t="shared" si="53"/>
        <v>#DIV/0!</v>
      </c>
      <c r="W105" s="12" t="e">
        <f>SUM(V$97:V105)</f>
        <v>#DIV/0!</v>
      </c>
      <c r="X105" s="12" t="e">
        <f t="shared" si="58"/>
        <v>#DIV/0!</v>
      </c>
      <c r="Y105" s="12" t="e">
        <f>SUM(X$97:X105)</f>
        <v>#DIV/0!</v>
      </c>
      <c r="AA105" s="31" t="e">
        <f t="shared" si="54"/>
        <v>#DIV/0!</v>
      </c>
      <c r="AB105" s="31" t="e">
        <f t="shared" si="55"/>
        <v>#DIV/0!</v>
      </c>
      <c r="AC105" s="31" t="e">
        <f t="shared" si="63"/>
        <v>#DIV/0!</v>
      </c>
      <c r="AD105" s="31" t="e">
        <f t="shared" si="61"/>
        <v>#DIV/0!</v>
      </c>
      <c r="AE105" s="48"/>
      <c r="AF105" s="48"/>
      <c r="AG105" s="48"/>
      <c r="AH105" s="48"/>
      <c r="AI105" s="48"/>
      <c r="AJ105" s="48"/>
    </row>
    <row r="106" spans="1:36" ht="15.75" thickBot="1" x14ac:dyDescent="0.3">
      <c r="A106" s="17">
        <v>10</v>
      </c>
      <c r="B106" s="61">
        <f>Input!I18</f>
        <v>0</v>
      </c>
      <c r="C106" s="61">
        <f>SUM(B$97:B106)</f>
        <v>0</v>
      </c>
      <c r="D106" s="62">
        <f t="shared" si="46"/>
        <v>0</v>
      </c>
      <c r="E106" s="62">
        <f>SUM(D$97:D106)</f>
        <v>0</v>
      </c>
      <c r="F106" s="62">
        <f t="shared" si="47"/>
        <v>0</v>
      </c>
      <c r="G106" s="62">
        <f>SUM(F$97:F106)</f>
        <v>0</v>
      </c>
      <c r="H106" s="62">
        <f t="shared" si="57"/>
        <v>0</v>
      </c>
      <c r="I106" s="62">
        <f>SUM(H$97:H106)</f>
        <v>0</v>
      </c>
      <c r="J106" s="57">
        <f>Input!E18</f>
        <v>0</v>
      </c>
      <c r="K106" s="13">
        <f t="shared" si="48"/>
        <v>0</v>
      </c>
      <c r="L106" s="13">
        <f>SUM(K$97:K106)</f>
        <v>0</v>
      </c>
      <c r="M106" s="12">
        <f t="shared" si="49"/>
        <v>0</v>
      </c>
      <c r="N106" s="16" t="e">
        <f t="shared" si="59"/>
        <v>#DIV/0!</v>
      </c>
      <c r="O106" s="16" t="e">
        <f t="shared" si="60"/>
        <v>#DIV/0!</v>
      </c>
      <c r="P106" s="12" t="e">
        <f t="shared" si="62"/>
        <v>#DIV/0!</v>
      </c>
      <c r="Q106" s="14" t="e">
        <f t="shared" si="50"/>
        <v>#DIV/0!</v>
      </c>
      <c r="R106" s="14" t="e">
        <f>SUM(Q$97:Q106)</f>
        <v>#DIV/0!</v>
      </c>
      <c r="S106" s="14" t="e">
        <f t="shared" si="51"/>
        <v>#DIV/0!</v>
      </c>
      <c r="T106" s="12" t="e">
        <f>SUM(S$97:S106)</f>
        <v>#DIV/0!</v>
      </c>
      <c r="U106" s="12" t="e">
        <f t="shared" si="52"/>
        <v>#DIV/0!</v>
      </c>
      <c r="V106" s="12" t="e">
        <f t="shared" si="53"/>
        <v>#DIV/0!</v>
      </c>
      <c r="W106" s="12" t="e">
        <f>SUM(V$97:V106)</f>
        <v>#DIV/0!</v>
      </c>
      <c r="X106" s="12" t="e">
        <f t="shared" si="58"/>
        <v>#DIV/0!</v>
      </c>
      <c r="Y106" s="12" t="e">
        <f>SUM(X$97:X106)</f>
        <v>#DIV/0!</v>
      </c>
      <c r="AA106" s="31" t="e">
        <f t="shared" si="54"/>
        <v>#DIV/0!</v>
      </c>
      <c r="AB106" s="31" t="e">
        <f t="shared" si="55"/>
        <v>#DIV/0!</v>
      </c>
      <c r="AC106" s="31" t="e">
        <f t="shared" si="63"/>
        <v>#DIV/0!</v>
      </c>
      <c r="AD106" s="31" t="e">
        <f t="shared" si="61"/>
        <v>#DIV/0!</v>
      </c>
      <c r="AE106" s="48"/>
      <c r="AF106" s="48"/>
      <c r="AG106" s="48"/>
      <c r="AH106" s="48"/>
      <c r="AI106" s="48"/>
      <c r="AJ106" s="48"/>
    </row>
    <row r="107" spans="1:36" ht="15.75" thickBot="1" x14ac:dyDescent="0.3">
      <c r="A107" s="17">
        <v>11</v>
      </c>
      <c r="B107" s="61">
        <f>Input!I19</f>
        <v>0</v>
      </c>
      <c r="C107" s="61">
        <f>SUM(B$97:B107)</f>
        <v>0</v>
      </c>
      <c r="D107" s="62">
        <f t="shared" si="46"/>
        <v>0</v>
      </c>
      <c r="E107" s="62">
        <f>SUM(D$97:D107)</f>
        <v>0</v>
      </c>
      <c r="F107" s="62">
        <f t="shared" si="47"/>
        <v>0</v>
      </c>
      <c r="G107" s="62">
        <f>SUM(F$97:F107)</f>
        <v>0</v>
      </c>
      <c r="H107" s="62">
        <f t="shared" si="57"/>
        <v>0</v>
      </c>
      <c r="I107" s="62">
        <f>SUM(H$97:H107)</f>
        <v>0</v>
      </c>
      <c r="J107" s="57">
        <f>Input!E19</f>
        <v>0</v>
      </c>
      <c r="K107" s="13">
        <f t="shared" si="48"/>
        <v>0</v>
      </c>
      <c r="L107" s="13">
        <f>SUM(K$97:K107)</f>
        <v>0</v>
      </c>
      <c r="M107" s="12">
        <f t="shared" si="49"/>
        <v>0</v>
      </c>
      <c r="N107" s="16" t="e">
        <f t="shared" si="59"/>
        <v>#DIV/0!</v>
      </c>
      <c r="O107" s="16" t="e">
        <f t="shared" si="60"/>
        <v>#DIV/0!</v>
      </c>
      <c r="P107" s="12" t="e">
        <f t="shared" si="62"/>
        <v>#DIV/0!</v>
      </c>
      <c r="Q107" s="14" t="e">
        <f t="shared" si="50"/>
        <v>#DIV/0!</v>
      </c>
      <c r="R107" s="14" t="e">
        <f>SUM(Q$97:Q107)</f>
        <v>#DIV/0!</v>
      </c>
      <c r="S107" s="14" t="e">
        <f t="shared" si="51"/>
        <v>#DIV/0!</v>
      </c>
      <c r="T107" s="12" t="e">
        <f>SUM(S$97:S107)</f>
        <v>#DIV/0!</v>
      </c>
      <c r="U107" s="12" t="e">
        <f t="shared" si="52"/>
        <v>#DIV/0!</v>
      </c>
      <c r="V107" s="12" t="e">
        <f t="shared" si="53"/>
        <v>#DIV/0!</v>
      </c>
      <c r="W107" s="12" t="e">
        <f>SUM(V$97:V107)</f>
        <v>#DIV/0!</v>
      </c>
      <c r="X107" s="12" t="e">
        <f t="shared" si="58"/>
        <v>#DIV/0!</v>
      </c>
      <c r="Y107" s="12" t="e">
        <f>SUM(X$97:X107)</f>
        <v>#DIV/0!</v>
      </c>
      <c r="AA107" s="31" t="e">
        <f t="shared" si="54"/>
        <v>#DIV/0!</v>
      </c>
      <c r="AB107" s="31" t="e">
        <f t="shared" si="55"/>
        <v>#DIV/0!</v>
      </c>
      <c r="AC107" s="31" t="e">
        <f t="shared" si="63"/>
        <v>#DIV/0!</v>
      </c>
      <c r="AD107" s="31" t="e">
        <f t="shared" si="61"/>
        <v>#DIV/0!</v>
      </c>
      <c r="AE107" s="48"/>
      <c r="AF107" s="48"/>
      <c r="AG107" s="48"/>
      <c r="AH107" s="48"/>
      <c r="AI107" s="48"/>
      <c r="AJ107" s="48"/>
    </row>
    <row r="108" spans="1:36" ht="15.75" thickBot="1" x14ac:dyDescent="0.3">
      <c r="A108" s="17">
        <v>12</v>
      </c>
      <c r="B108" s="61">
        <f>Input!I20</f>
        <v>0</v>
      </c>
      <c r="C108" s="61">
        <f>SUM(B$97:B108)</f>
        <v>0</v>
      </c>
      <c r="D108" s="62">
        <f t="shared" si="46"/>
        <v>0</v>
      </c>
      <c r="E108" s="62">
        <f>SUM(D$97:D108)</f>
        <v>0</v>
      </c>
      <c r="F108" s="62">
        <f t="shared" si="47"/>
        <v>0</v>
      </c>
      <c r="G108" s="62">
        <f>SUM(F$97:F108)</f>
        <v>0</v>
      </c>
      <c r="H108" s="62">
        <f t="shared" si="57"/>
        <v>0</v>
      </c>
      <c r="I108" s="62">
        <f>SUM(H$97:H108)</f>
        <v>0</v>
      </c>
      <c r="J108" s="57">
        <f>Input!E20</f>
        <v>0</v>
      </c>
      <c r="K108" s="13">
        <f t="shared" si="48"/>
        <v>0</v>
      </c>
      <c r="L108" s="13">
        <f>SUM(K$97:K108)</f>
        <v>0</v>
      </c>
      <c r="M108" s="12">
        <f t="shared" si="49"/>
        <v>0</v>
      </c>
      <c r="N108" s="16" t="e">
        <f t="shared" si="59"/>
        <v>#DIV/0!</v>
      </c>
      <c r="O108" s="16" t="e">
        <f t="shared" si="60"/>
        <v>#DIV/0!</v>
      </c>
      <c r="P108" s="12" t="e">
        <f t="shared" si="62"/>
        <v>#DIV/0!</v>
      </c>
      <c r="Q108" s="14" t="e">
        <f t="shared" si="50"/>
        <v>#DIV/0!</v>
      </c>
      <c r="R108" s="14" t="e">
        <f>SUM(Q$97:Q108)</f>
        <v>#DIV/0!</v>
      </c>
      <c r="S108" s="14" t="e">
        <f t="shared" si="51"/>
        <v>#DIV/0!</v>
      </c>
      <c r="T108" s="12" t="e">
        <f>SUM(S$97:S108)</f>
        <v>#DIV/0!</v>
      </c>
      <c r="U108" s="12" t="e">
        <f t="shared" si="52"/>
        <v>#DIV/0!</v>
      </c>
      <c r="V108" s="12" t="e">
        <f t="shared" si="53"/>
        <v>#DIV/0!</v>
      </c>
      <c r="W108" s="12" t="e">
        <f>SUM(V$97:V108)</f>
        <v>#DIV/0!</v>
      </c>
      <c r="X108" s="12" t="e">
        <f t="shared" si="58"/>
        <v>#DIV/0!</v>
      </c>
      <c r="Y108" s="12" t="e">
        <f>SUM(X$97:X108)</f>
        <v>#DIV/0!</v>
      </c>
      <c r="AA108" s="31" t="e">
        <f t="shared" si="54"/>
        <v>#DIV/0!</v>
      </c>
      <c r="AB108" s="31" t="e">
        <f t="shared" si="55"/>
        <v>#DIV/0!</v>
      </c>
      <c r="AC108" s="31" t="e">
        <f t="shared" si="63"/>
        <v>#DIV/0!</v>
      </c>
      <c r="AD108" s="31" t="e">
        <f t="shared" si="61"/>
        <v>#DIV/0!</v>
      </c>
      <c r="AE108" s="48"/>
      <c r="AF108" s="48"/>
      <c r="AG108" s="48"/>
      <c r="AH108" s="48"/>
      <c r="AI108" s="48"/>
      <c r="AJ108" s="48"/>
    </row>
    <row r="109" spans="1:36" x14ac:dyDescent="0.25">
      <c r="A109" s="41" t="s">
        <v>11</v>
      </c>
      <c r="B109" s="58">
        <f>IF(ISBLANK(B97), " ", SUM(B97:B108))</f>
        <v>0</v>
      </c>
      <c r="C109" s="50"/>
      <c r="D109" s="59">
        <f>IF(ISBLANK(D97), " ", SUM(D97:D108))</f>
        <v>0</v>
      </c>
      <c r="E109" s="50"/>
      <c r="F109" s="59">
        <f>IF(ISBLANK(F97), " ", SUM(F97:F108))</f>
        <v>0</v>
      </c>
      <c r="G109" s="50"/>
      <c r="H109" s="59">
        <f>IF(ISBLANK(H97), " ", SUM(H97:H108))</f>
        <v>0</v>
      </c>
      <c r="I109" s="50"/>
      <c r="J109" s="79">
        <f>IF(ISBLANK(J97), " ", SUM(J97:J108))</f>
        <v>0</v>
      </c>
      <c r="K109" s="59">
        <f>IF(ISBLANK(K97), " ", SUM(K97:K108))</f>
        <v>0</v>
      </c>
      <c r="L109" s="50"/>
      <c r="M109" s="50"/>
      <c r="N109" s="50"/>
      <c r="O109" s="50"/>
      <c r="P109" s="50"/>
      <c r="Q109" s="40" t="e">
        <f>SUM(Q97:Q108)</f>
        <v>#DIV/0!</v>
      </c>
      <c r="R109" s="51"/>
      <c r="S109" s="40" t="e">
        <f>SUM(S97:S108)</f>
        <v>#DIV/0!</v>
      </c>
      <c r="T109" s="50"/>
      <c r="U109" s="50"/>
      <c r="V109" s="40" t="e">
        <f>SUM(V97:V108)</f>
        <v>#DIV/0!</v>
      </c>
      <c r="W109" s="50"/>
      <c r="X109" s="40" t="e">
        <f>SUM(X97:X108)</f>
        <v>#DIV/0!</v>
      </c>
      <c r="Y109" s="50"/>
      <c r="AA109" s="43" t="e">
        <f>SUM(AA97:AA108)</f>
        <v>#DIV/0!</v>
      </c>
      <c r="AB109" s="43" t="e">
        <f>SUM(AB97:AB108)</f>
        <v>#DIV/0!</v>
      </c>
      <c r="AC109" s="43" t="e">
        <f>SUM(AC97:AC108)</f>
        <v>#DIV/0!</v>
      </c>
      <c r="AD109" s="43" t="e">
        <f>SUM(AD97:AD108)</f>
        <v>#DIV/0!</v>
      </c>
      <c r="AE109" s="47" t="str">
        <f>IF(mb=1,AA109/Q109,IF(mb=2,SUM(AA98:AA108)/SUM(Q98:Q108),IF(mb=3,SUM(AA99:AA108)/SUM(Q99:Q108),IF(mb=4,SUM(AA100:AA108)/SUM(Q100:Q108),IF(mb=5,SUM(AA101:AA108)/SUM(Q101:Q108),IF(mb=6,SUM(AA102:AA108)/SUM(Q102:Q108),IF(mb=7,SUM(AA103:AA108)/SUM(Q103:Q108),IF(mb=8,SUM(AA104:AA108)/SUM(Q104:Q108),"Fail"))))))))</f>
        <v>Fail</v>
      </c>
      <c r="AF109" s="47" t="str">
        <f>IF(mb=1,AB109/S109,IF(mb=2,SUM(AB98:AB108)/SUM(S98:S108),IF(mb=3,SUM(AB99:AB108)/SUM(S99:S108),IF(mb=4,SUM(AB100:AB108)/SUM(S100:S108),IF(mb=5,SUM(AB101:AB108)/SUM(S101:S108),IF(mb=6,SUM(AB102:AB108)/SUM(S102:S108),IF(mb=7,SUM(AB103:AB108)/SUM(S103:S108),IF(mb=8,SUM(AB104:AB108)/SUM(S104:S108),"Fail"))))))))</f>
        <v>Fail</v>
      </c>
      <c r="AG109" s="43" t="e">
        <f>1/((VE*IF(mb=1,Q109,IF(mb=2,SUM(Q98:Q108),IF(mb=3,SUM(Q99:Q108),IF(mb=4,SUM(Q100:Q108),IF(mb=5,SUM(Q101:Q108),IF(mb=6,SUM(Q102:Q108),IF(mb=7,SUM(Q103:Q108),IF(mb=8,SUM(Q104:Q108),"fail")))))))))/TP)</f>
        <v>#VALUE!</v>
      </c>
      <c r="AH109" s="43" t="e">
        <f>1/((VE*IF(mb=1,S109,IF(mb=2,SUM(S98:S108),IF(mb=3,SUM(S99:S108),IF(mb=4,SUM(S100:S108),IF(mb=5,SUM(S101:S108),IF(mb=6,SUM(S102:S108),IF(mb=7,SUM(S103:S108),IF(mb=8,SUM(S104:S108),"fail")))))))))/TP)</f>
        <v>#VALUE!</v>
      </c>
      <c r="AI109" s="43" t="e">
        <f>1/((VE*IF(mb=1,V109,IF(mb=2,SUM(V98:V108),IF(mb=3,SUM(V99:V108),IF(mb=4,SUM(V100:V108),IF(mb=5,SUM(V101:V108),IF(mb=6,SUM(V102:V108),IF(mb=7,SUM(V103:V108),IF(mb=8,SUM(V103:V107),"fail")))))))))/TP)</f>
        <v>#VALUE!</v>
      </c>
      <c r="AJ109" s="43" t="e">
        <f>1/((VE*IF(mb=1,(S109+Q109),IF(mb=2,SUM(S98:S108,Q98:Q108),IF(mb=3,SUM(S99:S108,Q99:Q108),IF(mb=4,SUM(S100:S108,Q100:Q108),IF(mb=5,SUM(S101:S108,Q101:Q108),IF(mb=6,SUM(S102:S108,Q102:Q108),IF(mb=7,SUM(S103:S108,Q103:Q108),IF(mb=8,SUM(S104:S108,Q104:Q108),"fail")))))))))/TP)</f>
        <v>#VALUE!</v>
      </c>
    </row>
    <row r="110" spans="1:36" x14ac:dyDescent="0.25">
      <c r="A110" s="39"/>
      <c r="B110" s="34"/>
      <c r="C110" s="18"/>
      <c r="D110" s="18"/>
      <c r="E110" s="18"/>
      <c r="F110" s="18"/>
      <c r="G110" s="18"/>
      <c r="H110" s="18"/>
      <c r="I110" s="18"/>
      <c r="J110" s="18"/>
      <c r="K110" s="18"/>
      <c r="L110" s="18"/>
      <c r="M110" s="18"/>
      <c r="N110" s="18"/>
      <c r="O110" s="18"/>
      <c r="P110" s="18"/>
      <c r="Q110" s="18"/>
      <c r="R110" s="18"/>
      <c r="S110" s="18"/>
      <c r="T110" s="18"/>
      <c r="U110" s="18"/>
      <c r="V110" s="18"/>
      <c r="W110" s="18"/>
      <c r="X110" s="18"/>
      <c r="Y110" s="18"/>
    </row>
    <row r="111" spans="1:36" x14ac:dyDescent="0.25">
      <c r="A111" s="39"/>
      <c r="B111" s="34"/>
      <c r="C111" s="18"/>
      <c r="D111" s="18"/>
      <c r="E111" s="18"/>
      <c r="F111" s="18"/>
      <c r="G111" s="18"/>
      <c r="H111" s="18"/>
      <c r="I111" s="18"/>
      <c r="J111" s="18"/>
      <c r="K111" s="18"/>
      <c r="L111" s="18"/>
      <c r="M111" s="18"/>
      <c r="N111" s="18"/>
      <c r="O111" s="18"/>
      <c r="P111" s="18"/>
      <c r="Q111" s="18"/>
      <c r="R111" s="18"/>
      <c r="S111" s="18"/>
      <c r="T111" s="18"/>
      <c r="U111" s="18"/>
      <c r="V111" s="18"/>
      <c r="W111" s="18"/>
      <c r="X111" s="18"/>
      <c r="Y111" s="18"/>
    </row>
    <row r="112" spans="1:36" x14ac:dyDescent="0.25">
      <c r="J112" t="s">
        <v>56</v>
      </c>
      <c r="O112" t="e">
        <f>(S109/Q109)-hnh</f>
        <v>#DIV/0!</v>
      </c>
    </row>
    <row r="113" spans="1:36" x14ac:dyDescent="0.25">
      <c r="F113" s="26"/>
      <c r="J113" s="38">
        <f>J109-Input!E100</f>
        <v>0</v>
      </c>
    </row>
    <row r="114" spans="1:36" x14ac:dyDescent="0.25">
      <c r="AA114" t="s">
        <v>56</v>
      </c>
      <c r="AB114" t="s">
        <v>57</v>
      </c>
      <c r="AC114" t="s">
        <v>56</v>
      </c>
      <c r="AD114" t="s">
        <v>56</v>
      </c>
      <c r="AE114" t="s">
        <v>57</v>
      </c>
      <c r="AF114" t="s">
        <v>57</v>
      </c>
      <c r="AG114" t="s">
        <v>57</v>
      </c>
      <c r="AH114" t="s">
        <v>57</v>
      </c>
      <c r="AJ114" t="s">
        <v>57</v>
      </c>
    </row>
    <row r="115" spans="1:36" x14ac:dyDescent="0.25">
      <c r="I115" t="s">
        <v>34</v>
      </c>
      <c r="O115" s="25"/>
      <c r="AA115" s="33" t="e">
        <f>AA109-#REF!</f>
        <v>#DIV/0!</v>
      </c>
      <c r="AB115" s="33" t="e">
        <f>AB109-B119</f>
        <v>#DIV/0!</v>
      </c>
      <c r="AC115" s="37" t="e">
        <f>(AC109/AD109)</f>
        <v>#DIV/0!</v>
      </c>
      <c r="AD115" s="33" t="e">
        <f>AD109-#REF!</f>
        <v>#DIV/0!</v>
      </c>
      <c r="AE115" s="45" t="e">
        <f>#REF!-AE109</f>
        <v>#REF!</v>
      </c>
      <c r="AF115" s="46" t="e">
        <f>AF109-B132</f>
        <v>#VALUE!</v>
      </c>
      <c r="AG115" s="28" t="e">
        <f>B130-AG109</f>
        <v>#DIV/0!</v>
      </c>
      <c r="AH115" s="32" t="e">
        <f>AH109-B120</f>
        <v>#VALUE!</v>
      </c>
      <c r="AJ115" s="31" t="e">
        <f>AJ109-B125</f>
        <v>#VALUE!</v>
      </c>
    </row>
    <row r="116" spans="1:36" x14ac:dyDescent="0.25">
      <c r="B116" t="s">
        <v>24</v>
      </c>
      <c r="D116" s="11"/>
    </row>
    <row r="117" spans="1:36" ht="30" x14ac:dyDescent="0.25">
      <c r="A117" s="19" t="s">
        <v>28</v>
      </c>
      <c r="B117" s="31" t="e">
        <f>S109</f>
        <v>#DIV/0!</v>
      </c>
      <c r="D117" s="25"/>
      <c r="G117" t="s">
        <v>35</v>
      </c>
      <c r="H117">
        <f>SUM(J97:J108)*TP</f>
        <v>0</v>
      </c>
    </row>
    <row r="118" spans="1:36" ht="30" x14ac:dyDescent="0.25">
      <c r="A118" s="19" t="s">
        <v>29</v>
      </c>
      <c r="B118" s="31">
        <f>D109</f>
        <v>0</v>
      </c>
      <c r="D118" s="25"/>
      <c r="G118" t="s">
        <v>36</v>
      </c>
      <c r="H118" t="e">
        <f>SUM(K97:K108)/VE</f>
        <v>#DIV/0!</v>
      </c>
    </row>
    <row r="119" spans="1:36" ht="30" x14ac:dyDescent="0.25">
      <c r="A119" s="19" t="s">
        <v>20</v>
      </c>
      <c r="B119" s="33" t="e">
        <f>B117-B118</f>
        <v>#DIV/0!</v>
      </c>
      <c r="D119" s="25"/>
      <c r="G119" t="s">
        <v>37</v>
      </c>
      <c r="H119" t="e">
        <f>(((L100/VE)/SUM(J97:J100)))-TP</f>
        <v>#DIV/0!</v>
      </c>
    </row>
    <row r="120" spans="1:36" ht="30" x14ac:dyDescent="0.25">
      <c r="A120" s="19" t="s">
        <v>23</v>
      </c>
      <c r="B120" s="29" t="e">
        <f>1/((VE*SUM(S100:S108))/TP)</f>
        <v>#DIV/0!</v>
      </c>
      <c r="D120" s="25"/>
      <c r="G120" t="s">
        <v>38</v>
      </c>
      <c r="H120" t="e">
        <f>(((L102/VE)/SUM(J97:J102)))-TP</f>
        <v>#DIV/0!</v>
      </c>
    </row>
    <row r="121" spans="1:36" x14ac:dyDescent="0.25">
      <c r="A121" s="19"/>
      <c r="D121" s="25"/>
      <c r="G121" t="s">
        <v>39</v>
      </c>
      <c r="H121" t="e">
        <f>(((L108/VE)/SUM(J97:J108)))-TP</f>
        <v>#DIV/0!</v>
      </c>
    </row>
    <row r="122" spans="1:36" x14ac:dyDescent="0.25">
      <c r="A122" s="19" t="s">
        <v>30</v>
      </c>
      <c r="B122" s="31" t="e">
        <f>X109</f>
        <v>#DIV/0!</v>
      </c>
      <c r="D122" s="25"/>
    </row>
    <row r="123" spans="1:36" x14ac:dyDescent="0.25">
      <c r="A123" s="19" t="s">
        <v>31</v>
      </c>
      <c r="B123" s="25">
        <f>H109</f>
        <v>0</v>
      </c>
      <c r="D123" s="25"/>
    </row>
    <row r="124" spans="1:36" x14ac:dyDescent="0.25">
      <c r="A124" s="19" t="s">
        <v>21</v>
      </c>
      <c r="B124" s="33" t="e">
        <f>B122-B123</f>
        <v>#DIV/0!</v>
      </c>
      <c r="D124" s="25"/>
    </row>
    <row r="125" spans="1:36" x14ac:dyDescent="0.25">
      <c r="A125" s="19" t="s">
        <v>22</v>
      </c>
      <c r="B125" s="29" t="e">
        <f>1/(VE*(SUM(S100:S108,Q100:Q108))/TP)</f>
        <v>#DIV/0!</v>
      </c>
      <c r="D125" s="25"/>
    </row>
    <row r="126" spans="1:36" x14ac:dyDescent="0.25">
      <c r="A126" s="19"/>
      <c r="D126" s="25"/>
    </row>
    <row r="127" spans="1:36" x14ac:dyDescent="0.25">
      <c r="A127" s="19" t="s">
        <v>32</v>
      </c>
      <c r="B127" s="33" t="e">
        <f>Q109</f>
        <v>#DIV/0!</v>
      </c>
      <c r="D127" s="25"/>
    </row>
    <row r="128" spans="1:36" x14ac:dyDescent="0.25">
      <c r="A128" s="19" t="s">
        <v>33</v>
      </c>
      <c r="B128" s="33">
        <f>B109</f>
        <v>0</v>
      </c>
      <c r="D128" s="25"/>
    </row>
    <row r="129" spans="1:7" ht="30" x14ac:dyDescent="0.25">
      <c r="A129" s="19" t="s">
        <v>12</v>
      </c>
      <c r="B129" s="33" t="e">
        <f>B127-B128</f>
        <v>#DIV/0!</v>
      </c>
      <c r="D129" s="25"/>
    </row>
    <row r="130" spans="1:7" x14ac:dyDescent="0.25">
      <c r="A130" s="19" t="s">
        <v>25</v>
      </c>
      <c r="B130" s="27" t="e">
        <f>1/(VE*SUM(Q100:Q108)/TP)</f>
        <v>#DIV/0!</v>
      </c>
      <c r="D130" s="25"/>
    </row>
    <row r="131" spans="1:7" x14ac:dyDescent="0.25">
      <c r="A131" s="19"/>
      <c r="D131" s="25"/>
    </row>
    <row r="132" spans="1:7" ht="30" x14ac:dyDescent="0.25">
      <c r="A132" s="19" t="s">
        <v>26</v>
      </c>
      <c r="B132" s="30" t="str">
        <f>AF109</f>
        <v>Fail</v>
      </c>
      <c r="D132" s="25"/>
    </row>
    <row r="133" spans="1:7" ht="30" x14ac:dyDescent="0.25">
      <c r="A133" s="19" t="s">
        <v>27</v>
      </c>
      <c r="B133" s="30" t="str">
        <f>AE109</f>
        <v>Fail</v>
      </c>
      <c r="D133" s="25"/>
    </row>
    <row r="138" spans="1:7" x14ac:dyDescent="0.25">
      <c r="B138" t="str">
        <f>IF(ISc=1,CONCATENATE("Number of influenza ",Results!$F$18," observed and avoided by vaccination and influenza vaccination monthly coverage. ",Input!E4,", ","season ",season,"."),IF(ISc=2,CONCATENATE("Impact of a hypothetical influenza vaccination campaign in influenza ",Results!$F$18,". ",Input!E4,", ","season ",season,"."),0))</f>
        <v>Number of influenza Hospitalizations observed and avoided by vaccination and influenza vaccination monthly coverage. Country X, season .</v>
      </c>
    </row>
    <row r="139" spans="1:7" x14ac:dyDescent="0.25">
      <c r="B139" t="s">
        <v>293</v>
      </c>
    </row>
    <row r="141" spans="1:7" x14ac:dyDescent="0.25">
      <c r="C141" t="str">
        <f>IF(Scl=1,"Overall infections observed",IF(Scl=2,"overall infections non avoided ","no data"))</f>
        <v>Overall infections observed</v>
      </c>
      <c r="D141" t="s">
        <v>291</v>
      </c>
      <c r="E141" t="s">
        <v>292</v>
      </c>
    </row>
    <row r="142" spans="1:7" x14ac:dyDescent="0.25">
      <c r="B142">
        <f>Input!D9</f>
        <v>0</v>
      </c>
      <c r="C142" s="31">
        <f>IF(AND(ISc=1,Results!$F$18="Infections"),'3.1. Current vaccine model'!H6,IF(AND(ISc=2,Results!$F$18="Infections"),'3.2 Hypothetical vaccine model'!X6,IF(AND(ISc=1,Results!$F$18="Hospitalizations"),'3.1. Current vaccine model'!B6,IF(AND(ISc=2,Results!$F$18="Hospitalizations"),'3.2 Hypothetical vaccine model'!C6,0))))</f>
        <v>0</v>
      </c>
      <c r="D142" s="31" t="e">
        <f>IF(AND(ISc=1,Results!$F$18="Infections"),'3.1. Current vaccine model'!AD6,IF(AND(ISc=2,Results!$F$18="Infections"),'3.2 Hypothetical vaccine model'!AD6,IF(AND(ISc=1,Results!$F$18="Hospitalizations"),'3.1. Current vaccine model'!AA6,IF(AND(ISc=2,Results!$F$18="Hospitalizations"),'3.2 Hypothetical vaccine model'!AA6,0))))</f>
        <v>#DIV/0!</v>
      </c>
      <c r="E142" s="112">
        <f>Co_1</f>
        <v>0</v>
      </c>
    </row>
    <row r="143" spans="1:7" x14ac:dyDescent="0.25">
      <c r="B143">
        <f>Input!D10</f>
        <v>0</v>
      </c>
      <c r="C143" s="31">
        <f>IF(AND(ISc=1,Results!$F$18="Infections"),'3.1. Current vaccine model'!H7,IF(AND(ISc=2,Results!$F$18="Infections"),'3.2 Hypothetical vaccine model'!X7,IF(AND(ISc=1,Results!$F$18="Hospitalizations"),'3.1. Current vaccine model'!B7,IF(AND(ISc=2,Results!$F$18="Hospitalizations"),'3.2 Hypothetical vaccine model'!C7,0))))</f>
        <v>0</v>
      </c>
      <c r="D143" s="31" t="e">
        <f>IF(AND(ISc=1,Results!$F$18="Infections"),'3.1. Current vaccine model'!AD7,IF(AND(ISc=2,Results!$F$18="Infections"),'3.2 Hypothetical vaccine model'!AD7,IF(AND(ISc=1,Results!$F$18="Hospitalizations"),'3.1. Current vaccine model'!AA7,IF(AND(ISc=2,Results!$F$18="Hospitalizations"),'3.2 Hypothetical vaccine model'!AA7,0))))</f>
        <v>#DIV/0!</v>
      </c>
      <c r="E143" s="112">
        <f>Co_2</f>
        <v>0</v>
      </c>
    </row>
    <row r="144" spans="1:7" x14ac:dyDescent="0.25">
      <c r="B144">
        <f>Input!D11</f>
        <v>0</v>
      </c>
      <c r="C144" s="31">
        <f>IF(AND(ISc=1,Results!$F$18="Infections"),'3.1. Current vaccine model'!H8,IF(AND(ISc=2,Results!$F$18="Infections"),'3.2 Hypothetical vaccine model'!X8,IF(AND(ISc=1,Results!$F$18="Hospitalizations"),'3.1. Current vaccine model'!B8,IF(AND(ISc=2,Results!$F$18="Hospitalizations"),'3.2 Hypothetical vaccine model'!C8,0))))</f>
        <v>0</v>
      </c>
      <c r="D144" s="31" t="e">
        <f>IF(AND(ISc=1,Results!$F$18="Infections"),'3.1. Current vaccine model'!AD8,IF(AND(ISc=2,Results!$F$18="Infections"),'3.2 Hypothetical vaccine model'!AD8,IF(AND(ISc=1,Results!$F$18="Hospitalizations"),'3.1. Current vaccine model'!AA8,IF(AND(ISc=2,Results!$F$18="Hospitalizations"),'3.2 Hypothetical vaccine model'!AA8,0))))</f>
        <v>#DIV/0!</v>
      </c>
      <c r="E144" s="112">
        <f>Co_3</f>
        <v>0</v>
      </c>
      <c r="G144" t="str">
        <f>CONCATENATE("Number of ",Results!$F$18)</f>
        <v>Number of Hospitalizations</v>
      </c>
    </row>
    <row r="145" spans="2:5" x14ac:dyDescent="0.25">
      <c r="B145">
        <f>Input!D12</f>
        <v>0</v>
      </c>
      <c r="C145" s="31">
        <f>IF(AND(ISc=1,Results!$F$18="Infections"),'3.1. Current vaccine model'!H9,IF(AND(ISc=2,Results!$F$18="Infections"),'3.2 Hypothetical vaccine model'!X9,IF(AND(ISc=1,Results!$F$18="Hospitalizations"),'3.1. Current vaccine model'!B9,IF(AND(ISc=2,Results!$F$18="Hospitalizations"),'3.2 Hypothetical vaccine model'!C9,0))))</f>
        <v>0</v>
      </c>
      <c r="D145" s="31" t="e">
        <f>IF(AND(ISc=1,Results!$F$18="Infections"),'3.1. Current vaccine model'!AD9,IF(AND(ISc=2,Results!$F$18="Infections"),'3.2 Hypothetical vaccine model'!AD9,IF(AND(ISc=1,Results!$F$18="Hospitalizations"),'3.1. Current vaccine model'!AA9,IF(AND(ISc=2,Results!$F$18="Hospitalizations"),'3.2 Hypothetical vaccine model'!AA9,0))))</f>
        <v>#DIV/0!</v>
      </c>
      <c r="E145" s="112">
        <f>Co_4</f>
        <v>0</v>
      </c>
    </row>
    <row r="146" spans="2:5" x14ac:dyDescent="0.25">
      <c r="B146">
        <f>Input!D13</f>
        <v>0</v>
      </c>
      <c r="C146" s="31">
        <f>IF(AND(ISc=1,Results!$F$18="Infections"),'3.1. Current vaccine model'!H10,IF(AND(ISc=2,Results!$F$18="Infections"),'3.2 Hypothetical vaccine model'!X10,IF(AND(ISc=1,Results!$F$18="Hospitalizations"),'3.1. Current vaccine model'!B10,IF(AND(ISc=2,Results!$F$18="Hospitalizations"),'3.2 Hypothetical vaccine model'!C10,0))))</f>
        <v>0</v>
      </c>
      <c r="D146" s="31" t="e">
        <f>IF(AND(ISc=1,Results!$F$18="Infections"),'3.1. Current vaccine model'!AD10,IF(AND(ISc=2,Results!$F$18="Infections"),'3.2 Hypothetical vaccine model'!AD10,IF(AND(ISc=1,Results!$F$18="Hospitalizations"),'3.1. Current vaccine model'!AA10,IF(AND(ISc=2,Results!$F$18="Hospitalizations"),'3.2 Hypothetical vaccine model'!AA10,0))))</f>
        <v>#DIV/0!</v>
      </c>
      <c r="E146" s="112">
        <f>Co_5</f>
        <v>0</v>
      </c>
    </row>
    <row r="147" spans="2:5" x14ac:dyDescent="0.25">
      <c r="B147">
        <f>Input!D14</f>
        <v>0</v>
      </c>
      <c r="C147" s="31">
        <f>IF(AND(ISc=1,Results!$F$18="Infections"),'3.1. Current vaccine model'!H11,IF(AND(ISc=2,Results!$F$18="Infections"),'3.2 Hypothetical vaccine model'!X11,IF(AND(ISc=1,Results!$F$18="Hospitalizations"),'3.1. Current vaccine model'!B11,IF(AND(ISc=2,Results!$F$18="Hospitalizations"),'3.2 Hypothetical vaccine model'!C11,0))))</f>
        <v>0</v>
      </c>
      <c r="D147" s="31" t="e">
        <f>IF(AND(ISc=1,Results!$F$18="Infections"),'3.1. Current vaccine model'!AD11,IF(AND(ISc=2,Results!$F$18="Infections"),'3.2 Hypothetical vaccine model'!AD11,IF(AND(ISc=1,Results!$F$18="Hospitalizations"),'3.1. Current vaccine model'!AA11,IF(AND(ISc=2,Results!$F$18="Hospitalizations"),'3.2 Hypothetical vaccine model'!AA11,0))))</f>
        <v>#DIV/0!</v>
      </c>
      <c r="E147" s="112">
        <f>Co_6</f>
        <v>0</v>
      </c>
    </row>
    <row r="148" spans="2:5" x14ac:dyDescent="0.25">
      <c r="B148">
        <f>Input!D15</f>
        <v>0</v>
      </c>
      <c r="C148" s="31">
        <f>IF(AND(ISc=1,Results!$F$18="Infections"),'3.1. Current vaccine model'!H12,IF(AND(ISc=2,Results!$F$18="Infections"),'3.2 Hypothetical vaccine model'!X12,IF(AND(ISc=1,Results!$F$18="Hospitalizations"),'3.1. Current vaccine model'!B12,IF(AND(ISc=2,Results!$F$18="Hospitalizations"),'3.2 Hypothetical vaccine model'!C12,0))))</f>
        <v>0</v>
      </c>
      <c r="D148" s="31" t="e">
        <f>IF(AND(ISc=1,Results!$F$18="Infections"),'3.1. Current vaccine model'!AD12,IF(AND(ISc=2,Results!$F$18="Infections"),'3.2 Hypothetical vaccine model'!AD12,IF(AND(ISc=1,Results!$F$18="Hospitalizations"),'3.1. Current vaccine model'!AA12,IF(AND(ISc=2,Results!$F$18="Hospitalizations"),'3.2 Hypothetical vaccine model'!AA12,0))))</f>
        <v>#DIV/0!</v>
      </c>
      <c r="E148" s="112">
        <f>Co_7</f>
        <v>0</v>
      </c>
    </row>
    <row r="149" spans="2:5" x14ac:dyDescent="0.25">
      <c r="B149">
        <f>Input!D16</f>
        <v>0</v>
      </c>
      <c r="C149" s="31">
        <f>IF(AND(ISc=1,Results!$F$18="Infections"),'3.1. Current vaccine model'!H13,IF(AND(ISc=2,Results!$F$18="Infections"),'3.2 Hypothetical vaccine model'!X13,IF(AND(ISc=1,Results!$F$18="Hospitalizations"),'3.1. Current vaccine model'!B13,IF(AND(ISc=2,Results!$F$18="Hospitalizations"),'3.2 Hypothetical vaccine model'!C13,0))))</f>
        <v>0</v>
      </c>
      <c r="D149" s="31" t="e">
        <f>IF(AND(ISc=1,Results!$F$18="Infections"),'3.1. Current vaccine model'!AD13,IF(AND(ISc=2,Results!$F$18="Infections"),'3.2 Hypothetical vaccine model'!AD13,IF(AND(ISc=1,Results!$F$18="Hospitalizations"),'3.1. Current vaccine model'!AA13,IF(AND(ISc=2,Results!$F$18="Hospitalizations"),'3.2 Hypothetical vaccine model'!AA13,0))))</f>
        <v>#DIV/0!</v>
      </c>
      <c r="E149" s="112">
        <f>Co_8</f>
        <v>0</v>
      </c>
    </row>
    <row r="150" spans="2:5" x14ac:dyDescent="0.25">
      <c r="B150">
        <f>Input!D17</f>
        <v>0</v>
      </c>
      <c r="C150" s="31">
        <f>IF(AND(ISc=1,Results!$F$18="Infections"),'3.1. Current vaccine model'!H14,IF(AND(ISc=2,Results!$F$18="Infections"),'3.2 Hypothetical vaccine model'!X14,IF(AND(ISc=1,Results!$F$18="Hospitalizations"),'3.1. Current vaccine model'!B14,IF(AND(ISc=2,Results!$F$18="Hospitalizations"),'3.2 Hypothetical vaccine model'!C14,0))))</f>
        <v>0</v>
      </c>
      <c r="D150" s="31" t="e">
        <f>IF(AND(ISc=1,Results!$F$18="Infections"),'3.1. Current vaccine model'!AD14,IF(AND(ISc=2,Results!$F$18="Infections"),'3.2 Hypothetical vaccine model'!AD14,IF(AND(ISc=1,Results!$F$18="Hospitalizations"),'3.1. Current vaccine model'!AA14,IF(AND(ISc=2,Results!$F$18="Hospitalizations"),'3.2 Hypothetical vaccine model'!AA14,0))))</f>
        <v>#DIV/0!</v>
      </c>
      <c r="E150" s="112">
        <f>Co_9</f>
        <v>0</v>
      </c>
    </row>
    <row r="151" spans="2:5" x14ac:dyDescent="0.25">
      <c r="B151">
        <f>Input!D18</f>
        <v>0</v>
      </c>
      <c r="C151" s="31">
        <f>IF(AND(ISc=1,Results!$F$18="Infections"),'3.1. Current vaccine model'!H15,IF(AND(ISc=2,Results!$F$18="Infections"),'3.2 Hypothetical vaccine model'!X15,IF(AND(ISc=1,Results!$F$18="Hospitalizations"),'3.1. Current vaccine model'!B15,IF(AND(ISc=2,Results!$F$18="Hospitalizations"),'3.2 Hypothetical vaccine model'!C15,0))))</f>
        <v>0</v>
      </c>
      <c r="D151" s="31" t="e">
        <f>IF(AND(ISc=1,Results!$F$18="Infections"),'3.1. Current vaccine model'!AD15,IF(AND(ISc=2,Results!$F$18="Infections"),'3.2 Hypothetical vaccine model'!AD15,IF(AND(ISc=1,Results!$F$18="Hospitalizations"),'3.1. Current vaccine model'!AA15,IF(AND(ISc=2,Results!$F$18="Hospitalizations"),'3.2 Hypothetical vaccine model'!AA15,0))))</f>
        <v>#DIV/0!</v>
      </c>
      <c r="E151" s="112">
        <f>Co_10</f>
        <v>0</v>
      </c>
    </row>
    <row r="152" spans="2:5" x14ac:dyDescent="0.25">
      <c r="B152">
        <f>Input!D19</f>
        <v>0</v>
      </c>
      <c r="C152" s="31">
        <f>IF(AND(ISc=1,Results!$F$18="Infections"),'3.1. Current vaccine model'!H16,IF(AND(ISc=2,Results!$F$18="Infections"),'3.2 Hypothetical vaccine model'!X16,IF(AND(ISc=1,Results!$F$18="Hospitalizations"),'3.1. Current vaccine model'!B16,IF(AND(ISc=2,Results!$F$18="Hospitalizations"),'3.2 Hypothetical vaccine model'!C16,0))))</f>
        <v>0</v>
      </c>
      <c r="D152" s="31" t="e">
        <f>IF(AND(ISc=1,Results!$F$18="Infections"),'3.1. Current vaccine model'!AD16,IF(AND(ISc=2,Results!$F$18="Infections"),'3.2 Hypothetical vaccine model'!AD16,IF(AND(ISc=1,Results!$F$18="Hospitalizations"),'3.1. Current vaccine model'!AA16,IF(AND(ISc=2,Results!$F$18="Hospitalizations"),'3.2 Hypothetical vaccine model'!AA16,0))))</f>
        <v>#DIV/0!</v>
      </c>
      <c r="E152" s="112">
        <f>Co_11</f>
        <v>0</v>
      </c>
    </row>
    <row r="153" spans="2:5" x14ac:dyDescent="0.25">
      <c r="B153">
        <f>Input!D20</f>
        <v>0</v>
      </c>
      <c r="C153" s="31">
        <f>IF(AND(ISc=1,Results!$F$18="Infections"),'3.1. Current vaccine model'!H17,IF(AND(ISc=2,Results!$F$18="Infections"),'3.2 Hypothetical vaccine model'!X17,IF(AND(ISc=1,Results!$F$18="Hospitalizations"),'3.1. Current vaccine model'!B17,IF(AND(ISc=2,Results!$F$18="Hospitalizations"),'3.2 Hypothetical vaccine model'!C17,0))))</f>
        <v>0</v>
      </c>
      <c r="D153" s="31" t="e">
        <f>IF(AND(ISc=1,Results!$F$18="Infections"),'3.1. Current vaccine model'!AD17,IF(AND(ISc=2,Results!$F$18="Infections"),'3.2 Hypothetical vaccine model'!AD17,IF(AND(ISc=1,Results!$F$18="Hospitalizations"),'3.1. Current vaccine model'!AA17,IF(AND(ISc=2,Results!$F$18="Hospitalizations"),'3.2 Hypothetical vaccine model'!AA17,0))))</f>
        <v>#DIV/0!</v>
      </c>
      <c r="E153" s="112">
        <f>Co_12</f>
        <v>0</v>
      </c>
    </row>
  </sheetData>
  <mergeCells count="17">
    <mergeCell ref="B51:I51"/>
    <mergeCell ref="N51:O51"/>
    <mergeCell ref="P51:Y51"/>
    <mergeCell ref="AA51:AD51"/>
    <mergeCell ref="AE51:AF51"/>
    <mergeCell ref="B95:I95"/>
    <mergeCell ref="N95:O95"/>
    <mergeCell ref="P95:Y95"/>
    <mergeCell ref="AA95:AD95"/>
    <mergeCell ref="AE95:AF95"/>
    <mergeCell ref="B4:I4"/>
    <mergeCell ref="AE4:AF4"/>
    <mergeCell ref="N4:O4"/>
    <mergeCell ref="G29:H29"/>
    <mergeCell ref="AG4:AJ4"/>
    <mergeCell ref="AA4:AD4"/>
    <mergeCell ref="P4:Y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5B835-9745-4D75-BE22-2F4AA68E7227}">
  <sheetPr>
    <tabColor theme="4" tint="-0.249977111117893"/>
  </sheetPr>
  <dimension ref="A1:AJ27"/>
  <sheetViews>
    <sheetView zoomScale="70" zoomScaleNormal="70" workbookViewId="0">
      <selection activeCell="AG10" sqref="AG10"/>
    </sheetView>
  </sheetViews>
  <sheetFormatPr defaultColWidth="8.85546875" defaultRowHeight="15" x14ac:dyDescent="0.25"/>
  <cols>
    <col min="1" max="1" width="13.140625" customWidth="1"/>
    <col min="2" max="2" width="13.85546875" customWidth="1"/>
    <col min="3" max="6" width="20.140625" customWidth="1"/>
    <col min="7" max="7" width="25.28515625" customWidth="1"/>
    <col min="8" max="8" width="19.42578125" bestFit="1" customWidth="1"/>
    <col min="9" max="10" width="19.42578125" customWidth="1"/>
    <col min="11" max="11" width="18.42578125" customWidth="1"/>
    <col min="12" max="13" width="15.140625" customWidth="1"/>
    <col min="14" max="14" width="14.42578125" customWidth="1"/>
    <col min="15" max="15" width="13.85546875" customWidth="1"/>
    <col min="16" max="16" width="14.140625" customWidth="1"/>
    <col min="17" max="21" width="19.42578125" customWidth="1"/>
    <col min="22" max="22" width="11.140625" bestFit="1" customWidth="1"/>
    <col min="23" max="23" width="13.140625" customWidth="1"/>
    <col min="24" max="24" width="13.85546875" customWidth="1"/>
    <col min="25" max="27" width="14.85546875" customWidth="1"/>
    <col min="28" max="29" width="14.28515625" customWidth="1"/>
    <col min="30" max="30" width="12.140625" customWidth="1"/>
    <col min="31" max="36" width="15.42578125" customWidth="1"/>
    <col min="38" max="38" width="16.28515625" customWidth="1"/>
    <col min="39" max="39" width="12.140625" customWidth="1"/>
    <col min="40" max="42" width="18.28515625" customWidth="1"/>
    <col min="43" max="46" width="17.28515625" customWidth="1"/>
    <col min="47" max="47" width="15.140625" customWidth="1"/>
  </cols>
  <sheetData>
    <row r="1" spans="1:36" ht="23.25" x14ac:dyDescent="0.25">
      <c r="A1" s="1"/>
      <c r="B1" s="2"/>
      <c r="C1" s="2"/>
      <c r="D1" s="2"/>
      <c r="E1" s="2"/>
      <c r="F1" s="2"/>
      <c r="G1" s="2"/>
      <c r="H1" s="2"/>
      <c r="I1" s="2"/>
      <c r="J1" s="2"/>
      <c r="K1" s="2"/>
      <c r="L1" s="2"/>
      <c r="M1" s="2"/>
      <c r="N1" s="2"/>
      <c r="O1" s="2"/>
      <c r="P1" s="2"/>
      <c r="Q1" s="2"/>
      <c r="R1" s="2"/>
      <c r="S1" s="2"/>
      <c r="T1" s="2"/>
      <c r="U1" s="2"/>
      <c r="V1" s="52"/>
      <c r="W1" s="52"/>
      <c r="X1" s="52"/>
      <c r="Y1" s="52"/>
    </row>
    <row r="2" spans="1:36" x14ac:dyDescent="0.25">
      <c r="A2" s="5"/>
      <c r="B2" s="3"/>
    </row>
    <row r="3" spans="1:36" x14ac:dyDescent="0.25">
      <c r="A3" s="4" t="s">
        <v>0</v>
      </c>
      <c r="B3" s="6"/>
      <c r="C3" s="6"/>
      <c r="D3" s="6"/>
      <c r="E3" s="6"/>
      <c r="F3" s="6"/>
      <c r="G3" s="6"/>
      <c r="H3" s="6"/>
      <c r="I3" s="6"/>
      <c r="J3" s="6"/>
      <c r="K3" s="6"/>
      <c r="L3" s="6"/>
      <c r="M3" s="6"/>
      <c r="N3" s="6"/>
      <c r="O3" s="6"/>
      <c r="P3" s="6"/>
      <c r="Q3" s="6"/>
      <c r="R3" s="6"/>
      <c r="S3" s="6"/>
      <c r="T3" s="6"/>
      <c r="U3" s="6"/>
      <c r="V3" s="53"/>
      <c r="W3" s="53"/>
      <c r="X3" s="53"/>
      <c r="Y3" s="53"/>
    </row>
    <row r="4" spans="1:36" ht="22.5" customHeight="1" x14ac:dyDescent="0.35">
      <c r="A4" s="211"/>
      <c r="B4" s="362" t="s">
        <v>333</v>
      </c>
      <c r="C4" s="363"/>
      <c r="D4" s="363"/>
      <c r="E4" s="363"/>
      <c r="F4" s="363"/>
      <c r="G4" s="363"/>
      <c r="H4" s="363"/>
      <c r="I4" s="364"/>
      <c r="J4" s="215"/>
      <c r="K4" s="216"/>
      <c r="L4" s="216"/>
      <c r="M4" s="80"/>
      <c r="N4" s="354" t="s">
        <v>19</v>
      </c>
      <c r="O4" s="355"/>
      <c r="P4" s="365" t="s">
        <v>334</v>
      </c>
      <c r="Q4" s="366"/>
      <c r="R4" s="366"/>
      <c r="S4" s="366"/>
      <c r="T4" s="366"/>
      <c r="U4" s="366"/>
      <c r="V4" s="366"/>
      <c r="W4" s="366"/>
      <c r="X4" s="366"/>
      <c r="Y4" s="366"/>
      <c r="AA4" s="357" t="s">
        <v>54</v>
      </c>
      <c r="AB4" s="358"/>
      <c r="AC4" s="358"/>
      <c r="AD4" s="359"/>
      <c r="AE4" s="352" t="s">
        <v>49</v>
      </c>
      <c r="AF4" s="353"/>
      <c r="AG4" s="352" t="s">
        <v>52</v>
      </c>
      <c r="AH4" s="356"/>
      <c r="AI4" s="356"/>
      <c r="AJ4" s="353"/>
    </row>
    <row r="5" spans="1:36" s="11" customFormat="1" ht="60.75" thickBot="1" x14ac:dyDescent="0.3">
      <c r="A5" s="212" t="s">
        <v>1</v>
      </c>
      <c r="B5" s="183" t="s">
        <v>6</v>
      </c>
      <c r="C5" s="183" t="s">
        <v>7</v>
      </c>
      <c r="D5" s="64" t="s">
        <v>8</v>
      </c>
      <c r="E5" s="64" t="s">
        <v>9</v>
      </c>
      <c r="F5" s="65" t="s">
        <v>326</v>
      </c>
      <c r="G5" s="65" t="s">
        <v>59</v>
      </c>
      <c r="H5" s="64" t="s">
        <v>45</v>
      </c>
      <c r="I5" s="64" t="s">
        <v>61</v>
      </c>
      <c r="J5" s="217" t="s">
        <v>3</v>
      </c>
      <c r="K5" s="217" t="s">
        <v>5</v>
      </c>
      <c r="L5" s="218" t="s">
        <v>14</v>
      </c>
      <c r="M5" s="21" t="s">
        <v>63</v>
      </c>
      <c r="N5" s="21" t="s">
        <v>13</v>
      </c>
      <c r="O5" s="21" t="s">
        <v>2</v>
      </c>
      <c r="P5" s="54" t="s">
        <v>64</v>
      </c>
      <c r="Q5" s="184" t="s">
        <v>6</v>
      </c>
      <c r="R5" s="184" t="s">
        <v>7</v>
      </c>
      <c r="S5" s="185" t="s">
        <v>8</v>
      </c>
      <c r="T5" s="185" t="s">
        <v>9</v>
      </c>
      <c r="U5" s="54" t="s">
        <v>10</v>
      </c>
      <c r="V5" s="10" t="s">
        <v>326</v>
      </c>
      <c r="W5" s="10" t="s">
        <v>335</v>
      </c>
      <c r="X5" s="186" t="s">
        <v>45</v>
      </c>
      <c r="Y5" s="186" t="s">
        <v>61</v>
      </c>
      <c r="AA5" s="44" t="s">
        <v>44</v>
      </c>
      <c r="AB5" s="44" t="s">
        <v>55</v>
      </c>
      <c r="AC5" s="44" t="s">
        <v>336</v>
      </c>
      <c r="AD5" s="44" t="s">
        <v>45</v>
      </c>
      <c r="AE5" s="44" t="s">
        <v>44</v>
      </c>
      <c r="AF5" s="44" t="s">
        <v>55</v>
      </c>
      <c r="AG5" s="44" t="s">
        <v>44</v>
      </c>
      <c r="AH5" s="44" t="s">
        <v>55</v>
      </c>
      <c r="AI5" s="44" t="s">
        <v>326</v>
      </c>
      <c r="AJ5" s="44" t="s">
        <v>45</v>
      </c>
    </row>
    <row r="6" spans="1:36" ht="15.75" thickBot="1" x14ac:dyDescent="0.3">
      <c r="A6" s="213">
        <f>Input!D9</f>
        <v>0</v>
      </c>
      <c r="B6" s="61">
        <f>IF(ScI=1,Input!I9,IF(ScI=2,0,0))</f>
        <v>0</v>
      </c>
      <c r="C6" s="61">
        <f>SUM(B$6:B6)</f>
        <v>0</v>
      </c>
      <c r="D6" s="62">
        <f t="shared" ref="D6:D17" si="0">IF(ScI=1,B6*hnh,IF(ScI=2,0,0))</f>
        <v>0</v>
      </c>
      <c r="E6" s="62">
        <f>SUM(D$6:D6)</f>
        <v>0</v>
      </c>
      <c r="F6" s="62">
        <f>H6*mai</f>
        <v>0</v>
      </c>
      <c r="G6" s="62">
        <f>SUM(F$6:F6)</f>
        <v>0</v>
      </c>
      <c r="H6" s="62">
        <f>B6+D6</f>
        <v>0</v>
      </c>
      <c r="I6" s="62">
        <f>SUM(H$6:H6)</f>
        <v>0</v>
      </c>
      <c r="J6" s="179">
        <f>IF(Scl=1,Input!E9,0)</f>
        <v>0</v>
      </c>
      <c r="K6" s="13">
        <f>TP*J6*VE</f>
        <v>0</v>
      </c>
      <c r="L6" s="13">
        <f>SUM(K$6:K6)</f>
        <v>0</v>
      </c>
      <c r="M6" s="12">
        <f>TP-C6-E6-L6</f>
        <v>0</v>
      </c>
      <c r="N6" s="16" t="e">
        <f>IF(ScI=1,B6/TP,IF(ScI=2,0,0))</f>
        <v>#DIV/0!</v>
      </c>
      <c r="O6" s="16" t="e">
        <f>IF(ScI=1,D6/TP,IF(ScI=2,0,0))</f>
        <v>#DIV/0!</v>
      </c>
      <c r="P6" s="12">
        <f>TP</f>
        <v>0</v>
      </c>
      <c r="Q6" s="14" t="e">
        <f t="shared" ref="Q6:Q17" si="1">IF(ScI=1,P6*N6,IF(ScI=2,0,0))</f>
        <v>#DIV/0!</v>
      </c>
      <c r="R6" s="14" t="e">
        <f>SUM(Q$6:Q6)</f>
        <v>#DIV/0!</v>
      </c>
      <c r="S6" s="14" t="e">
        <f>IF(ScI=1,P6*O6,IF(ScI=2,0,0))</f>
        <v>#DIV/0!</v>
      </c>
      <c r="T6" s="12" t="e">
        <f>SUM(S$6:S6)</f>
        <v>#DIV/0!</v>
      </c>
      <c r="U6" s="12" t="e">
        <f t="shared" ref="U6:U17" si="2">TP-R6-T6</f>
        <v>#DIV/0!</v>
      </c>
      <c r="V6" s="12" t="e">
        <f t="shared" ref="V6:V17" si="3">X6*mai</f>
        <v>#DIV/0!</v>
      </c>
      <c r="W6" s="12" t="e">
        <f>V6</f>
        <v>#DIV/0!</v>
      </c>
      <c r="X6" s="12" t="e">
        <f>Q6+S6</f>
        <v>#DIV/0!</v>
      </c>
      <c r="Y6" s="12" t="e">
        <f>X6</f>
        <v>#DIV/0!</v>
      </c>
      <c r="AA6" s="31" t="e">
        <f t="shared" ref="AA6:AA17" si="4">Q6-B6</f>
        <v>#DIV/0!</v>
      </c>
      <c r="AB6" s="31" t="e">
        <f t="shared" ref="AB6:AB17" si="5">S6-D6</f>
        <v>#DIV/0!</v>
      </c>
      <c r="AC6" s="31" t="e">
        <f>V6-F6</f>
        <v>#DIV/0!</v>
      </c>
      <c r="AD6" s="31" t="e">
        <f>X6-H6</f>
        <v>#DIV/0!</v>
      </c>
      <c r="AE6" s="48"/>
      <c r="AF6" s="48"/>
      <c r="AG6" s="48"/>
      <c r="AH6" s="48"/>
      <c r="AI6" s="48"/>
      <c r="AJ6" s="48"/>
    </row>
    <row r="7" spans="1:36" ht="15.75" thickBot="1" x14ac:dyDescent="0.3">
      <c r="A7" s="213">
        <f>Input!D10</f>
        <v>0</v>
      </c>
      <c r="B7" s="61">
        <f>IF(ScI=1,Input!I10,IF(ScI=2,0,0))</f>
        <v>0</v>
      </c>
      <c r="C7" s="61">
        <f>SUM(B$6:B7)</f>
        <v>0</v>
      </c>
      <c r="D7" s="62">
        <f t="shared" si="0"/>
        <v>0</v>
      </c>
      <c r="E7" s="62">
        <f>SUM(D$6:D7)</f>
        <v>0</v>
      </c>
      <c r="F7" s="62">
        <f t="shared" ref="F7:F17" si="6">H7*mai</f>
        <v>0</v>
      </c>
      <c r="G7" s="62">
        <f>SUM(F$6:F7)</f>
        <v>0</v>
      </c>
      <c r="H7" s="62">
        <f t="shared" ref="H7:H17" si="7">B7+D7</f>
        <v>0</v>
      </c>
      <c r="I7" s="62">
        <f>SUM(H$6:H7)</f>
        <v>0</v>
      </c>
      <c r="J7" s="179">
        <f>IF(Scl=1,Input!E10,0)</f>
        <v>0</v>
      </c>
      <c r="K7" s="13">
        <f>TP*J7*VE</f>
        <v>0</v>
      </c>
      <c r="L7" s="13">
        <f>SUM(K$6:K7)</f>
        <v>0</v>
      </c>
      <c r="M7" s="12">
        <f t="shared" ref="M7:M17" si="8">TP-C7-E7-L7</f>
        <v>0</v>
      </c>
      <c r="N7" s="16" t="e">
        <f t="shared" ref="N7:N15" si="9">IF(ScI=1,B7/M6,IF(ScI=2,0,0))</f>
        <v>#DIV/0!</v>
      </c>
      <c r="O7" s="16" t="e">
        <f t="shared" ref="O7:O17" si="10">IF(ScI=1,D7/M6,IF(ScI=2,0,0))</f>
        <v>#DIV/0!</v>
      </c>
      <c r="P7" s="12" t="e">
        <f>U6</f>
        <v>#DIV/0!</v>
      </c>
      <c r="Q7" s="14" t="e">
        <f t="shared" si="1"/>
        <v>#DIV/0!</v>
      </c>
      <c r="R7" s="14" t="e">
        <f>SUM(Q$6:Q7)</f>
        <v>#DIV/0!</v>
      </c>
      <c r="S7" s="14" t="e">
        <f>IF(ScI=1,P7*O7,IF(ScI=2,,0))</f>
        <v>#DIV/0!</v>
      </c>
      <c r="T7" s="12" t="e">
        <f>SUM(S$6:S7)</f>
        <v>#DIV/0!</v>
      </c>
      <c r="U7" s="12" t="e">
        <f t="shared" si="2"/>
        <v>#DIV/0!</v>
      </c>
      <c r="V7" s="12" t="e">
        <f t="shared" si="3"/>
        <v>#DIV/0!</v>
      </c>
      <c r="W7" s="12" t="e">
        <f>SUM(V$6:V7)</f>
        <v>#DIV/0!</v>
      </c>
      <c r="X7" s="12" t="e">
        <f t="shared" ref="X7:X17" si="11">Q7+S7</f>
        <v>#DIV/0!</v>
      </c>
      <c r="Y7" s="12" t="e">
        <f>SUM(X$6:X7)</f>
        <v>#DIV/0!</v>
      </c>
      <c r="AA7" s="31" t="e">
        <f t="shared" si="4"/>
        <v>#DIV/0!</v>
      </c>
      <c r="AB7" s="31" t="e">
        <f t="shared" si="5"/>
        <v>#DIV/0!</v>
      </c>
      <c r="AC7" s="31" t="e">
        <f t="shared" ref="AC7:AC17" si="12">V7-F7</f>
        <v>#DIV/0!</v>
      </c>
      <c r="AD7" s="31" t="e">
        <f>X7-H7</f>
        <v>#DIV/0!</v>
      </c>
      <c r="AE7" s="48"/>
      <c r="AF7" s="48"/>
      <c r="AG7" s="48"/>
      <c r="AH7" s="48"/>
      <c r="AI7" s="48"/>
      <c r="AJ7" s="48"/>
    </row>
    <row r="8" spans="1:36" ht="15.75" thickBot="1" x14ac:dyDescent="0.3">
      <c r="A8" s="213">
        <f>Input!D11</f>
        <v>0</v>
      </c>
      <c r="B8" s="61">
        <f>IF(ScI=1,Input!I11,IF(ScI=2,0,0))</f>
        <v>0</v>
      </c>
      <c r="C8" s="61">
        <f>SUM(B$6:B8)</f>
        <v>0</v>
      </c>
      <c r="D8" s="62">
        <f t="shared" si="0"/>
        <v>0</v>
      </c>
      <c r="E8" s="62">
        <f>SUM(D$6:D8)</f>
        <v>0</v>
      </c>
      <c r="F8" s="62">
        <f t="shared" si="6"/>
        <v>0</v>
      </c>
      <c r="G8" s="62">
        <f>SUM(F$6:F8)</f>
        <v>0</v>
      </c>
      <c r="H8" s="62">
        <f t="shared" si="7"/>
        <v>0</v>
      </c>
      <c r="I8" s="62">
        <f>SUM(H$6:H8)</f>
        <v>0</v>
      </c>
      <c r="J8" s="179">
        <f>IF(Scl=1,Input!E11,0)</f>
        <v>0</v>
      </c>
      <c r="K8" s="13">
        <f t="shared" ref="K8:K17" si="13">TP*J8*VE</f>
        <v>0</v>
      </c>
      <c r="L8" s="13">
        <f>SUM(K$6:K8)</f>
        <v>0</v>
      </c>
      <c r="M8" s="12">
        <f>TP-C8-E8-L8</f>
        <v>0</v>
      </c>
      <c r="N8" s="16" t="e">
        <f t="shared" si="9"/>
        <v>#DIV/0!</v>
      </c>
      <c r="O8" s="16" t="e">
        <f t="shared" si="10"/>
        <v>#DIV/0!</v>
      </c>
      <c r="P8" s="12" t="e">
        <f>U7</f>
        <v>#DIV/0!</v>
      </c>
      <c r="Q8" s="14" t="e">
        <f t="shared" si="1"/>
        <v>#DIV/0!</v>
      </c>
      <c r="R8" s="14" t="e">
        <f>SUM(Q$6:Q8)</f>
        <v>#DIV/0!</v>
      </c>
      <c r="S8" s="14" t="e">
        <f>IF(ScI=1,P8*O8,IF(ScI=2,,0))</f>
        <v>#DIV/0!</v>
      </c>
      <c r="T8" s="12" t="e">
        <f>SUM(S$6:S8)</f>
        <v>#DIV/0!</v>
      </c>
      <c r="U8" s="12" t="e">
        <f t="shared" si="2"/>
        <v>#DIV/0!</v>
      </c>
      <c r="V8" s="12" t="e">
        <f t="shared" si="3"/>
        <v>#DIV/0!</v>
      </c>
      <c r="W8" s="12" t="e">
        <f>SUM(V$6:V8)</f>
        <v>#DIV/0!</v>
      </c>
      <c r="X8" s="12" t="e">
        <f t="shared" si="11"/>
        <v>#DIV/0!</v>
      </c>
      <c r="Y8" s="12" t="e">
        <f>SUM(X$6:X8)</f>
        <v>#DIV/0!</v>
      </c>
      <c r="AA8" s="31" t="e">
        <f t="shared" si="4"/>
        <v>#DIV/0!</v>
      </c>
      <c r="AB8" s="31" t="e">
        <f t="shared" si="5"/>
        <v>#DIV/0!</v>
      </c>
      <c r="AC8" s="31" t="e">
        <f t="shared" si="12"/>
        <v>#DIV/0!</v>
      </c>
      <c r="AD8" s="31" t="e">
        <f t="shared" ref="AD8:AD17" si="14">X8-H8</f>
        <v>#DIV/0!</v>
      </c>
      <c r="AE8" s="48"/>
      <c r="AF8" s="48"/>
      <c r="AG8" s="48"/>
      <c r="AH8" s="48"/>
      <c r="AI8" s="48"/>
      <c r="AJ8" s="48"/>
    </row>
    <row r="9" spans="1:36" s="315" customFormat="1" ht="15.75" thickBot="1" x14ac:dyDescent="0.3">
      <c r="A9" s="213">
        <f>Input!D12</f>
        <v>0</v>
      </c>
      <c r="B9" s="308">
        <f>IF(ScI=1,Input!I12,IF(ScI=2,0,0))</f>
        <v>0</v>
      </c>
      <c r="C9" s="308">
        <f>SUM(B$6:B9)</f>
        <v>0</v>
      </c>
      <c r="D9" s="309">
        <f t="shared" si="0"/>
        <v>0</v>
      </c>
      <c r="E9" s="309">
        <f>SUM(D$6:D9)</f>
        <v>0</v>
      </c>
      <c r="F9" s="309">
        <f t="shared" si="6"/>
        <v>0</v>
      </c>
      <c r="G9" s="309">
        <f>SUM(F$6:F9)</f>
        <v>0</v>
      </c>
      <c r="H9" s="309">
        <f t="shared" si="7"/>
        <v>0</v>
      </c>
      <c r="I9" s="309">
        <f>SUM(H$6:H9)</f>
        <v>0</v>
      </c>
      <c r="J9" s="310">
        <f>IF(Scl=1,Input!E12,0)</f>
        <v>0</v>
      </c>
      <c r="K9" s="311">
        <f t="shared" si="13"/>
        <v>0</v>
      </c>
      <c r="L9" s="311">
        <f>SUM(K$6:K9)</f>
        <v>0</v>
      </c>
      <c r="M9" s="312">
        <f t="shared" si="8"/>
        <v>0</v>
      </c>
      <c r="N9" s="313" t="e">
        <f t="shared" si="9"/>
        <v>#DIV/0!</v>
      </c>
      <c r="O9" s="313" t="e">
        <f t="shared" si="10"/>
        <v>#DIV/0!</v>
      </c>
      <c r="P9" s="312" t="e">
        <f t="shared" ref="P9:P17" si="15">U8</f>
        <v>#DIV/0!</v>
      </c>
      <c r="Q9" s="314" t="e">
        <f t="shared" si="1"/>
        <v>#DIV/0!</v>
      </c>
      <c r="R9" s="314" t="e">
        <f>SUM(Q$6:Q9)</f>
        <v>#DIV/0!</v>
      </c>
      <c r="S9" s="314" t="e">
        <f t="shared" ref="S9:S17" si="16">IF(ScI=1,P9*O9,IF(ScI=2,0,0))</f>
        <v>#DIV/0!</v>
      </c>
      <c r="T9" s="312" t="e">
        <f>SUM(S$6:S9)</f>
        <v>#DIV/0!</v>
      </c>
      <c r="U9" s="312" t="e">
        <f t="shared" si="2"/>
        <v>#DIV/0!</v>
      </c>
      <c r="V9" s="312" t="e">
        <f t="shared" si="3"/>
        <v>#DIV/0!</v>
      </c>
      <c r="W9" s="312" t="e">
        <f>SUM(V$6:V9)</f>
        <v>#DIV/0!</v>
      </c>
      <c r="X9" s="312" t="e">
        <f t="shared" si="11"/>
        <v>#DIV/0!</v>
      </c>
      <c r="Y9" s="312" t="e">
        <f>SUM(X$6:X9)</f>
        <v>#DIV/0!</v>
      </c>
      <c r="AA9" s="316" t="e">
        <f t="shared" si="4"/>
        <v>#DIV/0!</v>
      </c>
      <c r="AB9" s="316" t="e">
        <f t="shared" si="5"/>
        <v>#DIV/0!</v>
      </c>
      <c r="AC9" s="316" t="e">
        <f t="shared" si="12"/>
        <v>#DIV/0!</v>
      </c>
      <c r="AD9" s="316" t="e">
        <f t="shared" si="14"/>
        <v>#DIV/0!</v>
      </c>
      <c r="AE9" s="48"/>
      <c r="AF9" s="48"/>
      <c r="AG9" s="48"/>
      <c r="AH9" s="48"/>
      <c r="AI9" s="48"/>
      <c r="AJ9" s="48"/>
    </row>
    <row r="10" spans="1:36" s="315" customFormat="1" ht="15.75" thickBot="1" x14ac:dyDescent="0.3">
      <c r="A10" s="213">
        <f>Input!D13</f>
        <v>0</v>
      </c>
      <c r="B10" s="308">
        <f>IF(ScI=1,Input!I13,IF(ScI=2,0,0))</f>
        <v>0</v>
      </c>
      <c r="C10" s="308">
        <f>SUM(B$6:B10)</f>
        <v>0</v>
      </c>
      <c r="D10" s="309">
        <f t="shared" si="0"/>
        <v>0</v>
      </c>
      <c r="E10" s="309">
        <f>SUM(D$6:D10)</f>
        <v>0</v>
      </c>
      <c r="F10" s="309">
        <f t="shared" si="6"/>
        <v>0</v>
      </c>
      <c r="G10" s="309">
        <f>SUM(F$6:F10)</f>
        <v>0</v>
      </c>
      <c r="H10" s="309">
        <f t="shared" si="7"/>
        <v>0</v>
      </c>
      <c r="I10" s="309">
        <f>SUM(H$6:H10)</f>
        <v>0</v>
      </c>
      <c r="J10" s="310">
        <f>IF(Scl=1,Input!E13,0)</f>
        <v>0</v>
      </c>
      <c r="K10" s="311">
        <f t="shared" si="13"/>
        <v>0</v>
      </c>
      <c r="L10" s="311">
        <f>SUM(K$6:K10)</f>
        <v>0</v>
      </c>
      <c r="M10" s="312">
        <f t="shared" si="8"/>
        <v>0</v>
      </c>
      <c r="N10" s="313" t="e">
        <f t="shared" si="9"/>
        <v>#DIV/0!</v>
      </c>
      <c r="O10" s="313" t="e">
        <f t="shared" si="10"/>
        <v>#DIV/0!</v>
      </c>
      <c r="P10" s="312" t="e">
        <f t="shared" si="15"/>
        <v>#DIV/0!</v>
      </c>
      <c r="Q10" s="314" t="e">
        <f t="shared" si="1"/>
        <v>#DIV/0!</v>
      </c>
      <c r="R10" s="314" t="e">
        <f>SUM(Q$6:Q10)</f>
        <v>#DIV/0!</v>
      </c>
      <c r="S10" s="314" t="e">
        <f t="shared" si="16"/>
        <v>#DIV/0!</v>
      </c>
      <c r="T10" s="312" t="e">
        <f>SUM(S$6:S10)</f>
        <v>#DIV/0!</v>
      </c>
      <c r="U10" s="312" t="e">
        <f t="shared" si="2"/>
        <v>#DIV/0!</v>
      </c>
      <c r="V10" s="312" t="e">
        <f t="shared" si="3"/>
        <v>#DIV/0!</v>
      </c>
      <c r="W10" s="312" t="e">
        <f>SUM(V$6:V10)</f>
        <v>#DIV/0!</v>
      </c>
      <c r="X10" s="312" t="e">
        <f t="shared" si="11"/>
        <v>#DIV/0!</v>
      </c>
      <c r="Y10" s="312" t="e">
        <f>SUM(X$6:X10)</f>
        <v>#DIV/0!</v>
      </c>
      <c r="AA10" s="316" t="e">
        <f t="shared" si="4"/>
        <v>#DIV/0!</v>
      </c>
      <c r="AB10" s="316" t="e">
        <f t="shared" si="5"/>
        <v>#DIV/0!</v>
      </c>
      <c r="AC10" s="316" t="e">
        <f t="shared" si="12"/>
        <v>#DIV/0!</v>
      </c>
      <c r="AD10" s="316" t="e">
        <f t="shared" si="14"/>
        <v>#DIV/0!</v>
      </c>
      <c r="AE10" s="48"/>
      <c r="AF10" s="48"/>
      <c r="AG10" s="48"/>
      <c r="AH10" s="48"/>
      <c r="AI10" s="48"/>
      <c r="AJ10" s="48"/>
    </row>
    <row r="11" spans="1:36" ht="15.75" thickBot="1" x14ac:dyDescent="0.3">
      <c r="A11" s="213">
        <f>Input!D14</f>
        <v>0</v>
      </c>
      <c r="B11" s="61">
        <f>IF(ScI=1,Input!I14,IF(ScI=2,0,0))</f>
        <v>0</v>
      </c>
      <c r="C11" s="61">
        <f>SUM(B$6:B11)</f>
        <v>0</v>
      </c>
      <c r="D11" s="62">
        <f t="shared" si="0"/>
        <v>0</v>
      </c>
      <c r="E11" s="62">
        <f>SUM(D$6:D11)</f>
        <v>0</v>
      </c>
      <c r="F11" s="62">
        <f t="shared" si="6"/>
        <v>0</v>
      </c>
      <c r="G11" s="62">
        <f>SUM(F$6:F11)</f>
        <v>0</v>
      </c>
      <c r="H11" s="62">
        <f t="shared" si="7"/>
        <v>0</v>
      </c>
      <c r="I11" s="62">
        <f>SUM(H$6:H11)</f>
        <v>0</v>
      </c>
      <c r="J11" s="179">
        <f>IF(Scl=1,Input!E14,0)</f>
        <v>0</v>
      </c>
      <c r="K11" s="13">
        <f t="shared" si="13"/>
        <v>0</v>
      </c>
      <c r="L11" s="13">
        <f>SUM(K$6:K11)</f>
        <v>0</v>
      </c>
      <c r="M11" s="12">
        <f t="shared" si="8"/>
        <v>0</v>
      </c>
      <c r="N11" s="16" t="e">
        <f t="shared" si="9"/>
        <v>#DIV/0!</v>
      </c>
      <c r="O11" s="16" t="e">
        <f t="shared" si="10"/>
        <v>#DIV/0!</v>
      </c>
      <c r="P11" s="12" t="e">
        <f t="shared" si="15"/>
        <v>#DIV/0!</v>
      </c>
      <c r="Q11" s="14" t="e">
        <f t="shared" si="1"/>
        <v>#DIV/0!</v>
      </c>
      <c r="R11" s="14" t="e">
        <f>SUM(Q$6:Q11)</f>
        <v>#DIV/0!</v>
      </c>
      <c r="S11" s="14" t="e">
        <f t="shared" si="16"/>
        <v>#DIV/0!</v>
      </c>
      <c r="T11" s="12" t="e">
        <f>SUM(S$6:S11)</f>
        <v>#DIV/0!</v>
      </c>
      <c r="U11" s="12" t="e">
        <f t="shared" si="2"/>
        <v>#DIV/0!</v>
      </c>
      <c r="V11" s="12" t="e">
        <f t="shared" si="3"/>
        <v>#DIV/0!</v>
      </c>
      <c r="W11" s="12" t="e">
        <f>SUM(V$6:V11)</f>
        <v>#DIV/0!</v>
      </c>
      <c r="X11" s="12" t="e">
        <f t="shared" si="11"/>
        <v>#DIV/0!</v>
      </c>
      <c r="Y11" s="12" t="e">
        <f>SUM(X$6:X11)</f>
        <v>#DIV/0!</v>
      </c>
      <c r="AA11" s="31" t="e">
        <f t="shared" si="4"/>
        <v>#DIV/0!</v>
      </c>
      <c r="AB11" s="31" t="e">
        <f t="shared" si="5"/>
        <v>#DIV/0!</v>
      </c>
      <c r="AC11" s="31" t="e">
        <f>V11-F11</f>
        <v>#DIV/0!</v>
      </c>
      <c r="AD11" s="31" t="e">
        <f t="shared" si="14"/>
        <v>#DIV/0!</v>
      </c>
      <c r="AE11" s="48"/>
      <c r="AF11" s="48"/>
      <c r="AG11" s="48"/>
      <c r="AH11" s="48"/>
      <c r="AI11" s="48"/>
      <c r="AJ11" s="48"/>
    </row>
    <row r="12" spans="1:36" ht="15.75" thickBot="1" x14ac:dyDescent="0.3">
      <c r="A12" s="213">
        <f>Input!D15</f>
        <v>0</v>
      </c>
      <c r="B12" s="61">
        <f>IF(ScI=1,Input!I15,IF(ScI=2,0,0))</f>
        <v>0</v>
      </c>
      <c r="C12" s="61">
        <f>SUM(B$6:B12)</f>
        <v>0</v>
      </c>
      <c r="D12" s="62">
        <f t="shared" si="0"/>
        <v>0</v>
      </c>
      <c r="E12" s="62">
        <f>SUM(D$6:D12)</f>
        <v>0</v>
      </c>
      <c r="F12" s="62">
        <f t="shared" si="6"/>
        <v>0</v>
      </c>
      <c r="G12" s="62">
        <f>SUM(F$6:F12)</f>
        <v>0</v>
      </c>
      <c r="H12" s="62">
        <f t="shared" si="7"/>
        <v>0</v>
      </c>
      <c r="I12" s="62">
        <f>SUM(H$6:H12)</f>
        <v>0</v>
      </c>
      <c r="J12" s="179">
        <f>IF(Scl=1,Input!E15,0)</f>
        <v>0</v>
      </c>
      <c r="K12" s="13">
        <f t="shared" si="13"/>
        <v>0</v>
      </c>
      <c r="L12" s="13">
        <f>SUM(K$6:K12)</f>
        <v>0</v>
      </c>
      <c r="M12" s="12">
        <f t="shared" si="8"/>
        <v>0</v>
      </c>
      <c r="N12" s="16" t="e">
        <f t="shared" si="9"/>
        <v>#DIV/0!</v>
      </c>
      <c r="O12" s="16" t="e">
        <f t="shared" si="10"/>
        <v>#DIV/0!</v>
      </c>
      <c r="P12" s="12" t="e">
        <f t="shared" si="15"/>
        <v>#DIV/0!</v>
      </c>
      <c r="Q12" s="14" t="e">
        <f t="shared" si="1"/>
        <v>#DIV/0!</v>
      </c>
      <c r="R12" s="14" t="e">
        <f>SUM(Q$6:Q12)</f>
        <v>#DIV/0!</v>
      </c>
      <c r="S12" s="14" t="e">
        <f t="shared" si="16"/>
        <v>#DIV/0!</v>
      </c>
      <c r="T12" s="12" t="e">
        <f>SUM(S$6:S12)</f>
        <v>#DIV/0!</v>
      </c>
      <c r="U12" s="12" t="e">
        <f t="shared" si="2"/>
        <v>#DIV/0!</v>
      </c>
      <c r="V12" s="12" t="e">
        <f t="shared" si="3"/>
        <v>#DIV/0!</v>
      </c>
      <c r="W12" s="12" t="e">
        <f>SUM(V$6:V12)</f>
        <v>#DIV/0!</v>
      </c>
      <c r="X12" s="12" t="e">
        <f t="shared" si="11"/>
        <v>#DIV/0!</v>
      </c>
      <c r="Y12" s="12" t="e">
        <f>SUM(X$6:X12)</f>
        <v>#DIV/0!</v>
      </c>
      <c r="AA12" s="31" t="e">
        <f t="shared" si="4"/>
        <v>#DIV/0!</v>
      </c>
      <c r="AB12" s="31" t="e">
        <f t="shared" si="5"/>
        <v>#DIV/0!</v>
      </c>
      <c r="AC12" s="31" t="e">
        <f t="shared" si="12"/>
        <v>#DIV/0!</v>
      </c>
      <c r="AD12" s="31" t="e">
        <f t="shared" si="14"/>
        <v>#DIV/0!</v>
      </c>
      <c r="AE12" s="48"/>
      <c r="AF12" s="48"/>
      <c r="AG12" s="48"/>
      <c r="AH12" s="48"/>
      <c r="AI12" s="48"/>
      <c r="AJ12" s="48"/>
    </row>
    <row r="13" spans="1:36" ht="15.75" thickBot="1" x14ac:dyDescent="0.3">
      <c r="A13" s="213">
        <f>Input!D16</f>
        <v>0</v>
      </c>
      <c r="B13" s="61">
        <f>IF(ScI=1,Input!I16,IF(ScI=2,0,0))</f>
        <v>0</v>
      </c>
      <c r="C13" s="61">
        <f>SUM(B$6:B13)</f>
        <v>0</v>
      </c>
      <c r="D13" s="62">
        <f t="shared" si="0"/>
        <v>0</v>
      </c>
      <c r="E13" s="62">
        <f>SUM(D$6:D13)</f>
        <v>0</v>
      </c>
      <c r="F13" s="62">
        <f t="shared" si="6"/>
        <v>0</v>
      </c>
      <c r="G13" s="62">
        <f>SUM(F$6:F13)</f>
        <v>0</v>
      </c>
      <c r="H13" s="62">
        <f t="shared" si="7"/>
        <v>0</v>
      </c>
      <c r="I13" s="62">
        <f>SUM(H$6:H13)</f>
        <v>0</v>
      </c>
      <c r="J13" s="179">
        <f>IF(Scl=1,Input!E16,0)</f>
        <v>0</v>
      </c>
      <c r="K13" s="13">
        <f t="shared" si="13"/>
        <v>0</v>
      </c>
      <c r="L13" s="13">
        <f>SUM(K$6:K13)</f>
        <v>0</v>
      </c>
      <c r="M13" s="12">
        <f t="shared" si="8"/>
        <v>0</v>
      </c>
      <c r="N13" s="16" t="e">
        <f t="shared" si="9"/>
        <v>#DIV/0!</v>
      </c>
      <c r="O13" s="16" t="e">
        <f t="shared" si="10"/>
        <v>#DIV/0!</v>
      </c>
      <c r="P13" s="12" t="e">
        <f t="shared" si="15"/>
        <v>#DIV/0!</v>
      </c>
      <c r="Q13" s="14" t="e">
        <f t="shared" si="1"/>
        <v>#DIV/0!</v>
      </c>
      <c r="R13" s="14" t="e">
        <f>SUM(Q$6:Q13)</f>
        <v>#DIV/0!</v>
      </c>
      <c r="S13" s="14" t="e">
        <f t="shared" si="16"/>
        <v>#DIV/0!</v>
      </c>
      <c r="T13" s="12" t="e">
        <f>SUM(S$6:S13)</f>
        <v>#DIV/0!</v>
      </c>
      <c r="U13" s="12" t="e">
        <f t="shared" si="2"/>
        <v>#DIV/0!</v>
      </c>
      <c r="V13" s="12" t="e">
        <f t="shared" si="3"/>
        <v>#DIV/0!</v>
      </c>
      <c r="W13" s="12" t="e">
        <f>SUM(V$6:V13)</f>
        <v>#DIV/0!</v>
      </c>
      <c r="X13" s="12" t="e">
        <f t="shared" si="11"/>
        <v>#DIV/0!</v>
      </c>
      <c r="Y13" s="12" t="e">
        <f>SUM(X$6:X13)</f>
        <v>#DIV/0!</v>
      </c>
      <c r="AA13" s="31" t="e">
        <f t="shared" si="4"/>
        <v>#DIV/0!</v>
      </c>
      <c r="AB13" s="31" t="e">
        <f t="shared" si="5"/>
        <v>#DIV/0!</v>
      </c>
      <c r="AC13" s="31" t="e">
        <f t="shared" si="12"/>
        <v>#DIV/0!</v>
      </c>
      <c r="AD13" s="31" t="e">
        <f t="shared" si="14"/>
        <v>#DIV/0!</v>
      </c>
      <c r="AE13" s="48"/>
      <c r="AF13" s="48"/>
      <c r="AG13" s="48"/>
      <c r="AH13" s="48"/>
      <c r="AI13" s="48"/>
      <c r="AJ13" s="48"/>
    </row>
    <row r="14" spans="1:36" ht="15.75" thickBot="1" x14ac:dyDescent="0.3">
      <c r="A14" s="213">
        <f>Input!D17</f>
        <v>0</v>
      </c>
      <c r="B14" s="61">
        <f>IF(ScI=1,Input!I17,IF(ScI=2,0,0))</f>
        <v>0</v>
      </c>
      <c r="C14" s="61">
        <f>SUM(B$6:B14)</f>
        <v>0</v>
      </c>
      <c r="D14" s="62">
        <f t="shared" si="0"/>
        <v>0</v>
      </c>
      <c r="E14" s="62">
        <f>SUM(D$6:D14)</f>
        <v>0</v>
      </c>
      <c r="F14" s="62">
        <f t="shared" si="6"/>
        <v>0</v>
      </c>
      <c r="G14" s="62">
        <f>SUM(F$6:F14)</f>
        <v>0</v>
      </c>
      <c r="H14" s="62">
        <f t="shared" si="7"/>
        <v>0</v>
      </c>
      <c r="I14" s="62">
        <f>SUM(H$6:H14)</f>
        <v>0</v>
      </c>
      <c r="J14" s="179">
        <f>IF(Scl=1,Input!E17,0)</f>
        <v>0</v>
      </c>
      <c r="K14" s="13">
        <f t="shared" si="13"/>
        <v>0</v>
      </c>
      <c r="L14" s="13">
        <f>SUM(K$6:K14)</f>
        <v>0</v>
      </c>
      <c r="M14" s="12">
        <f t="shared" si="8"/>
        <v>0</v>
      </c>
      <c r="N14" s="16" t="e">
        <f t="shared" si="9"/>
        <v>#DIV/0!</v>
      </c>
      <c r="O14" s="16" t="e">
        <f t="shared" si="10"/>
        <v>#DIV/0!</v>
      </c>
      <c r="P14" s="12" t="e">
        <f t="shared" si="15"/>
        <v>#DIV/0!</v>
      </c>
      <c r="Q14" s="14" t="e">
        <f t="shared" si="1"/>
        <v>#DIV/0!</v>
      </c>
      <c r="R14" s="14" t="e">
        <f>SUM(Q$6:Q14)</f>
        <v>#DIV/0!</v>
      </c>
      <c r="S14" s="14" t="e">
        <f t="shared" si="16"/>
        <v>#DIV/0!</v>
      </c>
      <c r="T14" s="12" t="e">
        <f>SUM(S$6:S14)</f>
        <v>#DIV/0!</v>
      </c>
      <c r="U14" s="12" t="e">
        <f t="shared" si="2"/>
        <v>#DIV/0!</v>
      </c>
      <c r="V14" s="12" t="e">
        <f t="shared" si="3"/>
        <v>#DIV/0!</v>
      </c>
      <c r="W14" s="12" t="e">
        <f>SUM(V$6:V14)</f>
        <v>#DIV/0!</v>
      </c>
      <c r="X14" s="12" t="e">
        <f t="shared" si="11"/>
        <v>#DIV/0!</v>
      </c>
      <c r="Y14" s="12" t="e">
        <f>SUM(X$6:X14)</f>
        <v>#DIV/0!</v>
      </c>
      <c r="AA14" s="31" t="e">
        <f t="shared" si="4"/>
        <v>#DIV/0!</v>
      </c>
      <c r="AB14" s="31" t="e">
        <f t="shared" si="5"/>
        <v>#DIV/0!</v>
      </c>
      <c r="AC14" s="31" t="e">
        <f t="shared" si="12"/>
        <v>#DIV/0!</v>
      </c>
      <c r="AD14" s="31" t="e">
        <f t="shared" si="14"/>
        <v>#DIV/0!</v>
      </c>
      <c r="AE14" s="48"/>
      <c r="AF14" s="48"/>
      <c r="AG14" s="48"/>
      <c r="AH14" s="48"/>
      <c r="AI14" s="48"/>
      <c r="AJ14" s="48"/>
    </row>
    <row r="15" spans="1:36" ht="15.75" thickBot="1" x14ac:dyDescent="0.3">
      <c r="A15" s="213">
        <f>Input!D18</f>
        <v>0</v>
      </c>
      <c r="B15" s="61">
        <f>IF(ScI=1,Input!I18,IF(ScI=2,0,0))</f>
        <v>0</v>
      </c>
      <c r="C15" s="61">
        <f>SUM(B$6:B15)</f>
        <v>0</v>
      </c>
      <c r="D15" s="62">
        <f t="shared" si="0"/>
        <v>0</v>
      </c>
      <c r="E15" s="62">
        <f>SUM(D$6:D15)</f>
        <v>0</v>
      </c>
      <c r="F15" s="62">
        <f t="shared" si="6"/>
        <v>0</v>
      </c>
      <c r="G15" s="62">
        <f>SUM(F$6:F15)</f>
        <v>0</v>
      </c>
      <c r="H15" s="62">
        <f t="shared" si="7"/>
        <v>0</v>
      </c>
      <c r="I15" s="62">
        <f>SUM(H$6:H15)</f>
        <v>0</v>
      </c>
      <c r="J15" s="179">
        <f>IF(Scl=1,Input!E18,0)</f>
        <v>0</v>
      </c>
      <c r="K15" s="13">
        <f t="shared" si="13"/>
        <v>0</v>
      </c>
      <c r="L15" s="13">
        <f>SUM(K$6:K15)</f>
        <v>0</v>
      </c>
      <c r="M15" s="12">
        <f t="shared" si="8"/>
        <v>0</v>
      </c>
      <c r="N15" s="16" t="e">
        <f t="shared" si="9"/>
        <v>#DIV/0!</v>
      </c>
      <c r="O15" s="16" t="e">
        <f t="shared" si="10"/>
        <v>#DIV/0!</v>
      </c>
      <c r="P15" s="12" t="e">
        <f t="shared" si="15"/>
        <v>#DIV/0!</v>
      </c>
      <c r="Q15" s="14" t="e">
        <f t="shared" si="1"/>
        <v>#DIV/0!</v>
      </c>
      <c r="R15" s="14" t="e">
        <f>SUM(Q$6:Q15)</f>
        <v>#DIV/0!</v>
      </c>
      <c r="S15" s="14" t="e">
        <f t="shared" si="16"/>
        <v>#DIV/0!</v>
      </c>
      <c r="T15" s="12" t="e">
        <f>SUM(S$6:S15)</f>
        <v>#DIV/0!</v>
      </c>
      <c r="U15" s="12" t="e">
        <f t="shared" si="2"/>
        <v>#DIV/0!</v>
      </c>
      <c r="V15" s="12" t="e">
        <f t="shared" si="3"/>
        <v>#DIV/0!</v>
      </c>
      <c r="W15" s="12" t="e">
        <f>SUM(V$6:V15)</f>
        <v>#DIV/0!</v>
      </c>
      <c r="X15" s="12" t="e">
        <f t="shared" si="11"/>
        <v>#DIV/0!</v>
      </c>
      <c r="Y15" s="12" t="e">
        <f>SUM(X$6:X15)</f>
        <v>#DIV/0!</v>
      </c>
      <c r="AA15" s="31" t="e">
        <f t="shared" si="4"/>
        <v>#DIV/0!</v>
      </c>
      <c r="AB15" s="31" t="e">
        <f t="shared" si="5"/>
        <v>#DIV/0!</v>
      </c>
      <c r="AC15" s="31" t="e">
        <f t="shared" si="12"/>
        <v>#DIV/0!</v>
      </c>
      <c r="AD15" s="31" t="e">
        <f t="shared" si="14"/>
        <v>#DIV/0!</v>
      </c>
      <c r="AE15" s="48"/>
      <c r="AF15" s="48"/>
      <c r="AG15" s="48"/>
      <c r="AH15" s="48"/>
      <c r="AI15" s="48"/>
      <c r="AJ15" s="48"/>
    </row>
    <row r="16" spans="1:36" ht="15.75" thickBot="1" x14ac:dyDescent="0.3">
      <c r="A16" s="213">
        <f>Input!D19</f>
        <v>0</v>
      </c>
      <c r="B16" s="61">
        <f>IF(ScI=1,Input!I19,IF(ScI=2,0,0))</f>
        <v>0</v>
      </c>
      <c r="C16" s="61">
        <f>SUM(B$6:B16)</f>
        <v>0</v>
      </c>
      <c r="D16" s="62">
        <f t="shared" si="0"/>
        <v>0</v>
      </c>
      <c r="E16" s="62">
        <f>SUM(D$6:D16)</f>
        <v>0</v>
      </c>
      <c r="F16" s="62">
        <f t="shared" si="6"/>
        <v>0</v>
      </c>
      <c r="G16" s="62">
        <f>SUM(F$6:F16)</f>
        <v>0</v>
      </c>
      <c r="H16" s="62">
        <f t="shared" si="7"/>
        <v>0</v>
      </c>
      <c r="I16" s="62">
        <f>SUM(H$6:H16)</f>
        <v>0</v>
      </c>
      <c r="J16" s="179">
        <f>IF(Scl=1,Input!E19,0)</f>
        <v>0</v>
      </c>
      <c r="K16" s="13">
        <f t="shared" si="13"/>
        <v>0</v>
      </c>
      <c r="L16" s="13">
        <f>SUM(K$6:K16)</f>
        <v>0</v>
      </c>
      <c r="M16" s="12">
        <f t="shared" si="8"/>
        <v>0</v>
      </c>
      <c r="N16" s="16" t="e">
        <f>IF(ScI=1,B16/M15,IF(ScI=2,0/P16,0))</f>
        <v>#DIV/0!</v>
      </c>
      <c r="O16" s="16" t="e">
        <f t="shared" si="10"/>
        <v>#DIV/0!</v>
      </c>
      <c r="P16" s="12" t="e">
        <f t="shared" si="15"/>
        <v>#DIV/0!</v>
      </c>
      <c r="Q16" s="14" t="e">
        <f t="shared" si="1"/>
        <v>#DIV/0!</v>
      </c>
      <c r="R16" s="14" t="e">
        <f>SUM(Q$6:Q16)</f>
        <v>#DIV/0!</v>
      </c>
      <c r="S16" s="14" t="e">
        <f t="shared" si="16"/>
        <v>#DIV/0!</v>
      </c>
      <c r="T16" s="12" t="e">
        <f>SUM(S$6:S16)</f>
        <v>#DIV/0!</v>
      </c>
      <c r="U16" s="12" t="e">
        <f t="shared" si="2"/>
        <v>#DIV/0!</v>
      </c>
      <c r="V16" s="12" t="e">
        <f t="shared" si="3"/>
        <v>#DIV/0!</v>
      </c>
      <c r="W16" s="12" t="e">
        <f>SUM(V$6:V16)</f>
        <v>#DIV/0!</v>
      </c>
      <c r="X16" s="12" t="e">
        <f t="shared" si="11"/>
        <v>#DIV/0!</v>
      </c>
      <c r="Y16" s="12" t="e">
        <f>SUM(X$6:X16)</f>
        <v>#DIV/0!</v>
      </c>
      <c r="AA16" s="31" t="e">
        <f t="shared" si="4"/>
        <v>#DIV/0!</v>
      </c>
      <c r="AB16" s="31" t="e">
        <f t="shared" si="5"/>
        <v>#DIV/0!</v>
      </c>
      <c r="AC16" s="31" t="e">
        <f t="shared" si="12"/>
        <v>#DIV/0!</v>
      </c>
      <c r="AD16" s="31" t="e">
        <f t="shared" si="14"/>
        <v>#DIV/0!</v>
      </c>
      <c r="AE16" s="48"/>
      <c r="AF16" s="48"/>
      <c r="AG16" s="48"/>
      <c r="AH16" s="48"/>
      <c r="AI16" s="48"/>
      <c r="AJ16" s="48"/>
    </row>
    <row r="17" spans="1:36" ht="15.75" thickBot="1" x14ac:dyDescent="0.3">
      <c r="A17" s="213">
        <f>Input!D20</f>
        <v>0</v>
      </c>
      <c r="B17" s="61">
        <f>IF(ScI=1,Input!I20,IF(ScI=2,0,0))</f>
        <v>0</v>
      </c>
      <c r="C17" s="61">
        <f>SUM(B$6:B17)</f>
        <v>0</v>
      </c>
      <c r="D17" s="62">
        <f t="shared" si="0"/>
        <v>0</v>
      </c>
      <c r="E17" s="62">
        <f>SUM(D$6:D17)</f>
        <v>0</v>
      </c>
      <c r="F17" s="62">
        <f t="shared" si="6"/>
        <v>0</v>
      </c>
      <c r="G17" s="62">
        <f>SUM(F$6:F17)</f>
        <v>0</v>
      </c>
      <c r="H17" s="62">
        <f t="shared" si="7"/>
        <v>0</v>
      </c>
      <c r="I17" s="62">
        <f>SUM(H$6:H17)</f>
        <v>0</v>
      </c>
      <c r="J17" s="179">
        <f>IF(Scl=1,Input!E20,0)</f>
        <v>0</v>
      </c>
      <c r="K17" s="13">
        <f t="shared" si="13"/>
        <v>0</v>
      </c>
      <c r="L17" s="13">
        <f>SUM(K$6:K17)</f>
        <v>0</v>
      </c>
      <c r="M17" s="12">
        <f t="shared" si="8"/>
        <v>0</v>
      </c>
      <c r="N17" s="16" t="e">
        <f>IF(ScI=1,B17/M16,IF(ScI=2,0,0))</f>
        <v>#DIV/0!</v>
      </c>
      <c r="O17" s="16" t="e">
        <f t="shared" si="10"/>
        <v>#DIV/0!</v>
      </c>
      <c r="P17" s="12" t="e">
        <f t="shared" si="15"/>
        <v>#DIV/0!</v>
      </c>
      <c r="Q17" s="14" t="e">
        <f t="shared" si="1"/>
        <v>#DIV/0!</v>
      </c>
      <c r="R17" s="14" t="e">
        <f>SUM(Q$6:Q17)</f>
        <v>#DIV/0!</v>
      </c>
      <c r="S17" s="14" t="e">
        <f t="shared" si="16"/>
        <v>#DIV/0!</v>
      </c>
      <c r="T17" s="12" t="e">
        <f>SUM(S$6:S17)</f>
        <v>#DIV/0!</v>
      </c>
      <c r="U17" s="12" t="e">
        <f t="shared" si="2"/>
        <v>#DIV/0!</v>
      </c>
      <c r="V17" s="12" t="e">
        <f t="shared" si="3"/>
        <v>#DIV/0!</v>
      </c>
      <c r="W17" s="12" t="e">
        <f>SUM(V$6:V17)</f>
        <v>#DIV/0!</v>
      </c>
      <c r="X17" s="12" t="e">
        <f t="shared" si="11"/>
        <v>#DIV/0!</v>
      </c>
      <c r="Y17" s="12" t="e">
        <f>SUM(X$6:X17)</f>
        <v>#DIV/0!</v>
      </c>
      <c r="AA17" s="31" t="e">
        <f t="shared" si="4"/>
        <v>#DIV/0!</v>
      </c>
      <c r="AB17" s="31" t="e">
        <f t="shared" si="5"/>
        <v>#DIV/0!</v>
      </c>
      <c r="AC17" s="31" t="e">
        <f t="shared" si="12"/>
        <v>#DIV/0!</v>
      </c>
      <c r="AD17" s="31" t="e">
        <f t="shared" si="14"/>
        <v>#DIV/0!</v>
      </c>
      <c r="AE17" s="48"/>
      <c r="AF17" s="48"/>
      <c r="AG17" s="48"/>
      <c r="AH17" s="48"/>
      <c r="AI17" s="48"/>
      <c r="AJ17" s="48"/>
    </row>
    <row r="18" spans="1:36" x14ac:dyDescent="0.25">
      <c r="A18" s="214" t="s">
        <v>11</v>
      </c>
      <c r="B18" s="58">
        <f>IF(ISBLANK(B6), " ", SUM(B6:B17))</f>
        <v>0</v>
      </c>
      <c r="C18" s="50"/>
      <c r="D18" s="59">
        <f t="shared" ref="D18:K18" si="17">IF(ISBLANK(D6), " ", SUM(D6:D17))</f>
        <v>0</v>
      </c>
      <c r="E18" s="50"/>
      <c r="F18" s="59">
        <f t="shared" si="17"/>
        <v>0</v>
      </c>
      <c r="G18" s="50"/>
      <c r="H18" s="59">
        <f t="shared" si="17"/>
        <v>0</v>
      </c>
      <c r="I18" s="50"/>
      <c r="J18" s="79">
        <f t="shared" si="17"/>
        <v>0</v>
      </c>
      <c r="K18" s="59">
        <f t="shared" si="17"/>
        <v>0</v>
      </c>
      <c r="L18" s="50"/>
      <c r="M18" s="50"/>
      <c r="N18" s="50"/>
      <c r="O18" s="50"/>
      <c r="P18" s="50"/>
      <c r="Q18" s="40" t="e">
        <f>SUM(Q6:Q17)</f>
        <v>#DIV/0!</v>
      </c>
      <c r="R18" s="51"/>
      <c r="S18" s="136" t="e">
        <f>SUM(S6:S17)</f>
        <v>#DIV/0!</v>
      </c>
      <c r="T18" s="50"/>
      <c r="U18" s="50"/>
      <c r="V18" s="40" t="e">
        <f>SUM(V6:V17)</f>
        <v>#DIV/0!</v>
      </c>
      <c r="W18" s="50"/>
      <c r="X18" s="40" t="e">
        <f>SUM(X6:X17)</f>
        <v>#DIV/0!</v>
      </c>
      <c r="Y18" s="50"/>
      <c r="AA18" s="43">
        <f>IF(mb=1,SUM(AA6:AA17),IF(mb=2,SUM(AA7:AA17),IF(mb=3,SUM(AA8:AA17),IF(mb=4,SUM(AA9:AA17),IF(mb=5,SUM(AA10:AA17),IF(mb=6,SUM(AA11:AA17),IF(mb=7,SUM(AA12:AA17),IF(mb=8,SUM(AA13:AA17),0))))))))</f>
        <v>0</v>
      </c>
      <c r="AB18" s="43">
        <f>IF(mb=1,SUM(AB6:AB17),IF(mb=2,SUM(AB7:AB17),IF(mb=3,SUM(AB8:AB17),IF(mb=4,SUM(AB9:AB17),IF(mb=5,SUM(AB10:AB17),IF(mb=6,SUM(AB11:AB17),IF(mb=7,SUM(AB12:AB17),IF(mb=8,SUM(AB13:AB17),0))))))))</f>
        <v>0</v>
      </c>
      <c r="AC18" s="43">
        <f>IF(mb=1,SUM(AC6:AC17),IF(mb=2,SUM(AC7:AC17),IF(mb=3,SUM(AC8:AC17),IF(mb=4,SUM(AC9:AC17),IF(mb=5,SUM(AC10:AC17),IF(mb=6,SUM(AC11:AC17),IF(mb=7,SUM(AC12:AC17),IF(mb=8,SUM(AC13:AC17),0))))))))</f>
        <v>0</v>
      </c>
      <c r="AD18" s="43">
        <f>IF(mb=1,SUM(AD6:AD17),IF(mb=2,SUM(AD7:AD17),IF(mb=3,SUM(AD8:AD17),IF(mb=4,SUM(AD9:AD17),IF(mb=5,SUM(AD10:AD17),IF(mb=6,SUM(AD11:AD17),IF(mb=7,SUM(AD12:AD17),IF(mb=8,SUM(AD13:AD17),0))))))))</f>
        <v>0</v>
      </c>
      <c r="AE18" s="47" t="str">
        <f>IF(mb=1,AA18/Q18,IF(mb=2,SUM(AA7:AA17)/SUM(Q7:Q17),IF(mb=3,SUM(AA8:AA17)/SUM(Q8:Q17),IF(mb=4,SUM(AA9:AA17)/SUM(Q9:Q17),IF(mb=5,SUM(AA10:AA17)/SUM(Q10:Q17),IF(mb=6,SUM(AA11:AA17)/SUM(Q11:Q17),IF(mb=7,SUM(AA12:AA17)/SUM(Q12:Q17),IF(mb=8,SUM(AA13:AA17)/SUM(Q13:Q17),"Fail"))))))))</f>
        <v>Fail</v>
      </c>
      <c r="AF18" s="47" t="str">
        <f>IF(mb=1,AB18/S18,IF(mb=2,SUM(AB7:AB17)/SUM(S7:S17),IF(mb=3,SUM(AB8:AB17)/SUM(S8:S17),IF(mb=4,SUM(AB9:AB17)/SUM(S9:S17),IF(mb=5,SUM(AB10:AB17)/SUM(S10:S17),IF(mb=6,SUM(AB11:AB17)/SUM(S11:S17),IF(mb=7,SUM(AB12:AB17)/SUM(S12:S17),IF(mb=8,SUM(AB13:AB17)/SUM(S13:S17),"Fail"))))))))</f>
        <v>Fail</v>
      </c>
      <c r="AG18" s="43" t="e">
        <f>1/((VE*IF(mb=1,Q18,IF(mb=2,SUM(Q7:Q17),IF(mb=3,SUM(Q8:Q17),IF(mb=4,SUM(Q9:Q17),IF(mb=5,SUM(Q10:Q17),IF(mb=6,SUM(Q11:Q17),IF(mb=7,SUM(Q12:Q17),IF(mb=8,SUM(Q13:Q17),"fail")))))))))/TP)</f>
        <v>#VALUE!</v>
      </c>
      <c r="AH18" s="43" t="e">
        <f>1/((VE*IF(mb=1,S18,IF(mb=2,SUM(S7:S17),IF(mb=3,SUM(S8:S17),IF(mb=4,SUM(S9:S17),IF(mb=5,SUM(S10:S17),IF(mb=6,SUM(S11:S17),IF(mb=7,SUM(S12:S17),IF(mb=8,SUM(S13:S17),"fail")))))))))/TP)</f>
        <v>#VALUE!</v>
      </c>
      <c r="AI18" s="43" t="e">
        <f>1/((VE*IF(mb=1,V18,IF(mb=2,SUM(V7:V17),IF(mb=3,SUM(V8:V17),IF(mb=4,SUM(V9:V17),IF(mb=5,SUM(V10:V17),IF(mb=6,SUM(V11:V17),IF(mb=7,SUM(V12:V17),IF(mb=8,SUM(V12:V16),"fail")))))))))/TP)</f>
        <v>#VALUE!</v>
      </c>
      <c r="AJ18" s="43" t="e">
        <f>1/((VE*IF(mb=1,(S18+Q18),IF(mb=2,SUM(S7:S17,Q7:Q17),IF(mb=3,SUM(S8:S17,Q8:Q17),IF(mb=4,SUM(S9:S17,Q9:Q17),IF(mb=5,SUM(S10:S17,Q10:Q17),IF(mb=6,SUM(S11:S17,Q11:Q17),IF(mb=7,SUM(S12:S17,Q12:Q17),IF(mb=8,SUM(S13:S17,Q13:Q17),"fail")))))))))/TP)</f>
        <v>#VALUE!</v>
      </c>
    </row>
    <row r="19" spans="1:36" x14ac:dyDescent="0.25">
      <c r="A19" s="39"/>
      <c r="B19" s="34"/>
      <c r="C19" s="18"/>
      <c r="D19" s="18"/>
      <c r="E19" s="18"/>
      <c r="F19" s="18"/>
      <c r="G19" s="18"/>
      <c r="H19" s="18"/>
      <c r="I19" s="18"/>
      <c r="J19" s="18"/>
      <c r="K19" s="18"/>
      <c r="L19" s="18"/>
      <c r="M19" s="18"/>
      <c r="N19" s="18"/>
      <c r="O19" s="18"/>
      <c r="P19" s="18"/>
      <c r="Q19" s="18"/>
      <c r="R19" s="18"/>
      <c r="S19" s="18"/>
      <c r="T19" s="18"/>
      <c r="U19" s="18"/>
      <c r="V19" s="18"/>
      <c r="W19" s="18"/>
      <c r="X19" s="18"/>
      <c r="Y19" s="18"/>
    </row>
    <row r="20" spans="1:36" x14ac:dyDescent="0.25">
      <c r="A20" s="39"/>
      <c r="B20" s="34"/>
      <c r="C20" s="18"/>
      <c r="D20" s="18"/>
      <c r="E20" s="18"/>
      <c r="F20" s="18"/>
      <c r="G20" s="18"/>
      <c r="H20" s="18"/>
      <c r="I20" s="18"/>
      <c r="J20" s="18"/>
      <c r="K20" s="18"/>
      <c r="L20" s="18"/>
      <c r="M20" s="18"/>
      <c r="N20" s="18"/>
      <c r="O20" s="18"/>
      <c r="P20" s="18"/>
      <c r="Q20" s="18"/>
      <c r="R20" s="18"/>
      <c r="S20" s="18"/>
      <c r="T20" s="18"/>
      <c r="U20" s="18"/>
      <c r="V20" s="18"/>
      <c r="W20" s="18"/>
      <c r="X20" s="18"/>
      <c r="Y20" s="18"/>
    </row>
    <row r="22" spans="1:36" x14ac:dyDescent="0.25">
      <c r="F22" s="26"/>
    </row>
    <row r="23" spans="1:36" x14ac:dyDescent="0.25">
      <c r="D23" s="11"/>
    </row>
    <row r="24" spans="1:36" x14ac:dyDescent="0.25">
      <c r="D24" s="11"/>
    </row>
    <row r="25" spans="1:36" x14ac:dyDescent="0.25">
      <c r="D25" s="11"/>
    </row>
    <row r="26" spans="1:36" x14ac:dyDescent="0.25">
      <c r="D26" s="11"/>
    </row>
    <row r="27" spans="1:36" x14ac:dyDescent="0.25">
      <c r="D27" s="11"/>
    </row>
  </sheetData>
  <mergeCells count="6">
    <mergeCell ref="AE4:AF4"/>
    <mergeCell ref="AG4:AJ4"/>
    <mergeCell ref="B4:I4"/>
    <mergeCell ref="N4:O4"/>
    <mergeCell ref="P4:Y4"/>
    <mergeCell ref="AA4:AD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38E5-1006-4188-850A-391BD9300E3D}">
  <sheetPr>
    <tabColor theme="4" tint="-0.249977111117893"/>
  </sheetPr>
  <dimension ref="A1:AJ29"/>
  <sheetViews>
    <sheetView zoomScale="70" zoomScaleNormal="70" workbookViewId="0">
      <selection activeCell="H46" sqref="H46"/>
    </sheetView>
  </sheetViews>
  <sheetFormatPr defaultColWidth="8.85546875" defaultRowHeight="15" x14ac:dyDescent="0.25"/>
  <cols>
    <col min="1" max="1" width="27.42578125" customWidth="1"/>
    <col min="2" max="2" width="13.85546875" customWidth="1"/>
    <col min="3" max="7" width="20.140625" customWidth="1"/>
    <col min="8" max="8" width="19.42578125" bestFit="1" customWidth="1"/>
    <col min="9" max="10" width="19.42578125" customWidth="1"/>
    <col min="11" max="11" width="18.42578125" customWidth="1"/>
    <col min="12" max="13" width="15.140625" customWidth="1"/>
    <col min="14" max="14" width="14.42578125" customWidth="1"/>
    <col min="15" max="15" width="13.85546875" customWidth="1"/>
    <col min="16" max="16" width="14.140625" customWidth="1"/>
    <col min="17" max="21" width="19.42578125" customWidth="1"/>
    <col min="22" max="22" width="11.140625" bestFit="1" customWidth="1"/>
    <col min="23" max="23" width="13.140625" customWidth="1"/>
    <col min="24" max="24" width="13.85546875" customWidth="1"/>
    <col min="25" max="27" width="14.85546875" customWidth="1"/>
    <col min="28" max="30" width="14.28515625" customWidth="1"/>
    <col min="31" max="32" width="12.140625" customWidth="1"/>
    <col min="33" max="36" width="12.85546875" customWidth="1"/>
    <col min="38" max="38" width="16.28515625" customWidth="1"/>
    <col min="39" max="39" width="12.140625" customWidth="1"/>
    <col min="40" max="42" width="18.28515625" customWidth="1"/>
    <col min="43" max="46" width="17.28515625" customWidth="1"/>
    <col min="47" max="47" width="15.140625" customWidth="1"/>
  </cols>
  <sheetData>
    <row r="1" spans="1:36" ht="23.25" x14ac:dyDescent="0.25">
      <c r="A1" s="1"/>
      <c r="B1" s="2"/>
      <c r="C1" s="2"/>
      <c r="D1" s="2"/>
      <c r="E1" s="2"/>
      <c r="F1" s="2"/>
      <c r="G1" s="2"/>
      <c r="H1" s="2"/>
      <c r="I1" s="2"/>
      <c r="J1" s="2"/>
      <c r="K1" s="2"/>
      <c r="L1" s="2"/>
      <c r="M1" s="2"/>
      <c r="N1" s="2"/>
      <c r="O1" s="2"/>
      <c r="P1" s="2"/>
      <c r="Q1" s="2"/>
      <c r="R1" s="2"/>
      <c r="S1" s="2"/>
      <c r="T1" s="2"/>
      <c r="U1" s="2"/>
      <c r="V1" s="52"/>
      <c r="W1" s="52"/>
      <c r="X1" s="52"/>
      <c r="Y1" s="52"/>
    </row>
    <row r="2" spans="1:36" x14ac:dyDescent="0.25">
      <c r="A2" s="5"/>
      <c r="B2" s="3"/>
    </row>
    <row r="3" spans="1:36" x14ac:dyDescent="0.25">
      <c r="A3" s="223" t="s">
        <v>0</v>
      </c>
      <c r="B3" s="224"/>
      <c r="C3" s="224"/>
      <c r="D3" s="224"/>
      <c r="E3" s="224"/>
      <c r="F3" s="224"/>
      <c r="G3" s="224"/>
      <c r="H3" s="225"/>
      <c r="I3" s="225"/>
      <c r="J3" s="225"/>
      <c r="K3" s="225"/>
      <c r="L3" s="224"/>
      <c r="M3" s="224"/>
      <c r="N3" s="224"/>
      <c r="O3" s="224"/>
      <c r="P3" s="224"/>
      <c r="Q3" s="224"/>
      <c r="R3" s="224"/>
      <c r="S3" s="224"/>
      <c r="T3" s="224"/>
      <c r="U3" s="224"/>
      <c r="V3" s="224"/>
      <c r="W3" s="224"/>
      <c r="X3" s="224"/>
      <c r="Y3" s="224"/>
    </row>
    <row r="4" spans="1:36" ht="25.5" customHeight="1" x14ac:dyDescent="0.35">
      <c r="A4" s="219"/>
      <c r="B4" s="365" t="s">
        <v>337</v>
      </c>
      <c r="C4" s="366"/>
      <c r="D4" s="366"/>
      <c r="E4" s="366"/>
      <c r="F4" s="366"/>
      <c r="G4" s="366"/>
      <c r="H4" s="366"/>
      <c r="I4" s="366"/>
      <c r="J4" s="366"/>
      <c r="K4" s="366"/>
      <c r="L4" s="80"/>
      <c r="M4" s="354" t="s">
        <v>19</v>
      </c>
      <c r="N4" s="355"/>
      <c r="O4" s="367" t="s">
        <v>265</v>
      </c>
      <c r="P4" s="368"/>
      <c r="Q4" s="368"/>
      <c r="R4" s="362" t="s">
        <v>339</v>
      </c>
      <c r="S4" s="363"/>
      <c r="T4" s="363"/>
      <c r="U4" s="363"/>
      <c r="V4" s="363"/>
      <c r="W4" s="363"/>
      <c r="X4" s="363"/>
      <c r="Y4" s="364"/>
      <c r="AA4" s="357" t="s">
        <v>54</v>
      </c>
      <c r="AB4" s="358"/>
      <c r="AC4" s="358"/>
      <c r="AD4" s="359"/>
      <c r="AE4" s="352" t="s">
        <v>49</v>
      </c>
      <c r="AF4" s="353"/>
      <c r="AG4" s="352" t="s">
        <v>52</v>
      </c>
      <c r="AH4" s="356"/>
      <c r="AI4" s="356"/>
      <c r="AJ4" s="353"/>
    </row>
    <row r="5" spans="1:36" s="11" customFormat="1" ht="60.75" thickBot="1" x14ac:dyDescent="0.3">
      <c r="A5" s="220" t="s">
        <v>1</v>
      </c>
      <c r="B5" s="54" t="s">
        <v>64</v>
      </c>
      <c r="C5" s="54" t="s">
        <v>6</v>
      </c>
      <c r="D5" s="54" t="s">
        <v>7</v>
      </c>
      <c r="E5" s="54" t="s">
        <v>8</v>
      </c>
      <c r="F5" s="54" t="s">
        <v>9</v>
      </c>
      <c r="G5" s="54" t="s">
        <v>10</v>
      </c>
      <c r="H5" s="54" t="s">
        <v>326</v>
      </c>
      <c r="I5" s="10" t="s">
        <v>338</v>
      </c>
      <c r="J5" s="54" t="s">
        <v>45</v>
      </c>
      <c r="K5" s="54" t="s">
        <v>61</v>
      </c>
      <c r="L5" s="295" t="s">
        <v>63</v>
      </c>
      <c r="M5" s="21" t="s">
        <v>13</v>
      </c>
      <c r="N5" s="21" t="s">
        <v>2</v>
      </c>
      <c r="O5" s="9" t="s">
        <v>3</v>
      </c>
      <c r="P5" s="9" t="s">
        <v>5</v>
      </c>
      <c r="Q5" s="20" t="s">
        <v>14</v>
      </c>
      <c r="R5" s="183" t="s">
        <v>6</v>
      </c>
      <c r="S5" s="183" t="s">
        <v>7</v>
      </c>
      <c r="T5" s="64" t="s">
        <v>8</v>
      </c>
      <c r="U5" s="64" t="s">
        <v>9</v>
      </c>
      <c r="V5" s="65" t="s">
        <v>326</v>
      </c>
      <c r="W5" s="65" t="s">
        <v>338</v>
      </c>
      <c r="X5" s="66" t="s">
        <v>45</v>
      </c>
      <c r="Y5" s="66" t="s">
        <v>61</v>
      </c>
      <c r="AA5" s="44" t="s">
        <v>44</v>
      </c>
      <c r="AB5" s="44" t="s">
        <v>55</v>
      </c>
      <c r="AC5" s="44" t="s">
        <v>326</v>
      </c>
      <c r="AD5" s="44" t="s">
        <v>45</v>
      </c>
      <c r="AE5" s="44" t="s">
        <v>44</v>
      </c>
      <c r="AF5" s="44" t="s">
        <v>55</v>
      </c>
      <c r="AG5" s="44" t="s">
        <v>44</v>
      </c>
      <c r="AH5" s="44" t="s">
        <v>55</v>
      </c>
      <c r="AI5" s="44" t="s">
        <v>326</v>
      </c>
      <c r="AJ5" s="44" t="s">
        <v>45</v>
      </c>
    </row>
    <row r="6" spans="1:36" ht="15.75" thickBot="1" x14ac:dyDescent="0.3">
      <c r="A6" s="221">
        <f>Input!D9</f>
        <v>0</v>
      </c>
      <c r="B6" s="12">
        <f>TP</f>
        <v>0</v>
      </c>
      <c r="C6" s="14">
        <f>IF(ScI=1,0,IF(ScI=2,Input!I9,0))</f>
        <v>0</v>
      </c>
      <c r="D6" s="14">
        <f>SUM(C$6:C6)</f>
        <v>0</v>
      </c>
      <c r="E6" s="14">
        <f t="shared" ref="E6:E17" si="0">IF(ScI=1,0,IF(ScI=2,C6*hnh,0))</f>
        <v>0</v>
      </c>
      <c r="F6" s="12">
        <f>SUM(E$6:E6)</f>
        <v>0</v>
      </c>
      <c r="G6" s="12">
        <f t="shared" ref="G6:G17" si="1">TP-D6-F6</f>
        <v>0</v>
      </c>
      <c r="H6" s="12">
        <f t="shared" ref="H6:H17" si="2">J6*mai</f>
        <v>0</v>
      </c>
      <c r="I6" s="12">
        <f>H6</f>
        <v>0</v>
      </c>
      <c r="J6" s="12">
        <f>C6+E6</f>
        <v>0</v>
      </c>
      <c r="K6" s="12">
        <f>J6</f>
        <v>0</v>
      </c>
      <c r="L6" s="12">
        <f t="shared" ref="L6:L17" si="3">TP-S6-U6-Q6</f>
        <v>0</v>
      </c>
      <c r="M6" s="16">
        <f t="shared" ref="M6:M17" si="4">IF(ScI=1,0,IF(ScI=2,C6/B6,0))</f>
        <v>0</v>
      </c>
      <c r="N6" s="16">
        <f t="shared" ref="N6:N17" si="5">IF(ScI=1,0,IF(ScI=2,E6/B6,0))</f>
        <v>0</v>
      </c>
      <c r="O6" s="57">
        <f>IF(Scl=1,0,IF(Scl=2,Input!E9,0))</f>
        <v>0</v>
      </c>
      <c r="P6" s="13">
        <f>TP*O6*VE</f>
        <v>0</v>
      </c>
      <c r="Q6" s="13">
        <f>SUM(P$6:P6)</f>
        <v>0</v>
      </c>
      <c r="R6" s="61">
        <f>IF(ScI=1,0,IF(ScI=2,TP*M6,0))</f>
        <v>0</v>
      </c>
      <c r="S6" s="61">
        <f>SUM(R$6:R6)</f>
        <v>0</v>
      </c>
      <c r="T6" s="62">
        <f>IF(ScI=1,0,IF(ScI=2,TP*N6,0))</f>
        <v>0</v>
      </c>
      <c r="U6" s="62">
        <f>SUM(T$6:T6)</f>
        <v>0</v>
      </c>
      <c r="V6" s="62">
        <f>X6*mai</f>
        <v>0</v>
      </c>
      <c r="W6" s="62">
        <f>SUM(V$6:V6)</f>
        <v>0</v>
      </c>
      <c r="X6" s="62">
        <f>R6+T6</f>
        <v>0</v>
      </c>
      <c r="Y6" s="62">
        <f>SUM(X$6:X6)</f>
        <v>0</v>
      </c>
      <c r="AA6" s="31">
        <f t="shared" ref="AA6:AA17" si="6">C6-R6</f>
        <v>0</v>
      </c>
      <c r="AB6" s="31">
        <f t="shared" ref="AB6:AB17" si="7">E6-T6</f>
        <v>0</v>
      </c>
      <c r="AC6" s="31">
        <f t="shared" ref="AC6:AC17" si="8">H6-V6</f>
        <v>0</v>
      </c>
      <c r="AD6" s="31">
        <f t="shared" ref="AD6:AD17" si="9">J6-X6</f>
        <v>0</v>
      </c>
      <c r="AE6" s="48"/>
      <c r="AF6" s="48"/>
      <c r="AG6" s="48"/>
      <c r="AH6" s="48"/>
      <c r="AI6" s="48"/>
      <c r="AJ6" s="48"/>
    </row>
    <row r="7" spans="1:36" ht="15.75" thickBot="1" x14ac:dyDescent="0.3">
      <c r="A7" s="221">
        <f>Input!D10</f>
        <v>0</v>
      </c>
      <c r="B7" s="12">
        <f>G6</f>
        <v>0</v>
      </c>
      <c r="C7" s="14">
        <f>IF(ScI=1,0,IF(ScI=2,Input!I10,0))</f>
        <v>0</v>
      </c>
      <c r="D7" s="14">
        <f>SUM(C$6:C7)</f>
        <v>0</v>
      </c>
      <c r="E7" s="14">
        <f t="shared" si="0"/>
        <v>0</v>
      </c>
      <c r="F7" s="12">
        <f>SUM(E$6:E7)</f>
        <v>0</v>
      </c>
      <c r="G7" s="12">
        <f t="shared" si="1"/>
        <v>0</v>
      </c>
      <c r="H7" s="12">
        <f t="shared" si="2"/>
        <v>0</v>
      </c>
      <c r="I7" s="12">
        <f>SUM(H$6:H7)</f>
        <v>0</v>
      </c>
      <c r="J7" s="12">
        <f t="shared" ref="J7:J17" si="10">C7+E7</f>
        <v>0</v>
      </c>
      <c r="K7" s="12">
        <f>SUM(J$6:J7)</f>
        <v>0</v>
      </c>
      <c r="L7" s="12">
        <f t="shared" si="3"/>
        <v>0</v>
      </c>
      <c r="M7" s="16">
        <f t="shared" si="4"/>
        <v>0</v>
      </c>
      <c r="N7" s="16">
        <f t="shared" si="5"/>
        <v>0</v>
      </c>
      <c r="O7" s="57">
        <f>IF(Scl=1,0,IF(Scl=2,Input!E10,0))</f>
        <v>0</v>
      </c>
      <c r="P7" s="13">
        <f>TP*O7*VE</f>
        <v>0</v>
      </c>
      <c r="Q7" s="13">
        <f>SUM(P$6:P7)</f>
        <v>0</v>
      </c>
      <c r="R7" s="61">
        <f t="shared" ref="R7:R17" si="11">IF(ScI=1,0,IF(ScI=2,L6*M7,0))</f>
        <v>0</v>
      </c>
      <c r="S7" s="61">
        <f>SUM(R$6:R7)</f>
        <v>0</v>
      </c>
      <c r="T7" s="62">
        <f t="shared" ref="T7:T17" si="12">IF(ScI=1,0,IF(ScI=2,L6*N7,0))</f>
        <v>0</v>
      </c>
      <c r="U7" s="62">
        <f>SUM(T$6:T7)</f>
        <v>0</v>
      </c>
      <c r="V7" s="62">
        <f t="shared" ref="V7:V17" si="13">X7*mai</f>
        <v>0</v>
      </c>
      <c r="W7" s="62">
        <f>SUM(V$6:V7)</f>
        <v>0</v>
      </c>
      <c r="X7" s="62">
        <f t="shared" ref="X7:X17" si="14">R7+T7</f>
        <v>0</v>
      </c>
      <c r="Y7" s="62">
        <f>SUM(X$6:X7)</f>
        <v>0</v>
      </c>
      <c r="AA7" s="31">
        <f t="shared" si="6"/>
        <v>0</v>
      </c>
      <c r="AB7" s="31">
        <f t="shared" si="7"/>
        <v>0</v>
      </c>
      <c r="AC7" s="31">
        <f t="shared" si="8"/>
        <v>0</v>
      </c>
      <c r="AD7" s="31">
        <f t="shared" si="9"/>
        <v>0</v>
      </c>
      <c r="AE7" s="48"/>
      <c r="AF7" s="48"/>
      <c r="AG7" s="48"/>
      <c r="AH7" s="48"/>
      <c r="AI7" s="48"/>
      <c r="AJ7" s="48"/>
    </row>
    <row r="8" spans="1:36" ht="15.75" thickBot="1" x14ac:dyDescent="0.3">
      <c r="A8" s="221">
        <f>Input!D11</f>
        <v>0</v>
      </c>
      <c r="B8" s="12">
        <f>G7</f>
        <v>0</v>
      </c>
      <c r="C8" s="14">
        <f>IF(ScI=1,0,IF(ScI=2,Input!I11,0))</f>
        <v>0</v>
      </c>
      <c r="D8" s="14">
        <f>SUM(C$6:C8)</f>
        <v>0</v>
      </c>
      <c r="E8" s="14">
        <f t="shared" si="0"/>
        <v>0</v>
      </c>
      <c r="F8" s="12">
        <f>SUM(E$6:E8)</f>
        <v>0</v>
      </c>
      <c r="G8" s="12">
        <f t="shared" si="1"/>
        <v>0</v>
      </c>
      <c r="H8" s="12">
        <f t="shared" si="2"/>
        <v>0</v>
      </c>
      <c r="I8" s="12">
        <f>SUM(H$6:H8)</f>
        <v>0</v>
      </c>
      <c r="J8" s="12">
        <f t="shared" si="10"/>
        <v>0</v>
      </c>
      <c r="K8" s="12">
        <f>SUM(J$6:J8)</f>
        <v>0</v>
      </c>
      <c r="L8" s="12">
        <f t="shared" si="3"/>
        <v>0</v>
      </c>
      <c r="M8" s="16">
        <f t="shared" si="4"/>
        <v>0</v>
      </c>
      <c r="N8" s="16">
        <f t="shared" si="5"/>
        <v>0</v>
      </c>
      <c r="O8" s="57">
        <f>IF(Scl=1,0,IF(Scl=2,Input!E11,0))</f>
        <v>0</v>
      </c>
      <c r="P8" s="13">
        <f t="shared" ref="P8:P17" si="15">TP*O8*VE</f>
        <v>0</v>
      </c>
      <c r="Q8" s="13">
        <f>SUM(P$6:P8)</f>
        <v>0</v>
      </c>
      <c r="R8" s="61">
        <f t="shared" si="11"/>
        <v>0</v>
      </c>
      <c r="S8" s="61">
        <f>SUM(R$6:R8)</f>
        <v>0</v>
      </c>
      <c r="T8" s="62">
        <f t="shared" si="12"/>
        <v>0</v>
      </c>
      <c r="U8" s="62">
        <f>SUM(T$6:T8)</f>
        <v>0</v>
      </c>
      <c r="V8" s="62">
        <f t="shared" si="13"/>
        <v>0</v>
      </c>
      <c r="W8" s="62">
        <f>SUM(V$6:V8)</f>
        <v>0</v>
      </c>
      <c r="X8" s="62">
        <f t="shared" si="14"/>
        <v>0</v>
      </c>
      <c r="Y8" s="62">
        <f>SUM(X$6:X8)</f>
        <v>0</v>
      </c>
      <c r="AA8" s="31">
        <f t="shared" si="6"/>
        <v>0</v>
      </c>
      <c r="AB8" s="31">
        <f t="shared" si="7"/>
        <v>0</v>
      </c>
      <c r="AC8" s="31">
        <f t="shared" si="8"/>
        <v>0</v>
      </c>
      <c r="AD8" s="31">
        <f t="shared" si="9"/>
        <v>0</v>
      </c>
      <c r="AE8" s="48"/>
      <c r="AF8" s="48"/>
      <c r="AG8" s="48"/>
      <c r="AH8" s="48"/>
      <c r="AI8" s="48"/>
      <c r="AJ8" s="48"/>
    </row>
    <row r="9" spans="1:36" ht="15.75" thickBot="1" x14ac:dyDescent="0.3">
      <c r="A9" s="221">
        <f>Input!D12</f>
        <v>0</v>
      </c>
      <c r="B9" s="12">
        <f t="shared" ref="B9:B17" si="16">G8</f>
        <v>0</v>
      </c>
      <c r="C9" s="14">
        <f>IF(ScI=1,0,IF(ScI=2,Input!I12,0))</f>
        <v>0</v>
      </c>
      <c r="D9" s="14">
        <f>SUM(C$6:C9)</f>
        <v>0</v>
      </c>
      <c r="E9" s="14">
        <f t="shared" si="0"/>
        <v>0</v>
      </c>
      <c r="F9" s="12">
        <f>SUM(E$6:E9)</f>
        <v>0</v>
      </c>
      <c r="G9" s="12">
        <f t="shared" si="1"/>
        <v>0</v>
      </c>
      <c r="H9" s="12">
        <f>J9*mai</f>
        <v>0</v>
      </c>
      <c r="I9" s="12">
        <f>SUM(H$6:H9)</f>
        <v>0</v>
      </c>
      <c r="J9" s="12">
        <f t="shared" si="10"/>
        <v>0</v>
      </c>
      <c r="K9" s="12">
        <f>SUM(J$6:J9)</f>
        <v>0</v>
      </c>
      <c r="L9" s="12">
        <f t="shared" si="3"/>
        <v>0</v>
      </c>
      <c r="M9" s="16">
        <f t="shared" si="4"/>
        <v>0</v>
      </c>
      <c r="N9" s="16">
        <f t="shared" si="5"/>
        <v>0</v>
      </c>
      <c r="O9" s="57">
        <f>IF(Scl=1,0,IF(Scl=2,Input!E12,0))</f>
        <v>0</v>
      </c>
      <c r="P9" s="13">
        <f t="shared" si="15"/>
        <v>0</v>
      </c>
      <c r="Q9" s="13">
        <f>SUM(P$6:P9)</f>
        <v>0</v>
      </c>
      <c r="R9" s="61">
        <f t="shared" si="11"/>
        <v>0</v>
      </c>
      <c r="S9" s="61">
        <f>SUM(R$6:R9)</f>
        <v>0</v>
      </c>
      <c r="T9" s="62">
        <f t="shared" si="12"/>
        <v>0</v>
      </c>
      <c r="U9" s="62">
        <f>SUM(T$6:T9)</f>
        <v>0</v>
      </c>
      <c r="V9" s="62">
        <f t="shared" si="13"/>
        <v>0</v>
      </c>
      <c r="W9" s="62">
        <f>SUM(V$6:V9)</f>
        <v>0</v>
      </c>
      <c r="X9" s="62">
        <f t="shared" si="14"/>
        <v>0</v>
      </c>
      <c r="Y9" s="62">
        <f>SUM(X$6:X9)</f>
        <v>0</v>
      </c>
      <c r="AA9" s="31">
        <f t="shared" si="6"/>
        <v>0</v>
      </c>
      <c r="AB9" s="31">
        <f t="shared" si="7"/>
        <v>0</v>
      </c>
      <c r="AC9" s="31">
        <f t="shared" si="8"/>
        <v>0</v>
      </c>
      <c r="AD9" s="31">
        <f t="shared" si="9"/>
        <v>0</v>
      </c>
      <c r="AE9" s="48"/>
      <c r="AF9" s="48"/>
      <c r="AG9" s="48"/>
      <c r="AH9" s="48"/>
      <c r="AI9" s="48"/>
      <c r="AJ9" s="48"/>
    </row>
    <row r="10" spans="1:36" ht="15.75" thickBot="1" x14ac:dyDescent="0.3">
      <c r="A10" s="221">
        <f>Input!D13</f>
        <v>0</v>
      </c>
      <c r="B10" s="12">
        <f t="shared" si="16"/>
        <v>0</v>
      </c>
      <c r="C10" s="14">
        <f>IF(ScI=1,0,IF(ScI=2,Input!I13,0))</f>
        <v>0</v>
      </c>
      <c r="D10" s="14">
        <f>SUM(C$6:C10)</f>
        <v>0</v>
      </c>
      <c r="E10" s="14">
        <f t="shared" si="0"/>
        <v>0</v>
      </c>
      <c r="F10" s="12">
        <f>SUM(E$6:E10)</f>
        <v>0</v>
      </c>
      <c r="G10" s="12">
        <f t="shared" si="1"/>
        <v>0</v>
      </c>
      <c r="H10" s="12">
        <f t="shared" si="2"/>
        <v>0</v>
      </c>
      <c r="I10" s="12">
        <f>SUM(H$6:H10)</f>
        <v>0</v>
      </c>
      <c r="J10" s="12">
        <f t="shared" si="10"/>
        <v>0</v>
      </c>
      <c r="K10" s="12">
        <f>SUM(J$6:J10)</f>
        <v>0</v>
      </c>
      <c r="L10" s="12">
        <f t="shared" si="3"/>
        <v>0</v>
      </c>
      <c r="M10" s="16">
        <f t="shared" si="4"/>
        <v>0</v>
      </c>
      <c r="N10" s="16">
        <f t="shared" si="5"/>
        <v>0</v>
      </c>
      <c r="O10" s="57">
        <f>IF(Scl=1,0,IF(Scl=2,Input!E13,0))</f>
        <v>0</v>
      </c>
      <c r="P10" s="13">
        <f t="shared" si="15"/>
        <v>0</v>
      </c>
      <c r="Q10" s="13">
        <f>SUM(P$6:P10)</f>
        <v>0</v>
      </c>
      <c r="R10" s="61">
        <f t="shared" si="11"/>
        <v>0</v>
      </c>
      <c r="S10" s="61">
        <f>SUM(R$6:R10)</f>
        <v>0</v>
      </c>
      <c r="T10" s="62">
        <f t="shared" si="12"/>
        <v>0</v>
      </c>
      <c r="U10" s="62">
        <f>SUM(T$6:T10)</f>
        <v>0</v>
      </c>
      <c r="V10" s="62">
        <f t="shared" si="13"/>
        <v>0</v>
      </c>
      <c r="W10" s="62">
        <f>SUM(V$6:V10)</f>
        <v>0</v>
      </c>
      <c r="X10" s="62">
        <f t="shared" si="14"/>
        <v>0</v>
      </c>
      <c r="Y10" s="62">
        <f>SUM(X$6:X10)</f>
        <v>0</v>
      </c>
      <c r="AA10" s="31">
        <f t="shared" si="6"/>
        <v>0</v>
      </c>
      <c r="AB10" s="31">
        <f t="shared" si="7"/>
        <v>0</v>
      </c>
      <c r="AC10" s="31">
        <f t="shared" si="8"/>
        <v>0</v>
      </c>
      <c r="AD10" s="31">
        <f t="shared" si="9"/>
        <v>0</v>
      </c>
      <c r="AE10" s="48"/>
      <c r="AF10" s="48"/>
      <c r="AG10" s="48"/>
      <c r="AH10" s="48"/>
      <c r="AI10" s="48"/>
      <c r="AJ10" s="48"/>
    </row>
    <row r="11" spans="1:36" ht="15.75" thickBot="1" x14ac:dyDescent="0.3">
      <c r="A11" s="221">
        <f>Input!D14</f>
        <v>0</v>
      </c>
      <c r="B11" s="12">
        <f t="shared" si="16"/>
        <v>0</v>
      </c>
      <c r="C11" s="14">
        <f>IF(ScI=1,0,IF(ScI=2,Input!I14,0))</f>
        <v>0</v>
      </c>
      <c r="D11" s="14">
        <f>SUM(C$6:C11)</f>
        <v>0</v>
      </c>
      <c r="E11" s="14">
        <f t="shared" si="0"/>
        <v>0</v>
      </c>
      <c r="F11" s="12">
        <f>SUM(E$6:E11)</f>
        <v>0</v>
      </c>
      <c r="G11" s="12">
        <f t="shared" si="1"/>
        <v>0</v>
      </c>
      <c r="H11" s="12">
        <f t="shared" si="2"/>
        <v>0</v>
      </c>
      <c r="I11" s="12">
        <f>SUM(H$6:H11)</f>
        <v>0</v>
      </c>
      <c r="J11" s="12">
        <f t="shared" si="10"/>
        <v>0</v>
      </c>
      <c r="K11" s="12">
        <f>SUM(J$6:J11)</f>
        <v>0</v>
      </c>
      <c r="L11" s="12">
        <f t="shared" si="3"/>
        <v>0</v>
      </c>
      <c r="M11" s="16">
        <f t="shared" si="4"/>
        <v>0</v>
      </c>
      <c r="N11" s="16">
        <f t="shared" si="5"/>
        <v>0</v>
      </c>
      <c r="O11" s="57">
        <f>IF(Scl=1,0,IF(Scl=2,Input!E14,0))</f>
        <v>0</v>
      </c>
      <c r="P11" s="13">
        <f t="shared" si="15"/>
        <v>0</v>
      </c>
      <c r="Q11" s="13">
        <f>SUM(P$6:P11)</f>
        <v>0</v>
      </c>
      <c r="R11" s="61">
        <f t="shared" si="11"/>
        <v>0</v>
      </c>
      <c r="S11" s="61">
        <f>SUM(R$6:R11)</f>
        <v>0</v>
      </c>
      <c r="T11" s="62">
        <f t="shared" si="12"/>
        <v>0</v>
      </c>
      <c r="U11" s="62">
        <f>SUM(T$6:T11)</f>
        <v>0</v>
      </c>
      <c r="V11" s="62">
        <f t="shared" si="13"/>
        <v>0</v>
      </c>
      <c r="W11" s="62">
        <f>SUM(V$6:V11)</f>
        <v>0</v>
      </c>
      <c r="X11" s="62">
        <f t="shared" si="14"/>
        <v>0</v>
      </c>
      <c r="Y11" s="62">
        <f>SUM(X$6:X11)</f>
        <v>0</v>
      </c>
      <c r="AA11" s="31">
        <f t="shared" si="6"/>
        <v>0</v>
      </c>
      <c r="AB11" s="31">
        <f t="shared" si="7"/>
        <v>0</v>
      </c>
      <c r="AC11" s="31">
        <f t="shared" si="8"/>
        <v>0</v>
      </c>
      <c r="AD11" s="31">
        <f t="shared" si="9"/>
        <v>0</v>
      </c>
      <c r="AE11" s="48"/>
      <c r="AF11" s="48"/>
      <c r="AG11" s="48"/>
      <c r="AH11" s="48"/>
      <c r="AI11" s="48"/>
      <c r="AJ11" s="48"/>
    </row>
    <row r="12" spans="1:36" ht="15.75" thickBot="1" x14ac:dyDescent="0.3">
      <c r="A12" s="221">
        <f>Input!D15</f>
        <v>0</v>
      </c>
      <c r="B12" s="12">
        <f t="shared" si="16"/>
        <v>0</v>
      </c>
      <c r="C12" s="14">
        <f>IF(ScI=1,0,IF(ScI=2,Input!I15,0))</f>
        <v>0</v>
      </c>
      <c r="D12" s="14">
        <f>SUM(C$6:C12)</f>
        <v>0</v>
      </c>
      <c r="E12" s="14">
        <f t="shared" si="0"/>
        <v>0</v>
      </c>
      <c r="F12" s="12">
        <f>SUM(E$6:E12)</f>
        <v>0</v>
      </c>
      <c r="G12" s="12">
        <f t="shared" si="1"/>
        <v>0</v>
      </c>
      <c r="H12" s="12">
        <f t="shared" si="2"/>
        <v>0</v>
      </c>
      <c r="I12" s="12">
        <f>SUM(H$6:H12)</f>
        <v>0</v>
      </c>
      <c r="J12" s="12">
        <f t="shared" si="10"/>
        <v>0</v>
      </c>
      <c r="K12" s="12">
        <f>SUM(J$6:J12)</f>
        <v>0</v>
      </c>
      <c r="L12" s="12">
        <f t="shared" si="3"/>
        <v>0</v>
      </c>
      <c r="M12" s="16">
        <f t="shared" si="4"/>
        <v>0</v>
      </c>
      <c r="N12" s="16">
        <f t="shared" si="5"/>
        <v>0</v>
      </c>
      <c r="O12" s="57">
        <f>IF(Scl=1,0,IF(Scl=2,Input!E15,0))</f>
        <v>0</v>
      </c>
      <c r="P12" s="13">
        <f t="shared" si="15"/>
        <v>0</v>
      </c>
      <c r="Q12" s="13">
        <f>SUM(P$6:P12)</f>
        <v>0</v>
      </c>
      <c r="R12" s="61">
        <f t="shared" si="11"/>
        <v>0</v>
      </c>
      <c r="S12" s="61">
        <f>SUM(R$6:R12)</f>
        <v>0</v>
      </c>
      <c r="T12" s="62">
        <f t="shared" si="12"/>
        <v>0</v>
      </c>
      <c r="U12" s="62">
        <f>SUM(T$6:T12)</f>
        <v>0</v>
      </c>
      <c r="V12" s="62">
        <f t="shared" si="13"/>
        <v>0</v>
      </c>
      <c r="W12" s="62">
        <f>SUM(V$6:V12)</f>
        <v>0</v>
      </c>
      <c r="X12" s="62">
        <f t="shared" si="14"/>
        <v>0</v>
      </c>
      <c r="Y12" s="62">
        <f>SUM(X$6:X12)</f>
        <v>0</v>
      </c>
      <c r="AA12" s="31">
        <f t="shared" si="6"/>
        <v>0</v>
      </c>
      <c r="AB12" s="31">
        <f t="shared" si="7"/>
        <v>0</v>
      </c>
      <c r="AC12" s="31">
        <f t="shared" si="8"/>
        <v>0</v>
      </c>
      <c r="AD12" s="31">
        <f t="shared" si="9"/>
        <v>0</v>
      </c>
      <c r="AE12" s="48"/>
      <c r="AF12" s="48"/>
      <c r="AG12" s="48"/>
      <c r="AH12" s="48"/>
      <c r="AI12" s="48"/>
      <c r="AJ12" s="48"/>
    </row>
    <row r="13" spans="1:36" ht="15.75" thickBot="1" x14ac:dyDescent="0.3">
      <c r="A13" s="221">
        <f>Input!D16</f>
        <v>0</v>
      </c>
      <c r="B13" s="12">
        <f t="shared" si="16"/>
        <v>0</v>
      </c>
      <c r="C13" s="14">
        <f>IF(ScI=1,0,IF(ScI=2,Input!I16,0))</f>
        <v>0</v>
      </c>
      <c r="D13" s="14">
        <f>SUM(C$6:C13)</f>
        <v>0</v>
      </c>
      <c r="E13" s="14">
        <f t="shared" si="0"/>
        <v>0</v>
      </c>
      <c r="F13" s="12">
        <f>SUM(E$6:E13)</f>
        <v>0</v>
      </c>
      <c r="G13" s="12">
        <f t="shared" si="1"/>
        <v>0</v>
      </c>
      <c r="H13" s="12">
        <f t="shared" si="2"/>
        <v>0</v>
      </c>
      <c r="I13" s="12">
        <f>SUM(H$6:H13)</f>
        <v>0</v>
      </c>
      <c r="J13" s="12">
        <f t="shared" si="10"/>
        <v>0</v>
      </c>
      <c r="K13" s="12">
        <f>SUM(J$6:J13)</f>
        <v>0</v>
      </c>
      <c r="L13" s="12">
        <f t="shared" si="3"/>
        <v>0</v>
      </c>
      <c r="M13" s="16">
        <f t="shared" si="4"/>
        <v>0</v>
      </c>
      <c r="N13" s="16">
        <f t="shared" si="5"/>
        <v>0</v>
      </c>
      <c r="O13" s="57">
        <f>IF(Scl=1,0,IF(Scl=2,Input!E16,0))</f>
        <v>0</v>
      </c>
      <c r="P13" s="13">
        <f t="shared" si="15"/>
        <v>0</v>
      </c>
      <c r="Q13" s="13">
        <f>SUM(P$6:P13)</f>
        <v>0</v>
      </c>
      <c r="R13" s="61">
        <f t="shared" si="11"/>
        <v>0</v>
      </c>
      <c r="S13" s="61">
        <f>SUM(R$6:R13)</f>
        <v>0</v>
      </c>
      <c r="T13" s="62">
        <f t="shared" si="12"/>
        <v>0</v>
      </c>
      <c r="U13" s="62">
        <f>SUM(T$6:T13)</f>
        <v>0</v>
      </c>
      <c r="V13" s="62">
        <f t="shared" si="13"/>
        <v>0</v>
      </c>
      <c r="W13" s="62">
        <f>SUM(V$6:V13)</f>
        <v>0</v>
      </c>
      <c r="X13" s="62">
        <f t="shared" si="14"/>
        <v>0</v>
      </c>
      <c r="Y13" s="62">
        <f>SUM(X$6:X13)</f>
        <v>0</v>
      </c>
      <c r="AA13" s="31">
        <f t="shared" si="6"/>
        <v>0</v>
      </c>
      <c r="AB13" s="31">
        <f t="shared" si="7"/>
        <v>0</v>
      </c>
      <c r="AC13" s="31">
        <f t="shared" si="8"/>
        <v>0</v>
      </c>
      <c r="AD13" s="31">
        <f t="shared" si="9"/>
        <v>0</v>
      </c>
      <c r="AE13" s="48"/>
      <c r="AF13" s="48"/>
      <c r="AG13" s="48"/>
      <c r="AH13" s="48"/>
      <c r="AI13" s="48"/>
      <c r="AJ13" s="48"/>
    </row>
    <row r="14" spans="1:36" ht="15.75" thickBot="1" x14ac:dyDescent="0.3">
      <c r="A14" s="221">
        <f>Input!D17</f>
        <v>0</v>
      </c>
      <c r="B14" s="12">
        <f t="shared" si="16"/>
        <v>0</v>
      </c>
      <c r="C14" s="14">
        <f>IF(ScI=1,0,IF(ScI=2,Input!I17,0))</f>
        <v>0</v>
      </c>
      <c r="D14" s="14">
        <f>SUM(C$6:C14)</f>
        <v>0</v>
      </c>
      <c r="E14" s="14">
        <f t="shared" si="0"/>
        <v>0</v>
      </c>
      <c r="F14" s="12">
        <f>SUM(E$6:E14)</f>
        <v>0</v>
      </c>
      <c r="G14" s="12">
        <f t="shared" si="1"/>
        <v>0</v>
      </c>
      <c r="H14" s="12">
        <f>J14*mai</f>
        <v>0</v>
      </c>
      <c r="I14" s="12">
        <f>SUM(H$6:H14)</f>
        <v>0</v>
      </c>
      <c r="J14" s="12">
        <f t="shared" si="10"/>
        <v>0</v>
      </c>
      <c r="K14" s="12">
        <f>SUM(J$6:J14)</f>
        <v>0</v>
      </c>
      <c r="L14" s="12">
        <f t="shared" si="3"/>
        <v>0</v>
      </c>
      <c r="M14" s="16">
        <f t="shared" si="4"/>
        <v>0</v>
      </c>
      <c r="N14" s="16">
        <f t="shared" si="5"/>
        <v>0</v>
      </c>
      <c r="O14" s="57">
        <f>IF(Scl=1,0,IF(Scl=2,Input!E17,0))</f>
        <v>0</v>
      </c>
      <c r="P14" s="13">
        <f t="shared" si="15"/>
        <v>0</v>
      </c>
      <c r="Q14" s="13">
        <f>SUM(P$6:P14)</f>
        <v>0</v>
      </c>
      <c r="R14" s="61">
        <f t="shared" si="11"/>
        <v>0</v>
      </c>
      <c r="S14" s="61">
        <f>SUM(R$6:R14)</f>
        <v>0</v>
      </c>
      <c r="T14" s="62">
        <f t="shared" si="12"/>
        <v>0</v>
      </c>
      <c r="U14" s="62">
        <f>SUM(T$6:T14)</f>
        <v>0</v>
      </c>
      <c r="V14" s="62">
        <f t="shared" si="13"/>
        <v>0</v>
      </c>
      <c r="W14" s="62">
        <f>SUM(V$6:V14)</f>
        <v>0</v>
      </c>
      <c r="X14" s="62">
        <f t="shared" si="14"/>
        <v>0</v>
      </c>
      <c r="Y14" s="62">
        <f>SUM(X$6:X14)</f>
        <v>0</v>
      </c>
      <c r="AA14" s="31">
        <f t="shared" si="6"/>
        <v>0</v>
      </c>
      <c r="AB14" s="31">
        <f t="shared" si="7"/>
        <v>0</v>
      </c>
      <c r="AC14" s="31">
        <f t="shared" si="8"/>
        <v>0</v>
      </c>
      <c r="AD14" s="31">
        <f t="shared" si="9"/>
        <v>0</v>
      </c>
      <c r="AE14" s="48"/>
      <c r="AF14" s="48"/>
      <c r="AG14" s="48"/>
      <c r="AH14" s="48"/>
      <c r="AI14" s="48"/>
      <c r="AJ14" s="48"/>
    </row>
    <row r="15" spans="1:36" ht="15.75" thickBot="1" x14ac:dyDescent="0.3">
      <c r="A15" s="221">
        <f>Input!D18</f>
        <v>0</v>
      </c>
      <c r="B15" s="12">
        <f t="shared" si="16"/>
        <v>0</v>
      </c>
      <c r="C15" s="14">
        <f>IF(ScI=1,0,IF(ScI=2,Input!I18,0))</f>
        <v>0</v>
      </c>
      <c r="D15" s="14">
        <f>SUM(C$6:C15)</f>
        <v>0</v>
      </c>
      <c r="E15" s="14">
        <f t="shared" si="0"/>
        <v>0</v>
      </c>
      <c r="F15" s="12">
        <f>SUM(E$6:E15)</f>
        <v>0</v>
      </c>
      <c r="G15" s="12">
        <f t="shared" si="1"/>
        <v>0</v>
      </c>
      <c r="H15" s="12">
        <f t="shared" si="2"/>
        <v>0</v>
      </c>
      <c r="I15" s="12">
        <f>SUM(H$6:H15)</f>
        <v>0</v>
      </c>
      <c r="J15" s="12">
        <f t="shared" si="10"/>
        <v>0</v>
      </c>
      <c r="K15" s="12">
        <f>SUM(J$6:J15)</f>
        <v>0</v>
      </c>
      <c r="L15" s="12">
        <f t="shared" si="3"/>
        <v>0</v>
      </c>
      <c r="M15" s="16">
        <f t="shared" si="4"/>
        <v>0</v>
      </c>
      <c r="N15" s="16">
        <f t="shared" si="5"/>
        <v>0</v>
      </c>
      <c r="O15" s="57">
        <f>IF(Scl=1,0,IF(Scl=2,Input!E18,0))</f>
        <v>0</v>
      </c>
      <c r="P15" s="13">
        <f t="shared" si="15"/>
        <v>0</v>
      </c>
      <c r="Q15" s="13">
        <f>SUM(P$6:P15)</f>
        <v>0</v>
      </c>
      <c r="R15" s="61">
        <f t="shared" si="11"/>
        <v>0</v>
      </c>
      <c r="S15" s="61">
        <f>SUM(R$6:R15)</f>
        <v>0</v>
      </c>
      <c r="T15" s="62">
        <f t="shared" si="12"/>
        <v>0</v>
      </c>
      <c r="U15" s="62">
        <f>SUM(T$6:T15)</f>
        <v>0</v>
      </c>
      <c r="V15" s="62">
        <f t="shared" si="13"/>
        <v>0</v>
      </c>
      <c r="W15" s="62">
        <f>SUM(V$6:V15)</f>
        <v>0</v>
      </c>
      <c r="X15" s="62">
        <f t="shared" si="14"/>
        <v>0</v>
      </c>
      <c r="Y15" s="62">
        <f>SUM(X$6:X15)</f>
        <v>0</v>
      </c>
      <c r="AA15" s="31">
        <f t="shared" si="6"/>
        <v>0</v>
      </c>
      <c r="AB15" s="31">
        <f t="shared" si="7"/>
        <v>0</v>
      </c>
      <c r="AC15" s="31">
        <f t="shared" si="8"/>
        <v>0</v>
      </c>
      <c r="AD15" s="31">
        <f t="shared" si="9"/>
        <v>0</v>
      </c>
      <c r="AE15" s="48"/>
      <c r="AF15" s="48"/>
      <c r="AG15" s="48"/>
      <c r="AH15" s="48"/>
      <c r="AI15" s="48"/>
      <c r="AJ15" s="48"/>
    </row>
    <row r="16" spans="1:36" ht="15.75" thickBot="1" x14ac:dyDescent="0.3">
      <c r="A16" s="221">
        <f>Input!D19</f>
        <v>0</v>
      </c>
      <c r="B16" s="12">
        <f t="shared" si="16"/>
        <v>0</v>
      </c>
      <c r="C16" s="14">
        <f>IF(ScI=1,0,IF(ScI=2,Input!I19,0))</f>
        <v>0</v>
      </c>
      <c r="D16" s="14">
        <f>SUM(C$6:C16)</f>
        <v>0</v>
      </c>
      <c r="E16" s="14">
        <f t="shared" si="0"/>
        <v>0</v>
      </c>
      <c r="F16" s="12">
        <f>SUM(E$6:E16)</f>
        <v>0</v>
      </c>
      <c r="G16" s="12">
        <f t="shared" si="1"/>
        <v>0</v>
      </c>
      <c r="H16" s="12">
        <f t="shared" si="2"/>
        <v>0</v>
      </c>
      <c r="I16" s="12">
        <f>SUM(H$6:H16)</f>
        <v>0</v>
      </c>
      <c r="J16" s="12">
        <f t="shared" si="10"/>
        <v>0</v>
      </c>
      <c r="K16" s="12">
        <f>SUM(J$6:J16)</f>
        <v>0</v>
      </c>
      <c r="L16" s="12">
        <f t="shared" si="3"/>
        <v>0</v>
      </c>
      <c r="M16" s="16">
        <f t="shared" si="4"/>
        <v>0</v>
      </c>
      <c r="N16" s="16">
        <f t="shared" si="5"/>
        <v>0</v>
      </c>
      <c r="O16" s="57">
        <f>IF(Scl=1,0,IF(Scl=2,Input!E19,0))</f>
        <v>0</v>
      </c>
      <c r="P16" s="13">
        <f t="shared" si="15"/>
        <v>0</v>
      </c>
      <c r="Q16" s="13">
        <f>SUM(P$6:P16)</f>
        <v>0</v>
      </c>
      <c r="R16" s="61">
        <f t="shared" si="11"/>
        <v>0</v>
      </c>
      <c r="S16" s="61">
        <f>SUM(R$6:R16)</f>
        <v>0</v>
      </c>
      <c r="T16" s="62">
        <f t="shared" si="12"/>
        <v>0</v>
      </c>
      <c r="U16" s="62">
        <f>SUM(T$6:T16)</f>
        <v>0</v>
      </c>
      <c r="V16" s="62">
        <f t="shared" si="13"/>
        <v>0</v>
      </c>
      <c r="W16" s="62">
        <f>SUM(V$6:V16)</f>
        <v>0</v>
      </c>
      <c r="X16" s="62">
        <f t="shared" si="14"/>
        <v>0</v>
      </c>
      <c r="Y16" s="62">
        <f>SUM(X$6:X16)</f>
        <v>0</v>
      </c>
      <c r="AA16" s="31">
        <f t="shared" si="6"/>
        <v>0</v>
      </c>
      <c r="AB16" s="31">
        <f t="shared" si="7"/>
        <v>0</v>
      </c>
      <c r="AC16" s="31">
        <f t="shared" si="8"/>
        <v>0</v>
      </c>
      <c r="AD16" s="31">
        <f t="shared" si="9"/>
        <v>0</v>
      </c>
      <c r="AE16" s="48"/>
      <c r="AF16" s="48"/>
      <c r="AG16" s="48"/>
      <c r="AH16" s="48"/>
      <c r="AI16" s="48"/>
      <c r="AJ16" s="48"/>
    </row>
    <row r="17" spans="1:36" ht="15.75" thickBot="1" x14ac:dyDescent="0.3">
      <c r="A17" s="221">
        <f>Input!D20</f>
        <v>0</v>
      </c>
      <c r="B17" s="12">
        <f t="shared" si="16"/>
        <v>0</v>
      </c>
      <c r="C17" s="14">
        <f>IF(ScI=1,0,IF(ScI=2,Input!I20,0))</f>
        <v>0</v>
      </c>
      <c r="D17" s="14">
        <f>SUM(C$6:C17)</f>
        <v>0</v>
      </c>
      <c r="E17" s="14">
        <f t="shared" si="0"/>
        <v>0</v>
      </c>
      <c r="F17" s="12">
        <f>SUM(E$6:E17)</f>
        <v>0</v>
      </c>
      <c r="G17" s="12">
        <f t="shared" si="1"/>
        <v>0</v>
      </c>
      <c r="H17" s="12">
        <f t="shared" si="2"/>
        <v>0</v>
      </c>
      <c r="I17" s="12">
        <f>SUM(H$6:H17)</f>
        <v>0</v>
      </c>
      <c r="J17" s="12">
        <f t="shared" si="10"/>
        <v>0</v>
      </c>
      <c r="K17" s="12">
        <f>SUM(J$6:J17)</f>
        <v>0</v>
      </c>
      <c r="L17" s="12">
        <f t="shared" si="3"/>
        <v>0</v>
      </c>
      <c r="M17" s="16">
        <f t="shared" si="4"/>
        <v>0</v>
      </c>
      <c r="N17" s="16">
        <f t="shared" si="5"/>
        <v>0</v>
      </c>
      <c r="O17" s="57">
        <f>IF(Scl=1,0,IF(Scl=2,Input!E20,0))</f>
        <v>0</v>
      </c>
      <c r="P17" s="13">
        <f t="shared" si="15"/>
        <v>0</v>
      </c>
      <c r="Q17" s="13">
        <f>SUM(P$6:P17)</f>
        <v>0</v>
      </c>
      <c r="R17" s="61">
        <f t="shared" si="11"/>
        <v>0</v>
      </c>
      <c r="S17" s="61">
        <f>SUM(R$6:R17)</f>
        <v>0</v>
      </c>
      <c r="T17" s="62">
        <f t="shared" si="12"/>
        <v>0</v>
      </c>
      <c r="U17" s="62">
        <f>SUM(T$6:T17)</f>
        <v>0</v>
      </c>
      <c r="V17" s="62">
        <f t="shared" si="13"/>
        <v>0</v>
      </c>
      <c r="W17" s="62">
        <f>SUM(V$6:V17)</f>
        <v>0</v>
      </c>
      <c r="X17" s="62">
        <f t="shared" si="14"/>
        <v>0</v>
      </c>
      <c r="Y17" s="62">
        <f>SUM(X$6:X17)</f>
        <v>0</v>
      </c>
      <c r="AA17" s="31">
        <f t="shared" si="6"/>
        <v>0</v>
      </c>
      <c r="AB17" s="31">
        <f t="shared" si="7"/>
        <v>0</v>
      </c>
      <c r="AC17" s="31">
        <f t="shared" si="8"/>
        <v>0</v>
      </c>
      <c r="AD17" s="31">
        <f t="shared" si="9"/>
        <v>0</v>
      </c>
      <c r="AE17" s="48"/>
      <c r="AF17" s="48"/>
      <c r="AG17" s="48"/>
      <c r="AH17" s="48"/>
      <c r="AI17" s="48"/>
      <c r="AJ17" s="48"/>
    </row>
    <row r="18" spans="1:36" x14ac:dyDescent="0.25">
      <c r="A18" s="222" t="s">
        <v>11</v>
      </c>
      <c r="B18" s="50"/>
      <c r="C18" s="40">
        <f>SUM(C6:C17)</f>
        <v>0</v>
      </c>
      <c r="D18" s="51"/>
      <c r="E18" s="136">
        <f>SUM(E6:E17)</f>
        <v>0</v>
      </c>
      <c r="F18" s="50"/>
      <c r="G18" s="50"/>
      <c r="H18" s="40">
        <f>SUM(H6:H17)</f>
        <v>0</v>
      </c>
      <c r="I18" s="50"/>
      <c r="J18" s="40">
        <f>SUM(J6:J17)</f>
        <v>0</v>
      </c>
      <c r="K18" s="50"/>
      <c r="L18" s="50"/>
      <c r="M18" s="50"/>
      <c r="N18" s="50"/>
      <c r="O18" s="79">
        <f>IF(ISBLANK(O6), " ", SUM(O6:O17))</f>
        <v>0</v>
      </c>
      <c r="P18" s="59">
        <f>IF(ISBLANK(P6), " ", SUM(P6:P17))</f>
        <v>0</v>
      </c>
      <c r="Q18" s="50"/>
      <c r="R18" s="58">
        <f>IF(ISBLANK(R6), " ", SUM(R6:R17))</f>
        <v>0</v>
      </c>
      <c r="S18" s="50"/>
      <c r="T18" s="59">
        <f>IF(ISBLANK(T6), " ", SUM(T6:T17))</f>
        <v>0</v>
      </c>
      <c r="U18" s="50"/>
      <c r="V18" s="59">
        <f>IF(ISBLANK(V6), " ", SUM(V6:V17))</f>
        <v>0</v>
      </c>
      <c r="W18" s="50"/>
      <c r="X18" s="59">
        <f>IF(ISBLANK(X6), " ", SUM(X6:X17))</f>
        <v>0</v>
      </c>
      <c r="Y18" s="50"/>
      <c r="AA18" s="180">
        <f>IF(mb=1,SUM(AA6:AA17),IF(mb=2,SUM(AA7:AA17),IF(mb=3,SUM(AA8:AA17),IF(mb=4,SUM(AA9:AA17),IF(mb=5,SUM(AA10:AA17),IF(mb=6,SUM(AA11:AA17),IF(mb=7,SUM(AA12:AA17),IF(mb=8,SUM(AA13:AA17),0))))))))</f>
        <v>0</v>
      </c>
      <c r="AB18" s="180">
        <f>IF(mb=1,SUM(AB6:AB17),IF(mb=2,SUM(AB7:AB17),IF(mb=3,SUM(AB8:AB17),IF(mb=4,SUM(AB9:AB17),IF(mb=5,SUM(AB10:AB17),IF(mb=6,SUM(AB11:AB17),IF(mb=7,SUM(AB12:AB17),IF(mb=8,SUM(AB13:AB17),0))))))))</f>
        <v>0</v>
      </c>
      <c r="AC18" s="180">
        <f>IF(mb=1,SUM(AC6:AC17),IF(mb=2,SUM(AC7:AC17),IF(mb=3,SUM(AC8:AC17),IF(mb=4,SUM(AC9:AC17),IF(mb=5,SUM(AC10:AC17),IF(mb=6,SUM(AC11:AC17),IF(mb=7,SUM(AC12:AC17),IF(mb=8,SUM(AC13:AC17),0))))))))</f>
        <v>0</v>
      </c>
      <c r="AD18" s="180">
        <f>IF(mb=1,SUM(AD6:AD17),IF(mb=2,SUM(AD7:AD17),IF(mb=3,SUM(AD8:AD17),IF(mb=4,SUM(AD9:AD17),IF(mb=5,SUM(AD10:AD17),IF(mb=6,SUM(AD11:AD17),IF(mb=7,SUM(AD12:AD17),IF(mb=8,SUM(AD13:AD17),0))))))))</f>
        <v>0</v>
      </c>
      <c r="AE18" s="181" t="str">
        <f>IF(mb=1,AA18/C18,IF(mb=2,SUM(AA7:AA17)/SUM(C7:C17),IF(mb=3,SUM(AA8:AA17)/SUM(C8:C17),IF(mb=4,SUM(AA9:AA17)/SUM(C9:C17),IF(mb=5,SUM(AA10:AA17)/SUM(C10:C17),IF(mb=6,SUM(AA11:AA17)/SUM(C11:C17),IF(mb=7,SUM(AA12:AA17)/SUM(C12:C17),IF(mb=8,SUM(AA13:AA17)/SUM(C13:C17),"Fail"))))))))</f>
        <v>Fail</v>
      </c>
      <c r="AF18" s="181" t="str">
        <f>IF(mb=1,AB18/E18,IF(mb=2,SUM(AB7:AB17)/SUM(E7:E17),IF(mb=3,SUM(AB8:AB17)/SUM(E8:E17),IF(mb=4,SUM(AB9:AB17)/SUM(E9:E17),IF(mb=5,SUM(AB10:AB17)/SUM(E10:E17),IF(mb=6,SUM(AB11:AB17)/SUM(E11:E17),IF(mb=7,SUM(AB12:AB17)/SUM(E12:E17),IF(mb=8,SUM(AB13:AB17)/SUM(E13:E17),"Fail"))))))))</f>
        <v>Fail</v>
      </c>
      <c r="AG18" s="180" t="e">
        <f>1/((VE*IF(mb=1,C18,IF(mb=2,SUM(C7:C17),IF(mb=3,SUM(C8:C17),IF(mb=4,SUM(C9:C17),IF(mb=5,SUM(C10:C17),IF(mb=6,SUM(C11:C17),IF(mb=7,SUM(C12:C17),IF(mb=8,SUM(C13:C17),"fail")))))))))/TP)</f>
        <v>#VALUE!</v>
      </c>
      <c r="AH18" s="180" t="e">
        <f>1/((VE*IF(mb=1,E18,IF(mb=2,SUM(E7:E17),IF(mb=3,SUM(E8:E17),IF(mb=4,SUM(E9:E17),IF(mb=5,SUM(E10:E17),IF(mb=6,SUM(E11:E17),IF(mb=7,SUM(E12:E17),IF(mb=8,SUM(E13:E17),"fail")))))))))/TP)</f>
        <v>#VALUE!</v>
      </c>
      <c r="AI18" s="180" t="e">
        <f>1/((VE*IF(mb=1,H18,IF(mb=2,SUM(H7:H17),IF(mb=3,SUM(H8:H17),IF(mb=4,SUM(H9:H17),IF(mb=5,SUM(H10:H17),IF(mb=6,SUM(H11:H17),IF(mb=7,SUM(H12:H17),IF(mb=8,SUM(H12:H16),"fail")))))))))/TP)</f>
        <v>#VALUE!</v>
      </c>
      <c r="AJ18" s="180" t="e">
        <f>1/((VE*IF(mb=1,(E18+C18),IF(mb=2,SUM(E7:E17,C7:C17),IF(mb=3,SUM(E8:E17,C8:C17),IF(mb=4,SUM(E9:E17,C9:C17),IF(mb=5,SUM(E10:E17,C10:C17),IF(mb=6,SUM(E11:E17,C11:C17),IF(mb=7,SUM(E12:E17,C12:C17),IF(mb=8,SUM(E13:E17,C13:C17),"fail")))))))))/TP)</f>
        <v>#VALUE!</v>
      </c>
    </row>
    <row r="19" spans="1:36" x14ac:dyDescent="0.25">
      <c r="A19" s="39"/>
      <c r="B19" s="18"/>
      <c r="C19" s="18"/>
      <c r="D19" s="18"/>
      <c r="E19" s="18"/>
      <c r="F19" s="18"/>
      <c r="G19" s="18"/>
      <c r="H19" s="18"/>
      <c r="I19" s="18"/>
      <c r="J19" s="18"/>
      <c r="K19" s="18"/>
      <c r="L19" s="18"/>
      <c r="M19" s="18"/>
      <c r="N19" s="18"/>
      <c r="O19" s="18"/>
      <c r="P19" s="18"/>
      <c r="Q19" s="18"/>
      <c r="R19" s="34"/>
      <c r="S19" s="18"/>
      <c r="T19" s="18"/>
      <c r="U19" s="18"/>
      <c r="V19" s="18"/>
      <c r="W19" s="18"/>
      <c r="X19" s="18"/>
      <c r="Y19" s="18"/>
    </row>
    <row r="20" spans="1:36" x14ac:dyDescent="0.25">
      <c r="A20" s="39"/>
      <c r="B20" s="18"/>
      <c r="C20" s="18"/>
      <c r="D20" s="18"/>
      <c r="E20" s="18"/>
      <c r="F20" s="18"/>
      <c r="G20" s="18"/>
      <c r="H20" s="18"/>
      <c r="I20" s="18"/>
      <c r="J20" s="18"/>
      <c r="K20" s="18"/>
      <c r="L20" s="18"/>
      <c r="M20" s="18"/>
      <c r="N20" s="18"/>
      <c r="O20" s="18"/>
      <c r="P20" s="18"/>
      <c r="Q20" s="18"/>
      <c r="R20" s="34"/>
      <c r="S20" s="18"/>
      <c r="T20" s="18"/>
      <c r="U20" s="18"/>
      <c r="V20" s="18"/>
      <c r="W20" s="18"/>
      <c r="X20" s="18"/>
      <c r="Y20" s="18"/>
    </row>
    <row r="22" spans="1:36" x14ac:dyDescent="0.25">
      <c r="F22" s="26"/>
    </row>
    <row r="24" spans="1:36" x14ac:dyDescent="0.25">
      <c r="O24" s="25"/>
      <c r="AA24" s="33"/>
      <c r="AB24" s="33"/>
      <c r="AC24" s="37"/>
      <c r="AD24" s="33"/>
      <c r="AE24" s="45"/>
      <c r="AF24" s="46"/>
      <c r="AG24" s="28"/>
      <c r="AH24" s="32"/>
      <c r="AJ24" s="31"/>
    </row>
    <row r="27" spans="1:36" x14ac:dyDescent="0.25">
      <c r="AB27" s="31"/>
    </row>
    <row r="29" spans="1:36" ht="18.95" customHeight="1" x14ac:dyDescent="0.25"/>
  </sheetData>
  <mergeCells count="7">
    <mergeCell ref="M4:N4"/>
    <mergeCell ref="B4:K4"/>
    <mergeCell ref="AA4:AD4"/>
    <mergeCell ref="AE4:AF4"/>
    <mergeCell ref="AG4:AJ4"/>
    <mergeCell ref="O4:Q4"/>
    <mergeCell ref="R4:Y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7A698-DC23-4147-B2DA-36CD47E5DD82}">
  <sheetPr>
    <tabColor theme="3" tint="-0.249977111117893"/>
  </sheetPr>
  <dimension ref="A1:AC19"/>
  <sheetViews>
    <sheetView workbookViewId="0">
      <selection activeCell="L2" sqref="L2"/>
    </sheetView>
  </sheetViews>
  <sheetFormatPr defaultColWidth="8.85546875" defaultRowHeight="15" x14ac:dyDescent="0.25"/>
  <cols>
    <col min="2" max="2" width="12.140625" customWidth="1"/>
    <col min="5" max="5" width="9.85546875" customWidth="1"/>
    <col min="6" max="7" width="11.140625" customWidth="1"/>
    <col min="8" max="12" width="12.85546875" customWidth="1"/>
    <col min="13" max="13" width="12.42578125" customWidth="1"/>
    <col min="14" max="28" width="11.140625" customWidth="1"/>
  </cols>
  <sheetData>
    <row r="1" spans="1:29" x14ac:dyDescent="0.25">
      <c r="A1" s="105" t="s">
        <v>165</v>
      </c>
      <c r="B1" s="105" t="s">
        <v>166</v>
      </c>
      <c r="C1" s="105" t="s">
        <v>167</v>
      </c>
      <c r="D1" s="105" t="s">
        <v>168</v>
      </c>
      <c r="E1" s="105" t="s">
        <v>178</v>
      </c>
      <c r="F1" s="105" t="s">
        <v>179</v>
      </c>
      <c r="G1" s="105" t="s">
        <v>180</v>
      </c>
      <c r="H1" s="105" t="s">
        <v>181</v>
      </c>
      <c r="I1" s="105" t="s">
        <v>182</v>
      </c>
      <c r="J1" s="105" t="s">
        <v>183</v>
      </c>
      <c r="K1" s="105" t="s">
        <v>184</v>
      </c>
      <c r="L1" s="105" t="s">
        <v>185</v>
      </c>
      <c r="M1" s="105" t="s">
        <v>169</v>
      </c>
      <c r="N1" s="105" t="s">
        <v>186</v>
      </c>
      <c r="O1" s="105" t="s">
        <v>187</v>
      </c>
      <c r="P1" s="105" t="s">
        <v>188</v>
      </c>
      <c r="Q1" s="105" t="s">
        <v>189</v>
      </c>
      <c r="R1" s="105" t="s">
        <v>190</v>
      </c>
      <c r="S1" s="105" t="s">
        <v>191</v>
      </c>
      <c r="T1" s="105" t="s">
        <v>192</v>
      </c>
      <c r="U1" s="105" t="s">
        <v>193</v>
      </c>
      <c r="V1" s="105" t="s">
        <v>170</v>
      </c>
      <c r="W1" s="105" t="s">
        <v>171</v>
      </c>
      <c r="X1" s="105" t="s">
        <v>172</v>
      </c>
      <c r="Y1" s="105" t="s">
        <v>173</v>
      </c>
      <c r="Z1" s="105" t="s">
        <v>174</v>
      </c>
      <c r="AA1" s="105" t="s">
        <v>175</v>
      </c>
      <c r="AB1" s="105" t="s">
        <v>176</v>
      </c>
      <c r="AC1" s="105" t="s">
        <v>177</v>
      </c>
    </row>
    <row r="2" spans="1:29" x14ac:dyDescent="0.25">
      <c r="A2">
        <f t="shared" ref="A2:A13" si="0">season</f>
        <v>0</v>
      </c>
      <c r="B2">
        <f t="shared" ref="B2:B13" si="1">TG</f>
        <v>0</v>
      </c>
      <c r="C2">
        <f t="shared" ref="C2:C13" si="2">TP</f>
        <v>0</v>
      </c>
      <c r="D2">
        <v>1</v>
      </c>
      <c r="E2" s="226">
        <f t="shared" ref="E2:E13" si="3">G2+H2</f>
        <v>0</v>
      </c>
      <c r="F2" s="226">
        <f t="shared" ref="F2:F13" si="4">E2*mai</f>
        <v>0</v>
      </c>
      <c r="G2" s="226">
        <f>IF(Scl=1,'3. Model'!D$18,0)</f>
        <v>0</v>
      </c>
      <c r="H2" s="226">
        <f>IF(Scl=1,'3. Model'!B$18,0)</f>
        <v>0</v>
      </c>
      <c r="I2" s="227">
        <f>L2+K2</f>
        <v>0</v>
      </c>
      <c r="J2" s="226">
        <f t="shared" ref="J2:J13" si="5">I2*mai</f>
        <v>0</v>
      </c>
      <c r="K2" s="226">
        <f>IF(Scl=2,'3. Model'!S$18,0)</f>
        <v>0</v>
      </c>
      <c r="L2" s="227">
        <f>IF(Scl=2,'3. Model'!Q$18,0)</f>
        <v>0</v>
      </c>
      <c r="M2" t="e">
        <f t="shared" ref="M2:M13" si="6">N2/TP*100000</f>
        <v>#DIV/0!</v>
      </c>
      <c r="N2">
        <f>IF(Scl=1,H_1,0)</f>
        <v>0</v>
      </c>
      <c r="O2">
        <f t="shared" ref="O2:O13" si="7">N2*hnh</f>
        <v>0</v>
      </c>
      <c r="P2">
        <f>N2+O2</f>
        <v>0</v>
      </c>
      <c r="Q2">
        <f t="shared" ref="Q2:Q13" si="8">P2*mai</f>
        <v>0</v>
      </c>
      <c r="R2">
        <f>IF(Scl=2,'3. Model'!Q6,0)</f>
        <v>0</v>
      </c>
      <c r="S2">
        <f t="shared" ref="S2:S13" si="9">R2*hnh</f>
        <v>0</v>
      </c>
      <c r="T2">
        <f>R2+S2</f>
        <v>0</v>
      </c>
      <c r="U2">
        <f t="shared" ref="U2:U13" si="10">T2*mai</f>
        <v>0</v>
      </c>
      <c r="V2" s="155">
        <f>Co_1</f>
        <v>0</v>
      </c>
      <c r="W2">
        <f t="shared" ref="W2:W13" si="11">TCv</f>
        <v>0</v>
      </c>
      <c r="X2">
        <f>Input!B$29</f>
        <v>0</v>
      </c>
      <c r="Y2">
        <f t="shared" ref="Y2:Y13" si="12">VE</f>
        <v>0</v>
      </c>
      <c r="Z2">
        <f t="shared" ref="Z2:Z13" si="13">lVE</f>
        <v>0</v>
      </c>
      <c r="AA2">
        <f t="shared" ref="AA2:AA13" si="14">uVE</f>
        <v>0</v>
      </c>
      <c r="AB2">
        <f t="shared" ref="AB2:AB13" si="15">IF(D2&lt;mb,0,1)</f>
        <v>1</v>
      </c>
      <c r="AC2">
        <f t="shared" ref="AC2:AC13" si="16">ISc</f>
        <v>1</v>
      </c>
    </row>
    <row r="3" spans="1:29" x14ac:dyDescent="0.25">
      <c r="A3">
        <f t="shared" si="0"/>
        <v>0</v>
      </c>
      <c r="B3">
        <f t="shared" si="1"/>
        <v>0</v>
      </c>
      <c r="C3">
        <f t="shared" si="2"/>
        <v>0</v>
      </c>
      <c r="D3">
        <v>2</v>
      </c>
      <c r="E3" s="226">
        <f t="shared" si="3"/>
        <v>0</v>
      </c>
      <c r="F3" s="226">
        <f t="shared" si="4"/>
        <v>0</v>
      </c>
      <c r="G3" s="226">
        <f>IF(Scl=1,'3. Model'!D$18,0)</f>
        <v>0</v>
      </c>
      <c r="H3" s="226">
        <f>IF(Scl=1,'3. Model'!B$18,0)</f>
        <v>0</v>
      </c>
      <c r="I3" s="227">
        <f t="shared" ref="I3:I13" si="17">L3+K3</f>
        <v>0</v>
      </c>
      <c r="J3" s="226">
        <f t="shared" si="5"/>
        <v>0</v>
      </c>
      <c r="K3" s="226">
        <f>IF(Scl=2,'3. Model'!S$18,0)</f>
        <v>0</v>
      </c>
      <c r="L3" s="227">
        <f>IF(Scl=2,'3. Model'!Q$18,0)</f>
        <v>0</v>
      </c>
      <c r="M3" t="e">
        <f t="shared" si="6"/>
        <v>#DIV/0!</v>
      </c>
      <c r="N3">
        <f>IF(Scl=1,H_2,0)</f>
        <v>0</v>
      </c>
      <c r="O3">
        <f t="shared" si="7"/>
        <v>0</v>
      </c>
      <c r="P3">
        <f t="shared" ref="P3:P13" si="18">N3+O3</f>
        <v>0</v>
      </c>
      <c r="Q3">
        <f t="shared" si="8"/>
        <v>0</v>
      </c>
      <c r="R3">
        <f>IF(Scl=2,'3. Model'!Q7,0)</f>
        <v>0</v>
      </c>
      <c r="S3">
        <f t="shared" si="9"/>
        <v>0</v>
      </c>
      <c r="T3">
        <f t="shared" ref="T3:T13" si="19">R3+S3</f>
        <v>0</v>
      </c>
      <c r="U3">
        <f t="shared" si="10"/>
        <v>0</v>
      </c>
      <c r="V3" s="155">
        <f>Co_2</f>
        <v>0</v>
      </c>
      <c r="W3">
        <f t="shared" si="11"/>
        <v>0</v>
      </c>
      <c r="X3">
        <f>Input!B$29</f>
        <v>0</v>
      </c>
      <c r="Y3">
        <f t="shared" si="12"/>
        <v>0</v>
      </c>
      <c r="Z3">
        <f t="shared" si="13"/>
        <v>0</v>
      </c>
      <c r="AA3">
        <f t="shared" si="14"/>
        <v>0</v>
      </c>
      <c r="AB3">
        <f t="shared" si="15"/>
        <v>1</v>
      </c>
      <c r="AC3">
        <f t="shared" si="16"/>
        <v>1</v>
      </c>
    </row>
    <row r="4" spans="1:29" x14ac:dyDescent="0.25">
      <c r="A4">
        <f t="shared" si="0"/>
        <v>0</v>
      </c>
      <c r="B4">
        <f t="shared" si="1"/>
        <v>0</v>
      </c>
      <c r="C4">
        <f t="shared" si="2"/>
        <v>0</v>
      </c>
      <c r="D4">
        <v>3</v>
      </c>
      <c r="E4" s="226">
        <f t="shared" si="3"/>
        <v>0</v>
      </c>
      <c r="F4" s="226">
        <f t="shared" si="4"/>
        <v>0</v>
      </c>
      <c r="G4" s="226">
        <f>IF(Scl=1,'3. Model'!D$18,0)</f>
        <v>0</v>
      </c>
      <c r="H4" s="226">
        <f>IF(Scl=1,'3. Model'!B$18,0)</f>
        <v>0</v>
      </c>
      <c r="I4" s="227">
        <f t="shared" si="17"/>
        <v>0</v>
      </c>
      <c r="J4" s="226">
        <f t="shared" si="5"/>
        <v>0</v>
      </c>
      <c r="K4" s="226">
        <f>IF(Scl=2,'3. Model'!S$18,0)</f>
        <v>0</v>
      </c>
      <c r="L4" s="227">
        <f>IF(Scl=2,'3. Model'!Q$18,0)</f>
        <v>0</v>
      </c>
      <c r="M4" t="e">
        <f t="shared" si="6"/>
        <v>#DIV/0!</v>
      </c>
      <c r="N4">
        <f>IF(Scl=1,H_3,0)</f>
        <v>0</v>
      </c>
      <c r="O4">
        <f t="shared" si="7"/>
        <v>0</v>
      </c>
      <c r="P4">
        <f t="shared" si="18"/>
        <v>0</v>
      </c>
      <c r="Q4">
        <f t="shared" si="8"/>
        <v>0</v>
      </c>
      <c r="R4">
        <f>IF(Scl=2,'3. Model'!Q8,0)</f>
        <v>0</v>
      </c>
      <c r="S4">
        <f t="shared" si="9"/>
        <v>0</v>
      </c>
      <c r="T4">
        <f t="shared" si="19"/>
        <v>0</v>
      </c>
      <c r="U4">
        <f t="shared" si="10"/>
        <v>0</v>
      </c>
      <c r="V4" s="155">
        <f>Co_3</f>
        <v>0</v>
      </c>
      <c r="W4">
        <f t="shared" si="11"/>
        <v>0</v>
      </c>
      <c r="X4">
        <f>Input!B$29</f>
        <v>0</v>
      </c>
      <c r="Y4">
        <f t="shared" si="12"/>
        <v>0</v>
      </c>
      <c r="Z4">
        <f t="shared" si="13"/>
        <v>0</v>
      </c>
      <c r="AA4">
        <f t="shared" si="14"/>
        <v>0</v>
      </c>
      <c r="AB4">
        <f t="shared" si="15"/>
        <v>1</v>
      </c>
      <c r="AC4">
        <f t="shared" si="16"/>
        <v>1</v>
      </c>
    </row>
    <row r="5" spans="1:29" x14ac:dyDescent="0.25">
      <c r="A5">
        <f t="shared" si="0"/>
        <v>0</v>
      </c>
      <c r="B5">
        <f t="shared" si="1"/>
        <v>0</v>
      </c>
      <c r="C5">
        <f t="shared" si="2"/>
        <v>0</v>
      </c>
      <c r="D5">
        <v>4</v>
      </c>
      <c r="E5" s="226">
        <f t="shared" si="3"/>
        <v>0</v>
      </c>
      <c r="F5" s="226">
        <f t="shared" si="4"/>
        <v>0</v>
      </c>
      <c r="G5" s="226">
        <f>IF(Scl=1,'3. Model'!D$18,0)</f>
        <v>0</v>
      </c>
      <c r="H5" s="226">
        <f>IF(Scl=1,'3. Model'!B$18,0)</f>
        <v>0</v>
      </c>
      <c r="I5" s="227">
        <f t="shared" si="17"/>
        <v>0</v>
      </c>
      <c r="J5" s="226">
        <f t="shared" si="5"/>
        <v>0</v>
      </c>
      <c r="K5" s="226">
        <f>IF(Scl=2,'3. Model'!S$18,0)</f>
        <v>0</v>
      </c>
      <c r="L5" s="227">
        <f>IF(Scl=2,'3. Model'!Q$18,0)</f>
        <v>0</v>
      </c>
      <c r="M5" t="e">
        <f t="shared" si="6"/>
        <v>#DIV/0!</v>
      </c>
      <c r="N5">
        <f>IF(Scl=1,H_4,0)</f>
        <v>0</v>
      </c>
      <c r="O5">
        <f t="shared" si="7"/>
        <v>0</v>
      </c>
      <c r="P5">
        <f t="shared" si="18"/>
        <v>0</v>
      </c>
      <c r="Q5">
        <f t="shared" si="8"/>
        <v>0</v>
      </c>
      <c r="R5">
        <f>IF(Scl=2,'3. Model'!Q9,0)</f>
        <v>0</v>
      </c>
      <c r="S5">
        <f t="shared" si="9"/>
        <v>0</v>
      </c>
      <c r="T5">
        <f t="shared" si="19"/>
        <v>0</v>
      </c>
      <c r="U5">
        <f t="shared" si="10"/>
        <v>0</v>
      </c>
      <c r="V5" s="155">
        <f>Co_4</f>
        <v>0</v>
      </c>
      <c r="W5">
        <f t="shared" si="11"/>
        <v>0</v>
      </c>
      <c r="X5">
        <f>Input!B$29</f>
        <v>0</v>
      </c>
      <c r="Y5">
        <f t="shared" si="12"/>
        <v>0</v>
      </c>
      <c r="Z5">
        <f t="shared" si="13"/>
        <v>0</v>
      </c>
      <c r="AA5">
        <f t="shared" si="14"/>
        <v>0</v>
      </c>
      <c r="AB5">
        <f t="shared" si="15"/>
        <v>1</v>
      </c>
      <c r="AC5">
        <f t="shared" si="16"/>
        <v>1</v>
      </c>
    </row>
    <row r="6" spans="1:29" x14ac:dyDescent="0.25">
      <c r="A6">
        <f t="shared" si="0"/>
        <v>0</v>
      </c>
      <c r="B6">
        <f t="shared" si="1"/>
        <v>0</v>
      </c>
      <c r="C6">
        <f t="shared" si="2"/>
        <v>0</v>
      </c>
      <c r="D6">
        <v>5</v>
      </c>
      <c r="E6" s="226">
        <f t="shared" si="3"/>
        <v>0</v>
      </c>
      <c r="F6" s="226">
        <f t="shared" si="4"/>
        <v>0</v>
      </c>
      <c r="G6" s="226">
        <f>IF(Scl=1,'3. Model'!D$18,0)</f>
        <v>0</v>
      </c>
      <c r="H6" s="226">
        <f>IF(Scl=1,'3. Model'!B$18,0)</f>
        <v>0</v>
      </c>
      <c r="I6" s="227">
        <f t="shared" si="17"/>
        <v>0</v>
      </c>
      <c r="J6" s="226">
        <f t="shared" si="5"/>
        <v>0</v>
      </c>
      <c r="K6" s="226">
        <f>IF(Scl=2,'3. Model'!S$18,0)</f>
        <v>0</v>
      </c>
      <c r="L6" s="227">
        <f>IF(Scl=2,'3. Model'!Q$18,0)</f>
        <v>0</v>
      </c>
      <c r="M6" t="e">
        <f t="shared" si="6"/>
        <v>#DIV/0!</v>
      </c>
      <c r="N6">
        <f>IF(Scl=1,H_5,0)</f>
        <v>0</v>
      </c>
      <c r="O6">
        <f t="shared" si="7"/>
        <v>0</v>
      </c>
      <c r="P6">
        <f t="shared" si="18"/>
        <v>0</v>
      </c>
      <c r="Q6">
        <f t="shared" si="8"/>
        <v>0</v>
      </c>
      <c r="R6">
        <f>IF(Scl=2,'3. Model'!Q10,0)</f>
        <v>0</v>
      </c>
      <c r="S6">
        <f t="shared" si="9"/>
        <v>0</v>
      </c>
      <c r="T6">
        <f t="shared" si="19"/>
        <v>0</v>
      </c>
      <c r="U6">
        <f t="shared" si="10"/>
        <v>0</v>
      </c>
      <c r="V6" s="155">
        <f>Co_5</f>
        <v>0</v>
      </c>
      <c r="W6">
        <f t="shared" si="11"/>
        <v>0</v>
      </c>
      <c r="X6">
        <f>Input!B$29</f>
        <v>0</v>
      </c>
      <c r="Y6">
        <f t="shared" si="12"/>
        <v>0</v>
      </c>
      <c r="Z6">
        <f t="shared" si="13"/>
        <v>0</v>
      </c>
      <c r="AA6">
        <f t="shared" si="14"/>
        <v>0</v>
      </c>
      <c r="AB6">
        <f t="shared" si="15"/>
        <v>1</v>
      </c>
      <c r="AC6">
        <f t="shared" si="16"/>
        <v>1</v>
      </c>
    </row>
    <row r="7" spans="1:29" x14ac:dyDescent="0.25">
      <c r="A7">
        <f t="shared" si="0"/>
        <v>0</v>
      </c>
      <c r="B7">
        <f t="shared" si="1"/>
        <v>0</v>
      </c>
      <c r="C7">
        <f t="shared" si="2"/>
        <v>0</v>
      </c>
      <c r="D7">
        <v>6</v>
      </c>
      <c r="E7" s="226">
        <f t="shared" si="3"/>
        <v>0</v>
      </c>
      <c r="F7" s="226">
        <f t="shared" si="4"/>
        <v>0</v>
      </c>
      <c r="G7" s="226">
        <f>IF(Scl=1,'3. Model'!D$18,0)</f>
        <v>0</v>
      </c>
      <c r="H7" s="226">
        <f>IF(Scl=1,'3. Model'!B$18,0)</f>
        <v>0</v>
      </c>
      <c r="I7" s="227">
        <f t="shared" si="17"/>
        <v>0</v>
      </c>
      <c r="J7" s="226">
        <f t="shared" si="5"/>
        <v>0</v>
      </c>
      <c r="K7" s="226">
        <f>IF(Scl=2,'3. Model'!S$18,0)</f>
        <v>0</v>
      </c>
      <c r="L7" s="227">
        <f>IF(Scl=2,'3. Model'!Q$18,0)</f>
        <v>0</v>
      </c>
      <c r="M7" t="e">
        <f t="shared" si="6"/>
        <v>#DIV/0!</v>
      </c>
      <c r="N7">
        <f>IF(Scl=1,H_6,0)</f>
        <v>0</v>
      </c>
      <c r="O7">
        <f t="shared" si="7"/>
        <v>0</v>
      </c>
      <c r="P7">
        <f t="shared" si="18"/>
        <v>0</v>
      </c>
      <c r="Q7">
        <f t="shared" si="8"/>
        <v>0</v>
      </c>
      <c r="R7">
        <f>IF(Scl=2,'3. Model'!Q11,0)</f>
        <v>0</v>
      </c>
      <c r="S7">
        <f t="shared" si="9"/>
        <v>0</v>
      </c>
      <c r="T7">
        <f t="shared" si="19"/>
        <v>0</v>
      </c>
      <c r="U7">
        <f t="shared" si="10"/>
        <v>0</v>
      </c>
      <c r="V7" s="155">
        <f>Co_6</f>
        <v>0</v>
      </c>
      <c r="W7">
        <f t="shared" si="11"/>
        <v>0</v>
      </c>
      <c r="X7">
        <f>Input!B$29</f>
        <v>0</v>
      </c>
      <c r="Y7">
        <f t="shared" si="12"/>
        <v>0</v>
      </c>
      <c r="Z7">
        <f t="shared" si="13"/>
        <v>0</v>
      </c>
      <c r="AA7">
        <f t="shared" si="14"/>
        <v>0</v>
      </c>
      <c r="AB7">
        <f t="shared" si="15"/>
        <v>1</v>
      </c>
      <c r="AC7">
        <f t="shared" si="16"/>
        <v>1</v>
      </c>
    </row>
    <row r="8" spans="1:29" x14ac:dyDescent="0.25">
      <c r="A8">
        <f t="shared" si="0"/>
        <v>0</v>
      </c>
      <c r="B8">
        <f t="shared" si="1"/>
        <v>0</v>
      </c>
      <c r="C8">
        <f t="shared" si="2"/>
        <v>0</v>
      </c>
      <c r="D8">
        <v>7</v>
      </c>
      <c r="E8" s="226">
        <f t="shared" si="3"/>
        <v>0</v>
      </c>
      <c r="F8" s="226">
        <f t="shared" si="4"/>
        <v>0</v>
      </c>
      <c r="G8" s="226">
        <f>IF(Scl=1,'3. Model'!D$18,0)</f>
        <v>0</v>
      </c>
      <c r="H8" s="226">
        <f>IF(Scl=1,'3. Model'!B$18,0)</f>
        <v>0</v>
      </c>
      <c r="I8" s="227">
        <f t="shared" si="17"/>
        <v>0</v>
      </c>
      <c r="J8" s="226">
        <f t="shared" si="5"/>
        <v>0</v>
      </c>
      <c r="K8" s="226">
        <f>IF(Scl=2,'3. Model'!S$18,0)</f>
        <v>0</v>
      </c>
      <c r="L8" s="227">
        <f>IF(Scl=2,'3. Model'!Q$18,0)</f>
        <v>0</v>
      </c>
      <c r="M8" t="e">
        <f t="shared" si="6"/>
        <v>#DIV/0!</v>
      </c>
      <c r="N8">
        <f>IF(Scl=1,H_7,0)</f>
        <v>0</v>
      </c>
      <c r="O8">
        <f t="shared" si="7"/>
        <v>0</v>
      </c>
      <c r="P8">
        <f t="shared" si="18"/>
        <v>0</v>
      </c>
      <c r="Q8">
        <f t="shared" si="8"/>
        <v>0</v>
      </c>
      <c r="R8">
        <f>IF(Scl=2,'3. Model'!Q12,0)</f>
        <v>0</v>
      </c>
      <c r="S8">
        <f t="shared" si="9"/>
        <v>0</v>
      </c>
      <c r="T8">
        <f t="shared" si="19"/>
        <v>0</v>
      </c>
      <c r="U8">
        <f t="shared" si="10"/>
        <v>0</v>
      </c>
      <c r="V8" s="155">
        <f>Co_7</f>
        <v>0</v>
      </c>
      <c r="W8">
        <f t="shared" si="11"/>
        <v>0</v>
      </c>
      <c r="X8">
        <f>Input!B$29</f>
        <v>0</v>
      </c>
      <c r="Y8">
        <f t="shared" si="12"/>
        <v>0</v>
      </c>
      <c r="Z8">
        <f t="shared" si="13"/>
        <v>0</v>
      </c>
      <c r="AA8">
        <f t="shared" si="14"/>
        <v>0</v>
      </c>
      <c r="AB8">
        <f t="shared" si="15"/>
        <v>1</v>
      </c>
      <c r="AC8">
        <f t="shared" si="16"/>
        <v>1</v>
      </c>
    </row>
    <row r="9" spans="1:29" x14ac:dyDescent="0.25">
      <c r="A9">
        <f t="shared" si="0"/>
        <v>0</v>
      </c>
      <c r="B9">
        <f t="shared" si="1"/>
        <v>0</v>
      </c>
      <c r="C9">
        <f t="shared" si="2"/>
        <v>0</v>
      </c>
      <c r="D9">
        <v>8</v>
      </c>
      <c r="E9" s="226">
        <f t="shared" si="3"/>
        <v>0</v>
      </c>
      <c r="F9" s="226">
        <f t="shared" si="4"/>
        <v>0</v>
      </c>
      <c r="G9" s="226">
        <f>IF(Scl=1,'3. Model'!D$18,0)</f>
        <v>0</v>
      </c>
      <c r="H9" s="226">
        <f>IF(Scl=1,'3. Model'!B$18,0)</f>
        <v>0</v>
      </c>
      <c r="I9" s="227">
        <f t="shared" si="17"/>
        <v>0</v>
      </c>
      <c r="J9" s="226">
        <f t="shared" si="5"/>
        <v>0</v>
      </c>
      <c r="K9" s="226">
        <f>IF(Scl=2,'3. Model'!S$18,0)</f>
        <v>0</v>
      </c>
      <c r="L9" s="227">
        <f>IF(Scl=2,'3. Model'!Q$18,0)</f>
        <v>0</v>
      </c>
      <c r="M9" t="e">
        <f t="shared" si="6"/>
        <v>#DIV/0!</v>
      </c>
      <c r="N9">
        <f>IF(Scl=1,H_8,0)</f>
        <v>0</v>
      </c>
      <c r="O9">
        <f t="shared" si="7"/>
        <v>0</v>
      </c>
      <c r="P9">
        <f t="shared" si="18"/>
        <v>0</v>
      </c>
      <c r="Q9">
        <f t="shared" si="8"/>
        <v>0</v>
      </c>
      <c r="R9">
        <f>IF(Scl=2,'3. Model'!Q13,0)</f>
        <v>0</v>
      </c>
      <c r="S9">
        <f t="shared" si="9"/>
        <v>0</v>
      </c>
      <c r="T9">
        <f t="shared" si="19"/>
        <v>0</v>
      </c>
      <c r="U9">
        <f t="shared" si="10"/>
        <v>0</v>
      </c>
      <c r="V9" s="155">
        <f>Co_8</f>
        <v>0</v>
      </c>
      <c r="W9">
        <f t="shared" si="11"/>
        <v>0</v>
      </c>
      <c r="X9">
        <f>Input!B$29</f>
        <v>0</v>
      </c>
      <c r="Y9">
        <f t="shared" si="12"/>
        <v>0</v>
      </c>
      <c r="Z9">
        <f t="shared" si="13"/>
        <v>0</v>
      </c>
      <c r="AA9">
        <f t="shared" si="14"/>
        <v>0</v>
      </c>
      <c r="AB9">
        <f t="shared" si="15"/>
        <v>1</v>
      </c>
      <c r="AC9">
        <f t="shared" si="16"/>
        <v>1</v>
      </c>
    </row>
    <row r="10" spans="1:29" x14ac:dyDescent="0.25">
      <c r="A10">
        <f t="shared" si="0"/>
        <v>0</v>
      </c>
      <c r="B10">
        <f t="shared" si="1"/>
        <v>0</v>
      </c>
      <c r="C10">
        <f t="shared" si="2"/>
        <v>0</v>
      </c>
      <c r="D10">
        <v>9</v>
      </c>
      <c r="E10" s="226">
        <f t="shared" si="3"/>
        <v>0</v>
      </c>
      <c r="F10" s="226">
        <f t="shared" si="4"/>
        <v>0</v>
      </c>
      <c r="G10" s="226">
        <f>IF(Scl=1,'3. Model'!D$18,0)</f>
        <v>0</v>
      </c>
      <c r="H10" s="226">
        <f>IF(Scl=1,'3. Model'!B$18,0)</f>
        <v>0</v>
      </c>
      <c r="I10" s="227">
        <f t="shared" si="17"/>
        <v>0</v>
      </c>
      <c r="J10" s="226">
        <f t="shared" si="5"/>
        <v>0</v>
      </c>
      <c r="K10" s="226">
        <f>IF(Scl=2,'3. Model'!S$18,0)</f>
        <v>0</v>
      </c>
      <c r="L10" s="227">
        <f>IF(Scl=2,'3. Model'!Q$18,0)</f>
        <v>0</v>
      </c>
      <c r="M10" t="e">
        <f t="shared" si="6"/>
        <v>#DIV/0!</v>
      </c>
      <c r="N10">
        <f>IF(Scl=1,H_9,0)</f>
        <v>0</v>
      </c>
      <c r="O10">
        <f t="shared" si="7"/>
        <v>0</v>
      </c>
      <c r="P10">
        <f t="shared" si="18"/>
        <v>0</v>
      </c>
      <c r="Q10">
        <f t="shared" si="8"/>
        <v>0</v>
      </c>
      <c r="R10">
        <f>IF(Scl=2,'3. Model'!Q14,0)</f>
        <v>0</v>
      </c>
      <c r="S10">
        <f t="shared" si="9"/>
        <v>0</v>
      </c>
      <c r="T10">
        <f t="shared" si="19"/>
        <v>0</v>
      </c>
      <c r="U10">
        <f t="shared" si="10"/>
        <v>0</v>
      </c>
      <c r="V10" s="155">
        <f>Co_9</f>
        <v>0</v>
      </c>
      <c r="W10">
        <f t="shared" si="11"/>
        <v>0</v>
      </c>
      <c r="X10">
        <f>Input!B$29</f>
        <v>0</v>
      </c>
      <c r="Y10">
        <f t="shared" si="12"/>
        <v>0</v>
      </c>
      <c r="Z10">
        <f t="shared" si="13"/>
        <v>0</v>
      </c>
      <c r="AA10">
        <f t="shared" si="14"/>
        <v>0</v>
      </c>
      <c r="AB10">
        <f t="shared" si="15"/>
        <v>1</v>
      </c>
      <c r="AC10">
        <f t="shared" si="16"/>
        <v>1</v>
      </c>
    </row>
    <row r="11" spans="1:29" x14ac:dyDescent="0.25">
      <c r="A11">
        <f t="shared" si="0"/>
        <v>0</v>
      </c>
      <c r="B11">
        <f t="shared" si="1"/>
        <v>0</v>
      </c>
      <c r="C11">
        <f t="shared" si="2"/>
        <v>0</v>
      </c>
      <c r="D11">
        <v>10</v>
      </c>
      <c r="E11" s="226">
        <f t="shared" si="3"/>
        <v>0</v>
      </c>
      <c r="F11" s="226">
        <f t="shared" si="4"/>
        <v>0</v>
      </c>
      <c r="G11" s="226">
        <f>IF(Scl=1,'3. Model'!D$18,0)</f>
        <v>0</v>
      </c>
      <c r="H11" s="226">
        <f>IF(Scl=1,'3. Model'!B$18,0)</f>
        <v>0</v>
      </c>
      <c r="I11" s="227">
        <f t="shared" si="17"/>
        <v>0</v>
      </c>
      <c r="J11" s="226">
        <f t="shared" si="5"/>
        <v>0</v>
      </c>
      <c r="K11" s="226">
        <f>IF(Scl=2,'3. Model'!S$18,0)</f>
        <v>0</v>
      </c>
      <c r="L11" s="227">
        <f>IF(Scl=2,'3. Model'!Q$18,0)</f>
        <v>0</v>
      </c>
      <c r="M11" t="e">
        <f t="shared" si="6"/>
        <v>#DIV/0!</v>
      </c>
      <c r="N11">
        <f>IF(Scl=1,H_10,0)</f>
        <v>0</v>
      </c>
      <c r="O11">
        <f t="shared" si="7"/>
        <v>0</v>
      </c>
      <c r="P11">
        <f t="shared" si="18"/>
        <v>0</v>
      </c>
      <c r="Q11">
        <f t="shared" si="8"/>
        <v>0</v>
      </c>
      <c r="R11">
        <f>IF(Scl=2,'3. Model'!Q15,0)</f>
        <v>0</v>
      </c>
      <c r="S11">
        <f t="shared" si="9"/>
        <v>0</v>
      </c>
      <c r="T11">
        <f t="shared" si="19"/>
        <v>0</v>
      </c>
      <c r="U11">
        <f t="shared" si="10"/>
        <v>0</v>
      </c>
      <c r="V11" s="155">
        <f>Co_10</f>
        <v>0</v>
      </c>
      <c r="W11">
        <f t="shared" si="11"/>
        <v>0</v>
      </c>
      <c r="X11">
        <f>Input!B$29</f>
        <v>0</v>
      </c>
      <c r="Y11">
        <f t="shared" si="12"/>
        <v>0</v>
      </c>
      <c r="Z11">
        <f t="shared" si="13"/>
        <v>0</v>
      </c>
      <c r="AA11">
        <f t="shared" si="14"/>
        <v>0</v>
      </c>
      <c r="AB11">
        <f t="shared" si="15"/>
        <v>1</v>
      </c>
      <c r="AC11">
        <f t="shared" si="16"/>
        <v>1</v>
      </c>
    </row>
    <row r="12" spans="1:29" x14ac:dyDescent="0.25">
      <c r="A12">
        <f t="shared" si="0"/>
        <v>0</v>
      </c>
      <c r="B12">
        <f t="shared" si="1"/>
        <v>0</v>
      </c>
      <c r="C12">
        <f t="shared" si="2"/>
        <v>0</v>
      </c>
      <c r="D12">
        <v>11</v>
      </c>
      <c r="E12" s="226">
        <f t="shared" si="3"/>
        <v>0</v>
      </c>
      <c r="F12" s="226">
        <f t="shared" si="4"/>
        <v>0</v>
      </c>
      <c r="G12" s="226">
        <f>IF(Scl=1,'3. Model'!D$18,0)</f>
        <v>0</v>
      </c>
      <c r="H12" s="226">
        <f>IF(Scl=1,'3. Model'!B$18,0)</f>
        <v>0</v>
      </c>
      <c r="I12" s="227">
        <f t="shared" si="17"/>
        <v>0</v>
      </c>
      <c r="J12" s="226">
        <f t="shared" si="5"/>
        <v>0</v>
      </c>
      <c r="K12" s="226">
        <f>IF(Scl=2,'3. Model'!S$18,0)</f>
        <v>0</v>
      </c>
      <c r="L12" s="227">
        <f>IF(Scl=2,'3. Model'!Q$18,0)</f>
        <v>0</v>
      </c>
      <c r="M12" t="e">
        <f t="shared" si="6"/>
        <v>#DIV/0!</v>
      </c>
      <c r="N12">
        <f>IF(Scl=1,H_11,0)</f>
        <v>0</v>
      </c>
      <c r="O12">
        <f t="shared" si="7"/>
        <v>0</v>
      </c>
      <c r="P12">
        <f t="shared" si="18"/>
        <v>0</v>
      </c>
      <c r="Q12">
        <f t="shared" si="8"/>
        <v>0</v>
      </c>
      <c r="R12">
        <f>IF(Scl=2,'3. Model'!Q16,0)</f>
        <v>0</v>
      </c>
      <c r="S12">
        <f t="shared" si="9"/>
        <v>0</v>
      </c>
      <c r="T12">
        <f t="shared" si="19"/>
        <v>0</v>
      </c>
      <c r="U12">
        <f t="shared" si="10"/>
        <v>0</v>
      </c>
      <c r="V12" s="155">
        <f>Co_11</f>
        <v>0</v>
      </c>
      <c r="W12">
        <f t="shared" si="11"/>
        <v>0</v>
      </c>
      <c r="X12">
        <f>Input!B$29</f>
        <v>0</v>
      </c>
      <c r="Y12">
        <f t="shared" si="12"/>
        <v>0</v>
      </c>
      <c r="Z12">
        <f t="shared" si="13"/>
        <v>0</v>
      </c>
      <c r="AA12">
        <f t="shared" si="14"/>
        <v>0</v>
      </c>
      <c r="AB12">
        <f t="shared" si="15"/>
        <v>1</v>
      </c>
      <c r="AC12">
        <f t="shared" si="16"/>
        <v>1</v>
      </c>
    </row>
    <row r="13" spans="1:29" x14ac:dyDescent="0.25">
      <c r="A13">
        <f t="shared" si="0"/>
        <v>0</v>
      </c>
      <c r="B13">
        <f t="shared" si="1"/>
        <v>0</v>
      </c>
      <c r="C13">
        <f t="shared" si="2"/>
        <v>0</v>
      </c>
      <c r="D13">
        <v>12</v>
      </c>
      <c r="E13" s="226">
        <f t="shared" si="3"/>
        <v>0</v>
      </c>
      <c r="F13" s="226">
        <f t="shared" si="4"/>
        <v>0</v>
      </c>
      <c r="G13" s="226">
        <f>IF(Scl=1,'3. Model'!D$18,0)</f>
        <v>0</v>
      </c>
      <c r="H13" s="226">
        <f>IF(Scl=1,'3. Model'!B$18,0)</f>
        <v>0</v>
      </c>
      <c r="I13" s="227">
        <f t="shared" si="17"/>
        <v>0</v>
      </c>
      <c r="J13" s="226">
        <f t="shared" si="5"/>
        <v>0</v>
      </c>
      <c r="K13" s="226">
        <f>IF(Scl=2,'3. Model'!S$18,0)</f>
        <v>0</v>
      </c>
      <c r="L13" s="227">
        <f>IF(Scl=2,'3. Model'!Q$18,0)</f>
        <v>0</v>
      </c>
      <c r="M13" t="e">
        <f t="shared" si="6"/>
        <v>#DIV/0!</v>
      </c>
      <c r="N13">
        <f>IF(Scl=1,H_12,0)</f>
        <v>0</v>
      </c>
      <c r="O13">
        <f t="shared" si="7"/>
        <v>0</v>
      </c>
      <c r="P13">
        <f t="shared" si="18"/>
        <v>0</v>
      </c>
      <c r="Q13">
        <f t="shared" si="8"/>
        <v>0</v>
      </c>
      <c r="R13">
        <f>IF(Scl=2,'3. Model'!Q17,0)</f>
        <v>0</v>
      </c>
      <c r="S13">
        <f t="shared" si="9"/>
        <v>0</v>
      </c>
      <c r="T13">
        <f t="shared" si="19"/>
        <v>0</v>
      </c>
      <c r="U13">
        <f t="shared" si="10"/>
        <v>0</v>
      </c>
      <c r="V13" s="155">
        <f>Co_12</f>
        <v>0</v>
      </c>
      <c r="W13">
        <f t="shared" si="11"/>
        <v>0</v>
      </c>
      <c r="X13">
        <f>Input!B$29</f>
        <v>0</v>
      </c>
      <c r="Y13">
        <f t="shared" si="12"/>
        <v>0</v>
      </c>
      <c r="Z13">
        <f t="shared" si="13"/>
        <v>0</v>
      </c>
      <c r="AA13">
        <f t="shared" si="14"/>
        <v>0</v>
      </c>
      <c r="AB13">
        <f t="shared" si="15"/>
        <v>1</v>
      </c>
      <c r="AC13">
        <f t="shared" si="16"/>
        <v>1</v>
      </c>
    </row>
    <row r="19" spans="6:6" x14ac:dyDescent="0.25">
      <c r="F19" s="31"/>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7AD324F85F2D44AE779E5B6BF78FB9" ma:contentTypeVersion="20" ma:contentTypeDescription="Create a new document." ma:contentTypeScope="" ma:versionID="d985c2040f4e898dc6d1b70b4a680dd9">
  <xsd:schema xmlns:xsd="http://www.w3.org/2001/XMLSchema" xmlns:xs="http://www.w3.org/2001/XMLSchema" xmlns:p="http://schemas.microsoft.com/office/2006/metadata/properties" xmlns:ns2="a1f80ca0-74e9-4cda-a180-13d69e00a2e2" xmlns:ns3="fb1b092c-f321-4dde-8e1c-5d51d956476e" targetNamespace="http://schemas.microsoft.com/office/2006/metadata/properties" ma:root="true" ma:fieldsID="29fd8715374f9ef6a9bb259f0f2b5990" ns2:_="" ns3:_="">
    <xsd:import namespace="a1f80ca0-74e9-4cda-a180-13d69e00a2e2"/>
    <xsd:import namespace="fb1b092c-f321-4dde-8e1c-5d51d956476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Comment"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f80ca0-74e9-4cda-a180-13d69e00a2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element name="Comment" ma:index="24" nillable="true" ma:displayName="Comment " ma:format="Dropdown" ma:internalName="Comment">
      <xsd:simpleType>
        <xsd:restriction base="dms:Note">
          <xsd:maxLength value="255"/>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1b092c-f321-4dde-8e1c-5d51d956476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3b2b3b9-5ff5-41e6-99ab-e9c063d5b753}" ma:internalName="TaxCatchAll" ma:showField="CatchAllData" ma:web="fb1b092c-f321-4dde-8e1c-5d51d95647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b1b092c-f321-4dde-8e1c-5d51d956476e" xsi:nil="true"/>
    <lcf76f155ced4ddcb4097134ff3c332f xmlns="a1f80ca0-74e9-4cda-a180-13d69e00a2e2">
      <Terms xmlns="http://schemas.microsoft.com/office/infopath/2007/PartnerControls"/>
    </lcf76f155ced4ddcb4097134ff3c332f>
    <Notes xmlns="a1f80ca0-74e9-4cda-a180-13d69e00a2e2" xsi:nil="true"/>
    <Comment xmlns="a1f80ca0-74e9-4cda-a180-13d69e00a2e2" xsi:nil="true"/>
  </documentManagement>
</p:properties>
</file>

<file path=customXml/itemProps1.xml><?xml version="1.0" encoding="utf-8"?>
<ds:datastoreItem xmlns:ds="http://schemas.openxmlformats.org/officeDocument/2006/customXml" ds:itemID="{0702A343-85BD-452B-97E6-109AF11799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f80ca0-74e9-4cda-a180-13d69e00a2e2"/>
    <ds:schemaRef ds:uri="fb1b092c-f321-4dde-8e1c-5d51d95647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7A1AF3-6339-40FF-89D8-00537EE47C1E}">
  <ds:schemaRefs>
    <ds:schemaRef ds:uri="http://schemas.microsoft.com/sharepoint/v3/contenttype/forms"/>
  </ds:schemaRefs>
</ds:datastoreItem>
</file>

<file path=customXml/itemProps3.xml><?xml version="1.0" encoding="utf-8"?>
<ds:datastoreItem xmlns:ds="http://schemas.openxmlformats.org/officeDocument/2006/customXml" ds:itemID="{6E2E145E-1423-4DCB-AB05-F0088EB55816}">
  <ds:schemaRefs>
    <ds:schemaRef ds:uri="http://schemas.microsoft.com/office/infopath/2007/PartnerControls"/>
    <ds:schemaRef ds:uri="5b41dec5-6559-4e75-914b-0d5f75d337a7"/>
    <ds:schemaRef ds:uri="http://purl.org/dc/elements/1.1/"/>
    <ds:schemaRef ds:uri="http://schemas.microsoft.com/office/2006/metadata/properties"/>
    <ds:schemaRef ds:uri="5ee4372a-4899-4117-80cd-7155e692473e"/>
    <ds:schemaRef ds:uri="http://schemas.microsoft.com/office/2006/documentManagement/types"/>
    <ds:schemaRef ds:uri="http://schemas.openxmlformats.org/package/2006/metadata/core-properties"/>
    <ds:schemaRef ds:uri="http://purl.org/dc/dcmitype/"/>
    <ds:schemaRef ds:uri="http://www.w3.org/XML/1998/namespace"/>
    <ds:schemaRef ds:uri="http://purl.org/dc/terms/"/>
    <ds:schemaRef ds:uri="7e45b331-e9c2-48de-b307-1d728fcc5de8"/>
    <ds:schemaRef ds:uri="0bad6899-3f1d-43f2-b16a-ec30e4f34e89"/>
    <ds:schemaRef ds:uri="fb1b092c-f321-4dde-8e1c-5d51d956476e"/>
    <ds:schemaRef ds:uri="a1f80ca0-74e9-4cda-a180-13d69e00a2e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242</vt:i4>
      </vt:variant>
    </vt:vector>
  </HeadingPairs>
  <TitlesOfParts>
    <vt:vector size="253" baseType="lpstr">
      <vt:lpstr>1. Instructions</vt:lpstr>
      <vt:lpstr>Input</vt:lpstr>
      <vt:lpstr>Results</vt:lpstr>
      <vt:lpstr>Scenarios</vt:lpstr>
      <vt:lpstr>R_import</vt:lpstr>
      <vt:lpstr>3. Model</vt:lpstr>
      <vt:lpstr>3.1. Current vaccine model</vt:lpstr>
      <vt:lpstr>3.2 Hypothetical vaccine model</vt:lpstr>
      <vt:lpstr>R_export</vt:lpstr>
      <vt:lpstr>uncertainty</vt:lpstr>
      <vt:lpstr>scenarios est</vt:lpstr>
      <vt:lpstr>Cd_1</vt:lpstr>
      <vt:lpstr>Cd_10</vt:lpstr>
      <vt:lpstr>Cd_11</vt:lpstr>
      <vt:lpstr>Cd_12</vt:lpstr>
      <vt:lpstr>Cd_2</vt:lpstr>
      <vt:lpstr>Cd_3</vt:lpstr>
      <vt:lpstr>Cd_4</vt:lpstr>
      <vt:lpstr>Cd_5</vt:lpstr>
      <vt:lpstr>Cd_6</vt:lpstr>
      <vt:lpstr>Cd_7</vt:lpstr>
      <vt:lpstr>Cd_8</vt:lpstr>
      <vt:lpstr>Cd_9</vt:lpstr>
      <vt:lpstr>Co_1</vt:lpstr>
      <vt:lpstr>Co_10</vt:lpstr>
      <vt:lpstr>Co_11</vt:lpstr>
      <vt:lpstr>Co_12</vt:lpstr>
      <vt:lpstr>Co_2</vt:lpstr>
      <vt:lpstr>Co_3</vt:lpstr>
      <vt:lpstr>Co_4</vt:lpstr>
      <vt:lpstr>Co_5</vt:lpstr>
      <vt:lpstr>Co_6</vt:lpstr>
      <vt:lpstr>Co_7</vt:lpstr>
      <vt:lpstr>Co_8</vt:lpstr>
      <vt:lpstr>Co_9</vt:lpstr>
      <vt:lpstr>H_1</vt:lpstr>
      <vt:lpstr>H_10</vt:lpstr>
      <vt:lpstr>H_11</vt:lpstr>
      <vt:lpstr>H_12</vt:lpstr>
      <vt:lpstr>H_2</vt:lpstr>
      <vt:lpstr>H_3</vt:lpstr>
      <vt:lpstr>H_4</vt:lpstr>
      <vt:lpstr>H_5</vt:lpstr>
      <vt:lpstr>H_6</vt:lpstr>
      <vt:lpstr>H_7</vt:lpstr>
      <vt:lpstr>H_8</vt:lpstr>
      <vt:lpstr>H_9</vt:lpstr>
      <vt:lpstr>hnh</vt:lpstr>
      <vt:lpstr>ISc</vt:lpstr>
      <vt:lpstr>lCo_1</vt:lpstr>
      <vt:lpstr>lCo_10</vt:lpstr>
      <vt:lpstr>lCo_11</vt:lpstr>
      <vt:lpstr>lCo_12</vt:lpstr>
      <vt:lpstr>lCo_2</vt:lpstr>
      <vt:lpstr>lCo_3</vt:lpstr>
      <vt:lpstr>lCo_4</vt:lpstr>
      <vt:lpstr>lCo_5</vt:lpstr>
      <vt:lpstr>lCo_6</vt:lpstr>
      <vt:lpstr>lCo_7</vt:lpstr>
      <vt:lpstr>lCo_8</vt:lpstr>
      <vt:lpstr>lCo_9</vt:lpstr>
      <vt:lpstr>lH_1</vt:lpstr>
      <vt:lpstr>lH_10</vt:lpstr>
      <vt:lpstr>lH_11</vt:lpstr>
      <vt:lpstr>lH_12</vt:lpstr>
      <vt:lpstr>lH_2</vt:lpstr>
      <vt:lpstr>lH_3</vt:lpstr>
      <vt:lpstr>lH_4</vt:lpstr>
      <vt:lpstr>lH_5</vt:lpstr>
      <vt:lpstr>lH_6</vt:lpstr>
      <vt:lpstr>lH_7</vt:lpstr>
      <vt:lpstr>lH_8</vt:lpstr>
      <vt:lpstr>lH_9</vt:lpstr>
      <vt:lpstr>lhnh</vt:lpstr>
      <vt:lpstr>lVE</vt:lpstr>
      <vt:lpstr>mai</vt:lpstr>
      <vt:lpstr>mb</vt:lpstr>
      <vt:lpstr>'3.1. Current vaccine model'!nh1_1</vt:lpstr>
      <vt:lpstr>'3.2 Hypothetical vaccine model'!nh1_1</vt:lpstr>
      <vt:lpstr>nh1_1</vt:lpstr>
      <vt:lpstr>'3.1. Current vaccine model'!nh1_10</vt:lpstr>
      <vt:lpstr>'3.2 Hypothetical vaccine model'!nh1_10</vt:lpstr>
      <vt:lpstr>nh1_10</vt:lpstr>
      <vt:lpstr>'3.1. Current vaccine model'!nh1_11</vt:lpstr>
      <vt:lpstr>'3.2 Hypothetical vaccine model'!nh1_11</vt:lpstr>
      <vt:lpstr>nh1_11</vt:lpstr>
      <vt:lpstr>'3.1. Current vaccine model'!nh1_12</vt:lpstr>
      <vt:lpstr>'3.2 Hypothetical vaccine model'!nh1_12</vt:lpstr>
      <vt:lpstr>nh1_12</vt:lpstr>
      <vt:lpstr>'3.1. Current vaccine model'!nh1_2</vt:lpstr>
      <vt:lpstr>'3.2 Hypothetical vaccine model'!nh1_2</vt:lpstr>
      <vt:lpstr>nh1_2</vt:lpstr>
      <vt:lpstr>'3.1. Current vaccine model'!nh1_3</vt:lpstr>
      <vt:lpstr>'3.2 Hypothetical vaccine model'!nh1_3</vt:lpstr>
      <vt:lpstr>nh1_3</vt:lpstr>
      <vt:lpstr>'3.1. Current vaccine model'!nh1_4</vt:lpstr>
      <vt:lpstr>'3.2 Hypothetical vaccine model'!nh1_4</vt:lpstr>
      <vt:lpstr>nh1_4</vt:lpstr>
      <vt:lpstr>'3.1. Current vaccine model'!nh1_5</vt:lpstr>
      <vt:lpstr>'3.2 Hypothetical vaccine model'!nh1_5</vt:lpstr>
      <vt:lpstr>nh1_5</vt:lpstr>
      <vt:lpstr>'3.1. Current vaccine model'!nh1_6</vt:lpstr>
      <vt:lpstr>'3.2 Hypothetical vaccine model'!nh1_6</vt:lpstr>
      <vt:lpstr>nh1_6</vt:lpstr>
      <vt:lpstr>'3.1. Current vaccine model'!nh1_7</vt:lpstr>
      <vt:lpstr>'3.2 Hypothetical vaccine model'!nh1_7</vt:lpstr>
      <vt:lpstr>nh1_7</vt:lpstr>
      <vt:lpstr>'3.1. Current vaccine model'!nh1_8</vt:lpstr>
      <vt:lpstr>'3.2 Hypothetical vaccine model'!nh1_8</vt:lpstr>
      <vt:lpstr>nh1_8</vt:lpstr>
      <vt:lpstr>'3.1. Current vaccine model'!nh1_9</vt:lpstr>
      <vt:lpstr>'3.2 Hypothetical vaccine model'!nh1_9</vt:lpstr>
      <vt:lpstr>nh1_9</vt:lpstr>
      <vt:lpstr>Rhnh</vt:lpstr>
      <vt:lpstr>ScI</vt:lpstr>
      <vt:lpstr>Scl</vt:lpstr>
      <vt:lpstr>sCo_1</vt:lpstr>
      <vt:lpstr>sCo_2</vt:lpstr>
      <vt:lpstr>sCo_3</vt:lpstr>
      <vt:lpstr>sCo_4</vt:lpstr>
      <vt:lpstr>sCo1_1</vt:lpstr>
      <vt:lpstr>sCo1_10</vt:lpstr>
      <vt:lpstr>sCo1_11</vt:lpstr>
      <vt:lpstr>sCo1_12</vt:lpstr>
      <vt:lpstr>sCo1_2</vt:lpstr>
      <vt:lpstr>sCo1_3</vt:lpstr>
      <vt:lpstr>sCo1_4</vt:lpstr>
      <vt:lpstr>sCo1_5</vt:lpstr>
      <vt:lpstr>sCo1_6</vt:lpstr>
      <vt:lpstr>sCo1_7</vt:lpstr>
      <vt:lpstr>sCo1_8</vt:lpstr>
      <vt:lpstr>sCo1_9</vt:lpstr>
      <vt:lpstr>sCo2_1</vt:lpstr>
      <vt:lpstr>sCo2_10</vt:lpstr>
      <vt:lpstr>sCo2_11</vt:lpstr>
      <vt:lpstr>sCo2_12</vt:lpstr>
      <vt:lpstr>sCo2_2</vt:lpstr>
      <vt:lpstr>sCo2_3</vt:lpstr>
      <vt:lpstr>sCo2_4</vt:lpstr>
      <vt:lpstr>sCo2_5</vt:lpstr>
      <vt:lpstr>sCo2_6</vt:lpstr>
      <vt:lpstr>sCo2_7</vt:lpstr>
      <vt:lpstr>sCo2_8</vt:lpstr>
      <vt:lpstr>sCo2_9</vt:lpstr>
      <vt:lpstr>sCo3_1</vt:lpstr>
      <vt:lpstr>sCo3_10</vt:lpstr>
      <vt:lpstr>sCo3_11</vt:lpstr>
      <vt:lpstr>sCo3_12</vt:lpstr>
      <vt:lpstr>sCo3_2</vt:lpstr>
      <vt:lpstr>sCo3_3</vt:lpstr>
      <vt:lpstr>sCo3_4</vt:lpstr>
      <vt:lpstr>sCo3_5</vt:lpstr>
      <vt:lpstr>sCo3_6</vt:lpstr>
      <vt:lpstr>sCo3_7</vt:lpstr>
      <vt:lpstr>sCo3_8</vt:lpstr>
      <vt:lpstr>sCo3_9</vt:lpstr>
      <vt:lpstr>sCo4_1</vt:lpstr>
      <vt:lpstr>sCo4_10</vt:lpstr>
      <vt:lpstr>sCo4_11</vt:lpstr>
      <vt:lpstr>sCo4_12</vt:lpstr>
      <vt:lpstr>sCo4_2</vt:lpstr>
      <vt:lpstr>sCo4_3</vt:lpstr>
      <vt:lpstr>sCo4_4</vt:lpstr>
      <vt:lpstr>sCo4_5</vt:lpstr>
      <vt:lpstr>sCo4_6</vt:lpstr>
      <vt:lpstr>sCo4_7</vt:lpstr>
      <vt:lpstr>sCo4_8</vt:lpstr>
      <vt:lpstr>sCo4_9</vt:lpstr>
      <vt:lpstr>season</vt:lpstr>
      <vt:lpstr>SI</vt:lpstr>
      <vt:lpstr>tCo1_1</vt:lpstr>
      <vt:lpstr>tCo1_10</vt:lpstr>
      <vt:lpstr>tCo1_11</vt:lpstr>
      <vt:lpstr>tCo1_12</vt:lpstr>
      <vt:lpstr>tCo1_2</vt:lpstr>
      <vt:lpstr>tCo1_3</vt:lpstr>
      <vt:lpstr>tCo1_4</vt:lpstr>
      <vt:lpstr>tCo1_5</vt:lpstr>
      <vt:lpstr>tCo1_6</vt:lpstr>
      <vt:lpstr>tCo1_7</vt:lpstr>
      <vt:lpstr>tCo1_8</vt:lpstr>
      <vt:lpstr>tCo1_9</vt:lpstr>
      <vt:lpstr>tCo2_1</vt:lpstr>
      <vt:lpstr>tCo2_10</vt:lpstr>
      <vt:lpstr>tCo2_11</vt:lpstr>
      <vt:lpstr>tCo2_12</vt:lpstr>
      <vt:lpstr>tCo2_2</vt:lpstr>
      <vt:lpstr>tCo2_3</vt:lpstr>
      <vt:lpstr>tCo2_4</vt:lpstr>
      <vt:lpstr>tCo2_5</vt:lpstr>
      <vt:lpstr>tCo2_6</vt:lpstr>
      <vt:lpstr>tCo2_7</vt:lpstr>
      <vt:lpstr>tCo2_8</vt:lpstr>
      <vt:lpstr>tCo2_9</vt:lpstr>
      <vt:lpstr>tCo3_1</vt:lpstr>
      <vt:lpstr>tCo3_10</vt:lpstr>
      <vt:lpstr>tCo3_11</vt:lpstr>
      <vt:lpstr>tCo3_12</vt:lpstr>
      <vt:lpstr>tCo3_2</vt:lpstr>
      <vt:lpstr>tCo3_3</vt:lpstr>
      <vt:lpstr>tCo3_4</vt:lpstr>
      <vt:lpstr>tCo3_5</vt:lpstr>
      <vt:lpstr>tCo3_6</vt:lpstr>
      <vt:lpstr>tCo3_7</vt:lpstr>
      <vt:lpstr>tCo3_8</vt:lpstr>
      <vt:lpstr>tCo3_9</vt:lpstr>
      <vt:lpstr>tCo4_1</vt:lpstr>
      <vt:lpstr>tCo4_10</vt:lpstr>
      <vt:lpstr>tCo4_11</vt:lpstr>
      <vt:lpstr>tCo4_12</vt:lpstr>
      <vt:lpstr>tCo4_2</vt:lpstr>
      <vt:lpstr>tCo4_3</vt:lpstr>
      <vt:lpstr>tCo4_4</vt:lpstr>
      <vt:lpstr>tCo4_5</vt:lpstr>
      <vt:lpstr>tCo4_6</vt:lpstr>
      <vt:lpstr>tCo4_7</vt:lpstr>
      <vt:lpstr>tCo4_8</vt:lpstr>
      <vt:lpstr>tCo4_9</vt:lpstr>
      <vt:lpstr>TCv</vt:lpstr>
      <vt:lpstr>TCv_1</vt:lpstr>
      <vt:lpstr>TCv_2</vt:lpstr>
      <vt:lpstr>TCv_3</vt:lpstr>
      <vt:lpstr>TCv_4</vt:lpstr>
      <vt:lpstr>TG</vt:lpstr>
      <vt:lpstr>TP</vt:lpstr>
      <vt:lpstr>uCo_1</vt:lpstr>
      <vt:lpstr>uCo_10</vt:lpstr>
      <vt:lpstr>uCo_11</vt:lpstr>
      <vt:lpstr>uCo_12</vt:lpstr>
      <vt:lpstr>uCo_2</vt:lpstr>
      <vt:lpstr>uCo_3</vt:lpstr>
      <vt:lpstr>uCo_4</vt:lpstr>
      <vt:lpstr>uCo_5</vt:lpstr>
      <vt:lpstr>uCo_6</vt:lpstr>
      <vt:lpstr>uCo_7</vt:lpstr>
      <vt:lpstr>uCo_8</vt:lpstr>
      <vt:lpstr>uCo_9</vt:lpstr>
      <vt:lpstr>uH_1</vt:lpstr>
      <vt:lpstr>uH_10</vt:lpstr>
      <vt:lpstr>uH_11</vt:lpstr>
      <vt:lpstr>uH_12</vt:lpstr>
      <vt:lpstr>uH_2</vt:lpstr>
      <vt:lpstr>uH_3</vt:lpstr>
      <vt:lpstr>uH_4</vt:lpstr>
      <vt:lpstr>uH_5</vt:lpstr>
      <vt:lpstr>uH_6</vt:lpstr>
      <vt:lpstr>uH_7</vt:lpstr>
      <vt:lpstr>uH_8</vt:lpstr>
      <vt:lpstr>uH_9</vt:lpstr>
      <vt:lpstr>uhnh</vt:lpstr>
      <vt:lpstr>uVE</vt:lpstr>
      <vt:lpstr>VE</vt:lpstr>
      <vt:lpstr>way</vt:lpstr>
    </vt:vector>
  </TitlesOfParts>
  <Company>Emory RSPH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Hamid, Sarah</dc:creator>
  <cp:lastModifiedBy>COZZA, Vanessa</cp:lastModifiedBy>
  <dcterms:created xsi:type="dcterms:W3CDTF">2021-12-01T01:08:51Z</dcterms:created>
  <dcterms:modified xsi:type="dcterms:W3CDTF">2025-10-01T15:52:35Z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0x010100017AD324F85F2D44AE779E5B6BF78FB9</vt:lpwstr>
  </property>
  <property fmtid="{D5CDD505-2E9C-101B-9397-08002B2CF9AE}" pid="3" name="MSIP_Label_7b94a7b8-f06c-4dfe-bdcc-9b548fd58c31_Enabled">
    <vt:lpwstr>true</vt:lpwstr>
  </property>
  <property fmtid="{D5CDD505-2E9C-101B-9397-08002B2CF9AE}" pid="4" name="MSIP_Label_7b94a7b8-f06c-4dfe-bdcc-9b548fd58c31_SetDate">
    <vt:lpwstr>2022-06-21T20:33:04Z</vt:lpwstr>
  </property>
  <property fmtid="{D5CDD505-2E9C-101B-9397-08002B2CF9AE}" pid="5" name="MSIP_Label_7b94a7b8-f06c-4dfe-bdcc-9b548fd58c31_Method">
    <vt:lpwstr>Privileged</vt:lpwstr>
  </property>
  <property fmtid="{D5CDD505-2E9C-101B-9397-08002B2CF9AE}" pid="6" name="MSIP_Label_7b94a7b8-f06c-4dfe-bdcc-9b548fd58c31_Name">
    <vt:lpwstr>7b94a7b8-f06c-4dfe-bdcc-9b548fd58c31</vt:lpwstr>
  </property>
  <property fmtid="{D5CDD505-2E9C-101B-9397-08002B2CF9AE}" pid="7" name="MSIP_Label_7b94a7b8-f06c-4dfe-bdcc-9b548fd58c31_SiteId">
    <vt:lpwstr>9ce70869-60db-44fd-abe8-d2767077fc8f</vt:lpwstr>
  </property>
  <property fmtid="{D5CDD505-2E9C-101B-9397-08002B2CF9AE}" pid="8" name="MSIP_Label_7b94a7b8-f06c-4dfe-bdcc-9b548fd58c31_ActionId">
    <vt:lpwstr>6d6d1664-5271-4ab7-a395-66f17f2815a6</vt:lpwstr>
  </property>
  <property fmtid="{D5CDD505-2E9C-101B-9397-08002B2CF9AE}" pid="9" name="MSIP_Label_7b94a7b8-f06c-4dfe-bdcc-9b548fd58c31_ContentBits">
    <vt:lpwstr>0</vt:lpwstr>
  </property>
  <property fmtid="{D5CDD505-2E9C-101B-9397-08002B2CF9AE}" pid="10" name="MediaServiceImageTags">
    <vt:lpwstr/>
  </property>
</Properties>
</file>