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C:\Users\Mousumi Rahman\Downloads\Files\"/>
    </mc:Choice>
  </mc:AlternateContent>
  <bookViews>
    <workbookView xWindow="-120" yWindow="-120" windowWidth="29040" windowHeight="15840" tabRatio="765"/>
  </bookViews>
  <sheets>
    <sheet name="Introduction" sheetId="1" r:id="rId1"/>
    <sheet name="Guidance" sheetId="2" r:id="rId2"/>
    <sheet name="A- Total generated" sheetId="3" r:id="rId3"/>
    <sheet name="B- Generated by san facility" sheetId="9" r:id="rId4"/>
    <sheet name="C- WW management chain" sheetId="5" r:id="rId5"/>
    <sheet name="D- Country estimates" sheetId="6" r:id="rId6"/>
    <sheet name="Data summary" sheetId="4" r:id="rId7"/>
    <sheet name="Additional data" sheetId="7" r:id="rId8"/>
  </sheets>
  <definedNames>
    <definedName name="_xlnm._FilterDatabase" localSheetId="7" hidden="1">'Additional data'!$A$1:$K$1</definedName>
    <definedName name="v1_">'Data summary'!$E$2</definedName>
    <definedName name="v10_">'Data summary'!$E$11</definedName>
    <definedName name="v11_">'Data summary'!$E$12</definedName>
    <definedName name="v12_">'Data summary'!$E$13</definedName>
    <definedName name="v13_">'Data summary'!$E$14</definedName>
    <definedName name="v14_">'Data summary'!$E$15</definedName>
    <definedName name="v15_">'Data summary'!$E$16</definedName>
    <definedName name="v16_">'Data summary'!$E$17</definedName>
    <definedName name="v17_">'Data summary'!$E$18</definedName>
    <definedName name="v18_">'Data summary'!$E$19</definedName>
    <definedName name="v19_">'Data summary'!$E$20</definedName>
    <definedName name="v2_">'Data summary'!$E$3</definedName>
    <definedName name="v20_">'Data summary'!$E$21</definedName>
    <definedName name="v21_">'Data summary'!$E$22</definedName>
    <definedName name="v22_">'Data summary'!$E$23</definedName>
    <definedName name="v23_">'Data summary'!$E$24</definedName>
    <definedName name="v24_">'Data summary'!$E$25</definedName>
    <definedName name="v25_">'Data summary'!$E$26</definedName>
    <definedName name="v26_">'Data summary'!$E$27</definedName>
    <definedName name="v27_">'Data summary'!$E$28</definedName>
    <definedName name="v28_">'Data summary'!$E$29</definedName>
    <definedName name="v29_">'Data summary'!$E$30</definedName>
    <definedName name="v3_">'Data summary'!$E$4</definedName>
    <definedName name="v30_">'Data summary'!$E$31</definedName>
    <definedName name="v31_">'Data summary'!$E$32</definedName>
    <definedName name="v32_">'Data summary'!$E$33</definedName>
    <definedName name="v33_">'Data summary'!$E$34</definedName>
    <definedName name="v34_">'Data summary'!$E$35</definedName>
    <definedName name="v35_">'Data summary'!$E$36</definedName>
    <definedName name="v36_">'Data summary'!$E$37</definedName>
    <definedName name="v37_">'Data summary'!$E$38</definedName>
    <definedName name="v38_">'Data summary'!$E$39</definedName>
    <definedName name="v39_">'Data summary'!$E$40</definedName>
    <definedName name="v4_">'Data summary'!$E$5</definedName>
    <definedName name="v40_">'Data summary'!$E$41</definedName>
    <definedName name="v5_">'Data summary'!$E$6</definedName>
    <definedName name="v6_">'Data summary'!$E$7</definedName>
    <definedName name="v7_">'Data summary'!$E$8</definedName>
    <definedName name="v8_">'Data summary'!$E$9</definedName>
    <definedName name="v9_">'Data summary'!$E$10</definedName>
    <definedName name="v99_">'Data summary'!$G$15</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4" i="6" l="1"/>
  <c r="D14" i="6"/>
  <c r="C14" i="6"/>
  <c r="G13" i="6"/>
  <c r="F13" i="6"/>
  <c r="D13" i="6"/>
  <c r="C13" i="6"/>
  <c r="I13" i="6" s="1"/>
  <c r="G12" i="6"/>
  <c r="F12" i="6"/>
  <c r="D12" i="6"/>
  <c r="C12" i="6"/>
  <c r="I12" i="6" s="1"/>
  <c r="I11" i="6"/>
  <c r="G11" i="6"/>
  <c r="F11" i="6"/>
  <c r="D11" i="6"/>
  <c r="C11" i="6"/>
  <c r="F10" i="6"/>
  <c r="D10" i="6"/>
  <c r="C10" i="6"/>
  <c r="I9" i="6"/>
  <c r="F9" i="6"/>
  <c r="D9" i="6"/>
  <c r="C9" i="6"/>
  <c r="F8" i="6"/>
  <c r="D8" i="6"/>
  <c r="C8" i="6"/>
  <c r="I8" i="6" s="1"/>
  <c r="I7" i="6"/>
  <c r="F7" i="6"/>
  <c r="D7" i="6"/>
  <c r="C7" i="6"/>
  <c r="D6" i="6"/>
  <c r="C6" i="6"/>
  <c r="F5" i="6"/>
  <c r="D5" i="6"/>
  <c r="C5" i="6"/>
  <c r="I5" i="6" s="1"/>
  <c r="I4" i="6"/>
  <c r="F4" i="6"/>
  <c r="D4" i="6"/>
  <c r="C4" i="6"/>
  <c r="F3" i="6"/>
  <c r="F6" i="6" s="1"/>
  <c r="D3" i="6"/>
  <c r="C3" i="6"/>
  <c r="I3" i="6" s="1"/>
  <c r="A10" i="5"/>
  <c r="U6" i="5"/>
  <c r="T6" i="5"/>
  <c r="L6" i="5"/>
  <c r="K6" i="5"/>
  <c r="I6" i="5"/>
  <c r="H6" i="5"/>
  <c r="E6" i="5"/>
  <c r="C6" i="5"/>
  <c r="B6" i="5"/>
  <c r="AA5" i="5"/>
  <c r="Z5" i="5"/>
  <c r="X5" i="5"/>
  <c r="W5" i="5"/>
  <c r="R5" i="5"/>
  <c r="Q5" i="5"/>
  <c r="O5" i="5"/>
  <c r="N5" i="5"/>
  <c r="I5" i="5"/>
  <c r="H5" i="5"/>
  <c r="E5" i="5"/>
  <c r="C5" i="5"/>
  <c r="B5" i="5"/>
  <c r="AA4" i="5"/>
  <c r="Z4" i="5"/>
  <c r="X4" i="5"/>
  <c r="W4" i="5"/>
  <c r="E4" i="5"/>
  <c r="A14" i="5" s="1"/>
  <c r="C4" i="5"/>
  <c r="B4" i="5"/>
  <c r="F9" i="9"/>
  <c r="H8" i="9"/>
  <c r="F8" i="9"/>
  <c r="E8" i="9"/>
  <c r="C8" i="9"/>
  <c r="B8" i="9"/>
  <c r="H7" i="9"/>
  <c r="F7" i="9"/>
  <c r="C7" i="9"/>
  <c r="B7" i="9"/>
  <c r="H6" i="9"/>
  <c r="F6" i="9"/>
  <c r="C6" i="9"/>
  <c r="B6" i="9"/>
  <c r="H5" i="9"/>
  <c r="F5" i="9"/>
  <c r="E5" i="9"/>
  <c r="C5" i="9"/>
  <c r="B5" i="9"/>
  <c r="H4" i="9"/>
  <c r="H9" i="9" s="1"/>
  <c r="F4" i="9"/>
  <c r="E6" i="9" s="1"/>
  <c r="E4" i="9"/>
  <c r="C4" i="9"/>
  <c r="B4" i="9"/>
  <c r="D12" i="3"/>
  <c r="W4" i="3"/>
  <c r="T4" i="3"/>
  <c r="S4" i="3"/>
  <c r="Q4" i="3"/>
  <c r="N4" i="3"/>
  <c r="M4" i="3"/>
  <c r="K4" i="3"/>
  <c r="J4" i="3"/>
  <c r="H4" i="3"/>
  <c r="G4" i="3"/>
  <c r="E4" i="3"/>
  <c r="D4" i="3"/>
  <c r="B4" i="3"/>
  <c r="A4" i="3"/>
  <c r="P4" i="3" s="1"/>
  <c r="V3" i="3"/>
  <c r="C3" i="1"/>
  <c r="A1" i="6" s="1"/>
  <c r="C15" i="6" l="1"/>
  <c r="F14" i="6" s="1"/>
  <c r="C5" i="1"/>
  <c r="V4" i="3"/>
  <c r="A1" i="9"/>
  <c r="E7" i="9"/>
  <c r="E9" i="9" s="1"/>
  <c r="A1" i="3"/>
  <c r="A1" i="5"/>
</calcChain>
</file>

<file path=xl/sharedStrings.xml><?xml version="1.0" encoding="utf-8"?>
<sst xmlns="http://schemas.openxmlformats.org/spreadsheetml/2006/main" count="540" uniqueCount="229">
  <si>
    <t>Sustainable Development Goal 6 Monitoring</t>
  </si>
  <si>
    <t>Other improved facilities</t>
  </si>
  <si>
    <t>Unimproved facilities</t>
  </si>
  <si>
    <t>Open defecation</t>
  </si>
  <si>
    <t>Type of sanitation facility</t>
  </si>
  <si>
    <t>C</t>
  </si>
  <si>
    <t>TOTAL:</t>
  </si>
  <si>
    <t>Water supply type by population [%]</t>
  </si>
  <si>
    <t>Population 
[1000s]</t>
  </si>
  <si>
    <t>Notes:</t>
  </si>
  <si>
    <t>[...Not emptied]</t>
  </si>
  <si>
    <t>Units</t>
  </si>
  <si>
    <t>[...Emptied and removed offsite]</t>
  </si>
  <si>
    <t>[...Emptied and discharged locally]</t>
  </si>
  <si>
    <t>[...Emptied and buried onsite]</t>
  </si>
  <si>
    <t>[...Contained]</t>
  </si>
  <si>
    <t>-</t>
  </si>
  <si>
    <t>Value</t>
  </si>
  <si>
    <t>Data type</t>
  </si>
  <si>
    <t>Year</t>
  </si>
  <si>
    <t>Data source</t>
  </si>
  <si>
    <t>Notes</t>
  </si>
  <si>
    <t>Proportion of population
[%]</t>
  </si>
  <si>
    <t>Sanitation facility coverage</t>
  </si>
  <si>
    <t>2020 Country Estimate</t>
  </si>
  <si>
    <t>On-premises* water supply
[litres/person/day]</t>
  </si>
  <si>
    <t>Off-premises* water supply
[litres/person/day]</t>
  </si>
  <si>
    <t>* - On/off-premises refering to the location of the primary water supply</t>
  </si>
  <si>
    <t>C - Calculated value</t>
  </si>
  <si>
    <t>Country ID</t>
  </si>
  <si>
    <t>Country/territory name</t>
  </si>
  <si>
    <t>Variable ID</t>
  </si>
  <si>
    <t>Variable name</t>
  </si>
  <si>
    <t>6.3.1 Safely Treated Household Wastewater</t>
  </si>
  <si>
    <t xml:space="preserve">Estimation of domestic water use </t>
  </si>
  <si>
    <r>
      <t>Volume 
[million m</t>
    </r>
    <r>
      <rPr>
        <b/>
        <vertAlign val="superscript"/>
        <sz val="12"/>
        <color rgb="FF000000"/>
        <rFont val="Arial"/>
        <family val="2"/>
      </rPr>
      <t>3</t>
    </r>
    <r>
      <rPr>
        <b/>
        <sz val="12"/>
        <color rgb="FF000000"/>
        <rFont val="Arial"/>
        <family val="2"/>
      </rPr>
      <t>/year]</t>
    </r>
  </si>
  <si>
    <t>Proportion by volume
[%]</t>
  </si>
  <si>
    <t>[14] / [8]</t>
  </si>
  <si>
    <t>[15] / [8]</t>
  </si>
  <si>
    <t>[16] / [8]</t>
  </si>
  <si>
    <t>[17] / [8]</t>
  </si>
  <si>
    <t>[18] / [8]</t>
  </si>
  <si>
    <t>Estimated household wastewater generated by sanitation facility type</t>
  </si>
  <si>
    <t>Household wastewater stream</t>
  </si>
  <si>
    <t>E - Estimated value based on official national statistics</t>
  </si>
  <si>
    <t>Estimated household wastewater generated</t>
  </si>
  <si>
    <t>Estimated household wastewater collected at treatment facilities</t>
  </si>
  <si>
    <t xml:space="preserve">Estimated household wastewater safely treated </t>
  </si>
  <si>
    <t>[16] + [17] + [18]</t>
  </si>
  <si>
    <t>[32] / [8]</t>
  </si>
  <si>
    <t>A - Assumption (see methodological note for details)</t>
  </si>
  <si>
    <t>R - Reported value from official national statistics</t>
  </si>
  <si>
    <t>Proportion of domestic water use converted into generated wastewater
[%]</t>
  </si>
  <si>
    <r>
      <rPr>
        <b/>
        <sz val="12"/>
        <color rgb="FF000000"/>
        <rFont val="Arial"/>
        <family val="2"/>
      </rPr>
      <t>Stream 1</t>
    </r>
    <r>
      <rPr>
        <sz val="12"/>
        <color rgb="FF000000"/>
        <rFont val="Arial"/>
        <family val="2"/>
      </rPr>
      <t>: Piped sewers</t>
    </r>
  </si>
  <si>
    <r>
      <rPr>
        <b/>
        <sz val="12"/>
        <color rgb="FF000000"/>
        <rFont val="Arial"/>
        <family val="2"/>
      </rPr>
      <t>Stream 2</t>
    </r>
    <r>
      <rPr>
        <sz val="12"/>
        <color rgb="FF000000"/>
        <rFont val="Arial"/>
        <family val="2"/>
      </rPr>
      <t>: Septic tanks</t>
    </r>
  </si>
  <si>
    <t>Part C: Household wastewater management chain</t>
  </si>
  <si>
    <t>Generated household wastewater</t>
  </si>
  <si>
    <t>Households using all other types of sanitation</t>
  </si>
  <si>
    <r>
      <rPr>
        <b/>
        <sz val="12"/>
        <color rgb="FF000000"/>
        <rFont val="Arial"/>
        <family val="2"/>
      </rPr>
      <t>Stream 1:</t>
    </r>
    <r>
      <rPr>
        <sz val="12"/>
        <color rgb="FF000000"/>
        <rFont val="Arial"/>
        <family val="2"/>
      </rPr>
      <t xml:space="preserve"> Households connected to sewers</t>
    </r>
  </si>
  <si>
    <r>
      <rPr>
        <b/>
        <sz val="12"/>
        <color rgb="FF000000"/>
        <rFont val="Arial"/>
        <family val="2"/>
      </rPr>
      <t>Stream 2:</t>
    </r>
    <r>
      <rPr>
        <sz val="12"/>
        <color rgb="FF000000"/>
        <rFont val="Arial"/>
        <family val="2"/>
      </rPr>
      <t xml:space="preserve"> Households connected to septic tanks</t>
    </r>
  </si>
  <si>
    <t>[14]</t>
  </si>
  <si>
    <t>[15]</t>
  </si>
  <si>
    <t>[…Collected at treatment plants]</t>
  </si>
  <si>
    <t>[22]</t>
  </si>
  <si>
    <t>[23]</t>
  </si>
  <si>
    <t>[24]</t>
  </si>
  <si>
    <t>[25]</t>
  </si>
  <si>
    <t>[26]</t>
  </si>
  <si>
    <t>[27]</t>
  </si>
  <si>
    <t>[28]</t>
  </si>
  <si>
    <t>[variable numbers shown in square brackets - see 'Data summary' worksheet for additional details]</t>
  </si>
  <si>
    <r>
      <t xml:space="preserve">Stream 1: </t>
    </r>
    <r>
      <rPr>
        <sz val="12"/>
        <color rgb="FF000000"/>
        <rFont val="Arial"/>
        <family val="2"/>
      </rPr>
      <t>Piped sewer wastewater flows</t>
    </r>
  </si>
  <si>
    <r>
      <t xml:space="preserve">Stream 2a: </t>
    </r>
    <r>
      <rPr>
        <sz val="12"/>
        <color rgb="FF000000"/>
        <rFont val="Arial"/>
        <family val="2"/>
      </rPr>
      <t>Septic tank wastewater flows (off-site)</t>
    </r>
  </si>
  <si>
    <r>
      <t xml:space="preserve">Stream 2b: </t>
    </r>
    <r>
      <rPr>
        <sz val="12"/>
        <color rgb="FF000000"/>
        <rFont val="Arial"/>
        <family val="2"/>
      </rPr>
      <t>Septic tank wastewater flows (on-site)</t>
    </r>
  </si>
  <si>
    <t>Proportion of household wastewater [X...] in each stream [%]</t>
  </si>
  <si>
    <t>Data, calculations, and results</t>
  </si>
  <si>
    <t>Part A: Household wastewater generated</t>
  </si>
  <si>
    <t>Part B: Household wastewater generated by sanitation facility</t>
  </si>
  <si>
    <t>Introduction and methods</t>
  </si>
  <si>
    <t xml:space="preserve">Figure 1: Household wastewater management chain
</t>
  </si>
  <si>
    <t>SDG Indicator 6.3.1 aims to measure and track over time the percentage of wastewater flows from households and industrial premises that are safely treated in compliance with relevant national or local standards.  The World Health Organization (WHO) and UN-Habitat serve as the custodian agencies for household and total/industrial components of Indicator 6.3.1, respectively, and are responsible for periodic data compilation and reporting. The overall indicator for 6.3.1 is reported for total wastewater (all point sources combined), while statistics on industrial and household wastewater flows are presented as complementary data series.</t>
  </si>
  <si>
    <t>SDG Indicator 6.3 aims to, by 2030, “improve water quality by reducing pollution, eliminating dumping and minimizing release of hazardous chemicals and materials, halving the proportion of untreated wastewater and substantially increasing recycling and safe reuse globally”.  Ensuring ambient water quality is essential to protecting ecosystem and human health, and can be achieved by significantly reducing or eliminating different streams of pollution discharged into water bodies. The main sources of pollution include wastewater from households, commercial establishments and industries (point sources), as well as run-off from urban and agricultural land (non-point sources).</t>
  </si>
  <si>
    <t>Sewer wastewater may not always be collected at wastewater treatment plants, particularly if it is instead directly discharged into receiving water bodies or if treatment plants at the end-of-pipe are not operational.  Flows that have been collected at treatment plants may not always be safely treated, particularly if some flows bypasses treatment processes, if the system is functioning over capacity, if discharges fail to meet effluent standards, or if only primary treatment processes (associated physical removal of contaminates only) are employed.  Septic tank wastewater may not always be contained, particularly if tanks are not correctly installed, are not well functioning, or have not been maintained.  Septic tank wastewater may also not be collected if emptied faecal sludge is disposed of unsafely.</t>
  </si>
  <si>
    <t>The household wastewater management chain (Figure 1) is used to conceptualise the various stages of household wastewater flows - from generation at the household to collection at treatment facilities, treatment levels at those facilities, and discharge to receiving water bodies.  The chain is divided into three wastewater streams, representing wastewater generated by households with: 1) sewer connections; 2) septic tank connections; and 3) all other types of sanitation.  Each node of the chain is represented by a variable (as identified in square brackets in Figure 1) with a proportion feeding into the 'not safely treated' fraction and the remaining proportion continuing to the next node (as indicated by the arrows in Figure 1).  Wastewater can be considered collected when it reaches a wastewater treatment facility.  For the purposes of the estimations, wastewater treatment facilities include treatment plants (for sewer wastewater or emptied and delivered faecal sludge from septic tanks) or on-site treatment systems (such as a functional septic tank system with leach field).  Wastewater flows from households with septic tanks are characterised by where faecal sludge (which accumulates over time inside the tank) has resided - specifically, whether it has been transferred off-site (2a; delivered to a wastewater treatment plant) or remains on-site (2b; in the tank unemptied, or emptied and buried on-site).  Wastewater flows collected at wastewater treatment plants (from either sewers or faecal sludge from septic tanks) can be considered safely treated if they are treated by at least secondary level processes (associated with biological removal technologies) or if they meet effluent discharge standards.  Wastewater flows from septic tanks may also be considered safely treated if faecal sludge remains on-site.  Wastewater flows from households without connections to piped sewers or septic tanks (such as those that practice open defecation or use pit latrines) are not eligible to be classified as collected at treatment facilities nor safely treated.</t>
  </si>
  <si>
    <t>For many countries, nationally-representative data reported by official agencies are not always measured or publicly available for each of the variables of the household wastewater management chain.  As a result, WHO has strategically employed a set of assumptions to fill-in data gaps.  However, country estimates (proportion of household wastewater safely treated) are only calculated when country-level calculations are not overly dependent on assumptions (see Methodological Note for further detail).</t>
  </si>
  <si>
    <t xml:space="preserve">This file is part of a global update of Indicator 6.3.1 published in 2021 and is a supplement to the indicator report available here (&lt;link&gt;) and a methodological note (where additional details can be found).  Data have been compiled from global databanks and directly from country-level agencies and are presented alongside their respective sources and attributes in the Excel worksheets that follow.  Calculations related to the computation of the proportion of household wastewater safely treated are also presented.
</t>
  </si>
  <si>
    <t>Estimation of total generated household wastewater</t>
  </si>
  <si>
    <r>
      <t>Total domestic 
water use
[million m</t>
    </r>
    <r>
      <rPr>
        <b/>
        <vertAlign val="superscript"/>
        <sz val="12"/>
        <color rgb="FF000000"/>
        <rFont val="Arial"/>
        <family val="2"/>
      </rPr>
      <t>3</t>
    </r>
    <r>
      <rPr>
        <b/>
        <sz val="12"/>
        <color rgb="FF000000"/>
        <rFont val="Arial"/>
        <family val="2"/>
      </rPr>
      <t>/year]
[1] x [2] x [4] + 
[1] x [3] x [5]</t>
    </r>
  </si>
  <si>
    <t>Is the proportion of sewer wastewater safely treated at treatment plants [20] based on compliance (with discharge standards) or technology (at least secondary treatment)?</t>
  </si>
  <si>
    <t>Proportion
by total volume generated
(%)</t>
  </si>
  <si>
    <t>Proportion
by volume generated in wastewater stream
(%)</t>
  </si>
  <si>
    <t>[35] / [15]</t>
  </si>
  <si>
    <t>{ [16] + [17] + [18] }
 / [8]</t>
  </si>
  <si>
    <t>[29] / [8]</t>
  </si>
  <si>
    <t>[30] / [8]</t>
  </si>
  <si>
    <t>[31] / [8]</t>
  </si>
  <si>
    <t>[29] / [14]</t>
  </si>
  <si>
    <t>[30] / [15]</t>
  </si>
  <si>
    <t>[31] / [15]</t>
  </si>
  <si>
    <t>[33] / [14]</t>
  </si>
  <si>
    <t>[34] / [15]</t>
  </si>
  <si>
    <r>
      <t>Volume
(million m</t>
    </r>
    <r>
      <rPr>
        <b/>
        <vertAlign val="superscript"/>
        <sz val="12"/>
        <color rgb="FF000000"/>
        <rFont val="Arial"/>
        <family val="2"/>
      </rPr>
      <t>3</t>
    </r>
    <r>
      <rPr>
        <b/>
        <sz val="12"/>
        <color rgb="FF000000"/>
        <rFont val="Arial"/>
        <family val="2"/>
      </rPr>
      <t>/year)</t>
    </r>
  </si>
  <si>
    <t>Sufficient data to produce a country estimate?</t>
  </si>
  <si>
    <t>[37] = [33] / [8]</t>
  </si>
  <si>
    <t>[38] = [34] / [8]</t>
  </si>
  <si>
    <t>[39] = [35] / [8]</t>
  </si>
  <si>
    <t>[40] = [36] / [8]</t>
  </si>
  <si>
    <t>[8] = [14] + [15] + [16] + [17] + [18]</t>
  </si>
  <si>
    <t>[14] / [14]</t>
  </si>
  <si>
    <t>[15] / [15]</t>
  </si>
  <si>
    <t>{ [16] + [17] + [18] } / { [16] + [17] + [18] }</t>
  </si>
  <si>
    <t>[8] / [8]</t>
  </si>
  <si>
    <t>Total generated</t>
  </si>
  <si>
    <t>[29] = [14] x [19]</t>
  </si>
  <si>
    <r>
      <rPr>
        <b/>
        <sz val="12"/>
        <color rgb="FF000000"/>
        <rFont val="Arial"/>
        <family val="2"/>
      </rPr>
      <t>Stream 2a:</t>
    </r>
    <r>
      <rPr>
        <sz val="12"/>
        <color rgb="FF000000"/>
        <rFont val="Arial"/>
        <family val="2"/>
      </rPr>
      <t xml:space="preserve"> Wastewater collected at septic tanks and faecal sludge at wastewater treatment plants (off-site)</t>
    </r>
  </si>
  <si>
    <t>[30] = [15] x [22] x [25] x [27]</t>
  </si>
  <si>
    <t>[31] = [15] x [22] x ([23] + [26])</t>
  </si>
  <si>
    <t>Total collected</t>
  </si>
  <si>
    <t>[32] = [29] + [30] + [31]</t>
  </si>
  <si>
    <t>[33] = [29] x [20]</t>
  </si>
  <si>
    <t>[34] = [30] x [28]</t>
  </si>
  <si>
    <t>[35] = [31] x 100%</t>
  </si>
  <si>
    <t>Total safely treated</t>
  </si>
  <si>
    <t>[36] = [33] + [34] + [35]</t>
  </si>
  <si>
    <r>
      <rPr>
        <b/>
        <sz val="12"/>
        <color rgb="FF000000"/>
        <rFont val="Arial"/>
        <family val="2"/>
      </rPr>
      <t xml:space="preserve">Stream 2b: </t>
    </r>
    <r>
      <rPr>
        <sz val="12"/>
        <color rgb="FF000000"/>
        <rFont val="Arial"/>
        <family val="2"/>
      </rPr>
      <t>Wastewater collected at septic tanks and faecal sludge at on-site treatment (on-site)</t>
    </r>
  </si>
  <si>
    <r>
      <rPr>
        <b/>
        <sz val="12"/>
        <color rgb="FF000000"/>
        <rFont val="Arial"/>
        <family val="2"/>
      </rPr>
      <t>Stream 1</t>
    </r>
    <r>
      <rPr>
        <sz val="12"/>
        <color rgb="FF000000"/>
        <rFont val="Arial"/>
        <family val="2"/>
      </rPr>
      <t>: Safely treated from piped sewers at wastewater treatment plants</t>
    </r>
  </si>
  <si>
    <r>
      <rPr>
        <b/>
        <sz val="12"/>
        <color rgb="FF000000"/>
        <rFont val="Arial"/>
        <family val="2"/>
      </rPr>
      <t xml:space="preserve">Stream 2a: </t>
    </r>
    <r>
      <rPr>
        <sz val="12"/>
        <color rgb="FF000000"/>
        <rFont val="Arial"/>
        <family val="2"/>
      </rPr>
      <t>Wastewater safely treated at septic tanks and faecal sludge at wastewater treatment plants (off-site)</t>
    </r>
  </si>
  <si>
    <r>
      <rPr>
        <b/>
        <sz val="12"/>
        <color rgb="FF000000"/>
        <rFont val="Arial"/>
        <family val="2"/>
      </rPr>
      <t xml:space="preserve">Stream 2b: </t>
    </r>
    <r>
      <rPr>
        <sz val="12"/>
        <color rgb="FF000000"/>
        <rFont val="Arial"/>
        <family val="2"/>
      </rPr>
      <t>Wastewater safely treated at septic tanks and faecal sludge at on-site treatment (on-site)</t>
    </r>
  </si>
  <si>
    <r>
      <rPr>
        <b/>
        <sz val="12"/>
        <color rgb="FF000000"/>
        <rFont val="Arial"/>
        <family val="2"/>
      </rPr>
      <t>Stream 1:</t>
    </r>
    <r>
      <rPr>
        <sz val="12"/>
        <color rgb="FF000000"/>
        <rFont val="Arial"/>
        <family val="2"/>
      </rPr>
      <t xml:space="preserve"> Collected from piped sewers at wastewater treatment plants</t>
    </r>
  </si>
  <si>
    <t>Part D: Country estimates</t>
  </si>
  <si>
    <t>Data summary</t>
  </si>
  <si>
    <t>Additional data</t>
  </si>
  <si>
    <t>Guidance</t>
  </si>
  <si>
    <t>On-premises* water supply</t>
  </si>
  <si>
    <t>Off-premises* water supply</t>
  </si>
  <si>
    <t>[…Collected that has been safely treated at treatment plants]</t>
  </si>
  <si>
    <t>Are data sufficient to make a country estimate?</t>
  </si>
  <si>
    <t>[1]</t>
  </si>
  <si>
    <t>[2]</t>
  </si>
  <si>
    <t>[3]</t>
  </si>
  <si>
    <t>[4]</t>
  </si>
  <si>
    <t>[5]</t>
  </si>
  <si>
    <t>[6]</t>
  </si>
  <si>
    <t>[7]</t>
  </si>
  <si>
    <t>[8]</t>
  </si>
  <si>
    <t>[9]</t>
  </si>
  <si>
    <t>[10]</t>
  </si>
  <si>
    <t>[11]</t>
  </si>
  <si>
    <t>[12]</t>
  </si>
  <si>
    <t>[13]</t>
  </si>
  <si>
    <t>[16]</t>
  </si>
  <si>
    <t>[17]</t>
  </si>
  <si>
    <t>[18]</t>
  </si>
  <si>
    <t>[19]</t>
  </si>
  <si>
    <t>[20]</t>
  </si>
  <si>
    <t>GUF</t>
  </si>
  <si>
    <t>French Guiana</t>
  </si>
  <si>
    <t>Population</t>
  </si>
  <si>
    <t>Population with water on premises</t>
  </si>
  <si>
    <t>Population with water off premises</t>
  </si>
  <si>
    <t>Domestic water use (water supply on-premises)</t>
  </si>
  <si>
    <t>Domestic water use (water supply off-premises)</t>
  </si>
  <si>
    <t>Total domestic water use</t>
  </si>
  <si>
    <t>Proportion of domestic water use converted into generated wastewater</t>
  </si>
  <si>
    <t>Total generated household wastewater</t>
  </si>
  <si>
    <t>Proportion of the population living in households connected to piped sewers</t>
  </si>
  <si>
    <t>Proportion of the population living in households connected to septic tanks</t>
  </si>
  <si>
    <t>Proportion of the population living in households with access to other improved sanitation facilities</t>
  </si>
  <si>
    <t>Proportion of the population living in households with access to unimproved sanitation facilities</t>
  </si>
  <si>
    <t>Proportion of the population living in households where members practice open defecation</t>
  </si>
  <si>
    <t>Estimated volume of wastewater generated by households connected to piped sewers</t>
  </si>
  <si>
    <t>Estimated volume of wastewater generated by households connected to septic tanks</t>
  </si>
  <si>
    <t>Estimated volume of wastewater generated by households with access to other improved sanitation facilities</t>
  </si>
  <si>
    <t>Estimated volume of wastewater generated by households with access to unimproved sanitation facilities</t>
  </si>
  <si>
    <t>Estimated volume of wastewater generated by households where members practice open defecation</t>
  </si>
  <si>
    <t>Proportion of sewer wastewater collected at treatment plants</t>
  </si>
  <si>
    <t>Proportion of sewer wastewater safely treated at treatment plants</t>
  </si>
  <si>
    <t>Sewer wastewater treatment performance classification</t>
  </si>
  <si>
    <t>Proportion of septic tanks with wastewater contained</t>
  </si>
  <si>
    <t>Proportion of septic tanks with faecal sludge emptied and buried (on-site)</t>
  </si>
  <si>
    <t>Proportion of septic tanks with faecal sludge emptied and discharged locally</t>
  </si>
  <si>
    <t>Proportion of septic tanks with faecal sludge emptied and removed offsite (off-site)</t>
  </si>
  <si>
    <t>Proportion of septic tanks with faecal sludge not yet emptied (on-site)</t>
  </si>
  <si>
    <t>Proportion of septic tanks with faecal sludge collected at treatment plants (off-site)</t>
  </si>
  <si>
    <t>Septic tank treated at treatment plant</t>
  </si>
  <si>
    <t>Volume of household wastewater collected - Piped sewers (off-site)</t>
  </si>
  <si>
    <t>Volume of household wastewater collected - Septic tanks (off-site)</t>
  </si>
  <si>
    <t>Volume of household wastewater collected - Septic tanks (on-site)</t>
  </si>
  <si>
    <t>Volume of household wastewater collected - Total</t>
  </si>
  <si>
    <t>Volume of safely treated household wastewater - Piped sewer (off-site)</t>
  </si>
  <si>
    <t>Volume of safely treated household wastewater - Septic tank (off-site)</t>
  </si>
  <si>
    <t>Volume of safely treated household wastewater - Septic tank (on-site)</t>
  </si>
  <si>
    <t>Volume of safely treated household wastewater - Total</t>
  </si>
  <si>
    <t>Proportion of safely treated household wastewater - Piped sewer (off-site)</t>
  </si>
  <si>
    <t>Proportion of safely treated household wastewater - Septic tank (off-site)</t>
  </si>
  <si>
    <t>Proportion of safely treated household wastewater - Septic tank (on-site)</t>
  </si>
  <si>
    <t>Proportion of safely treated household wastewater (SDG 6.3.1)</t>
  </si>
  <si>
    <t>Population (1000s)</t>
  </si>
  <si>
    <t>Percentage</t>
  </si>
  <si>
    <t>litres/person/day</t>
  </si>
  <si>
    <t>million m3/year</t>
  </si>
  <si>
    <t>E</t>
  </si>
  <si>
    <t>R</t>
  </si>
  <si>
    <t>A</t>
  </si>
  <si>
    <t>2019 Revision of World Population Prospects</t>
  </si>
  <si>
    <t>jmp_2021_guf_french_guiana.xlsx</t>
  </si>
  <si>
    <t>Communauté D'agglomération du Centre Littoral: Rapport annuel de l'eau / http://www.cacl-guyane.fr/wp-content/uploads/2016/10/RAPPORT-EAU-2015.pdf</t>
  </si>
  <si>
    <t>Default assumption</t>
  </si>
  <si>
    <t/>
  </si>
  <si>
    <t>Ministere de la Transition ecologique / http://assainissement.developpement-durable.gouv.fr</t>
  </si>
  <si>
    <t>Assuming that performance of septic tank wastewater treatment is the same as that for sewer wastewater treatment</t>
  </si>
  <si>
    <t>Technology</t>
  </si>
  <si>
    <t>National household water consumption</t>
  </si>
  <si>
    <t>Proportion of wastewater (by volume) delivered to treatment systems with at least secondary treatment</t>
  </si>
  <si>
    <t>Proportion of population with sewer connections</t>
  </si>
  <si>
    <t>Proportion of population connected to septic tanks</t>
  </si>
  <si>
    <t>Volume of wastewater that is delivered to treatment systems (i.e. not including leakages and/or discharges other then to WWTP)</t>
  </si>
  <si>
    <t xml:space="preserve">Volume of wastewater delivered to treatment systems with primary treatment </t>
  </si>
  <si>
    <t xml:space="preserve">Volume of wastewater delivered to treatment systems with secondary treatment </t>
  </si>
  <si>
    <t xml:space="preserve">Volume of wastewater delivered to treatment systems with at least secondary treatment </t>
  </si>
  <si>
    <t xml:space="preserve">Volume of wastewater delivered to treatment systems with tertiary treatment </t>
  </si>
  <si>
    <t>4</t>
  </si>
  <si>
    <t>20</t>
  </si>
  <si>
    <t>Not used</t>
  </si>
  <si>
    <t>%</t>
  </si>
  <si>
    <t>m3/day</t>
  </si>
  <si>
    <t>Census</t>
  </si>
  <si>
    <t>523 liter/day per subscriber; 2.2 person per subscriber (average)</t>
  </si>
  <si>
    <t>Calculated based on collected volumes treated by primary (500), secondary (26229), and tertiary (0) treatment levels (m3/day); [(26229+0)/(500+26229+0)]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</si>
</sst>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64" formatCode="_(* #,##0.00_);_(* \(#,##0.00\);_(* &quot;-&quot;??_);_(@_)"/>
    <numFmt numFmtId="165" formatCode="0.0"/>
    <numFmt numFmtId="166" formatCode="&quot;[&quot;#&quot;]&quot;"/>
    <numFmt numFmtId="167" formatCode="#\ ###\ ##0"/>
    <numFmt numFmtId="168" formatCode="0.0%"/>
    <numFmt numFmtId="169" formatCode="_(* #,##0.0_);_(* \(#,##0.0\);_(* &quot;-&quot;?_);_(@_)"/>
    <numFmt numFmtId="170" formatCode="_(* #,##0.000_);_(* \(#,##0.000\);_(* &quot;-&quot;??_);_(@_)"/>
    <numFmt numFmtId="171" formatCode="#,##0.000"/>
  </numFmts>
  <fonts count="17" x14ac:knownFonts="1">
    <font>
      <sz val="12"/>
      <color rgb="FF000000"/>
      <name val="Arial"/>
    </font>
    <font>
      <b/>
      <sz val="30"/>
      <color rgb="FF000000"/>
      <name val="Arial"/>
      <family val="2"/>
    </font>
    <font>
      <i/>
      <sz val="12"/>
      <color rgb="FF000000"/>
      <name val="Arial"/>
      <family val="2"/>
    </font>
    <font>
      <u/>
      <sz val="16"/>
      <color rgb="FF000000"/>
      <name val="Arial"/>
      <family val="2"/>
    </font>
    <font>
      <sz val="20"/>
      <color rgb="FF04ACDC"/>
      <name val="Arial"/>
      <family val="2"/>
    </font>
    <font>
      <b/>
      <sz val="12"/>
      <color rgb="FF000000"/>
      <name val="Arial"/>
      <family val="2"/>
    </font>
    <font>
      <sz val="12"/>
      <color rgb="FF000000"/>
      <name val="Arial"/>
      <family val="2"/>
    </font>
    <font>
      <sz val="8"/>
      <name val="Arial"/>
      <family val="2"/>
    </font>
    <font>
      <u/>
      <sz val="12"/>
      <color theme="10"/>
      <name val="Arial"/>
      <family val="2"/>
    </font>
    <font>
      <b/>
      <vertAlign val="superscript"/>
      <sz val="12"/>
      <color rgb="FF000000"/>
      <name val="Arial"/>
      <family val="2"/>
    </font>
    <font>
      <sz val="12"/>
      <color rgb="FF000000"/>
      <name val="Arial"/>
      <family val="2"/>
    </font>
    <font>
      <sz val="18"/>
      <color rgb="FF000000"/>
      <name val="Arial"/>
      <family val="2"/>
    </font>
    <font>
      <sz val="12"/>
      <color rgb="FF000000"/>
      <name val="Calibri"/>
      <family val="2"/>
    </font>
    <font>
      <sz val="12"/>
      <color rgb="FF000000"/>
      <name val="Arial"/>
      <family val="2"/>
    </font>
    <font>
      <sz val="30"/>
      <color rgb="FF000000"/>
      <name val="Arial"/>
      <family val="2"/>
    </font>
    <font>
      <sz val="12"/>
      <color theme="0"/>
      <name val="Arial"/>
      <family val="2"/>
    </font>
    <font>
      <b/>
      <sz val="18"/>
      <color theme="0"/>
      <name val="Arial"/>
      <family val="2"/>
    </font>
  </fonts>
  <fills count="8">
    <fill>
      <patternFill patternType="none"/>
    </fill>
    <fill>
      <patternFill patternType="gray125"/>
    </fill>
    <fill>
      <patternFill patternType="lightDown"/>
    </fill>
    <fill>
      <patternFill patternType="solid">
        <fgColor theme="0"/>
        <bgColor indexed="64"/>
      </patternFill>
    </fill>
    <fill>
      <patternFill patternType="solid">
        <fgColor theme="6" tint="0.39997558519241921"/>
        <bgColor indexed="64"/>
      </patternFill>
    </fill>
    <fill>
      <patternFill patternType="solid">
        <fgColor theme="6" tint="0.79995117038483843"/>
        <bgColor indexed="64"/>
      </patternFill>
    </fill>
    <fill>
      <patternFill patternType="solid">
        <fgColor theme="6" tint="0.79995117038483843"/>
        <bgColor indexed="64"/>
      </patternFill>
    </fill>
    <fill>
      <patternFill patternType="solid">
        <fgColor theme="5" tint="-0.24994659260841701"/>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medium">
        <color indexed="64"/>
      </bottom>
      <diagonal/>
    </border>
    <border>
      <left/>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thin">
        <color indexed="64"/>
      </top>
      <bottom style="medium">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top style="thin">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thin">
        <color indexed="64"/>
      </top>
      <bottom style="medium">
        <color indexed="64"/>
      </bottom>
      <diagonal/>
    </border>
    <border>
      <left style="medium">
        <color indexed="64"/>
      </left>
      <right/>
      <top style="thin">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4">
    <xf numFmtId="0" fontId="0" fillId="0" borderId="0"/>
    <xf numFmtId="0" fontId="8" fillId="0" borderId="0" applyNumberFormat="0" applyFill="0" applyBorder="0" applyAlignment="0" applyProtection="0"/>
    <xf numFmtId="9" fontId="10" fillId="0" borderId="0" applyFont="0" applyFill="0" applyBorder="0" applyAlignment="0" applyProtection="0"/>
    <xf numFmtId="164" fontId="13" fillId="0" borderId="0" applyFont="0" applyFill="0" applyBorder="0" applyAlignment="0" applyProtection="0"/>
  </cellStyleXfs>
  <cellXfs count="199">
    <xf numFmtId="0" fontId="0" fillId="0" borderId="0" xfId="0"/>
    <xf numFmtId="0" fontId="0" fillId="0" borderId="0" xfId="0" applyFont="1" applyAlignment="1">
      <alignment horizontal="center"/>
    </xf>
    <xf numFmtId="0" fontId="1" fillId="0" borderId="0" xfId="0" applyFont="1" applyAlignment="1">
      <alignment horizontal="center"/>
    </xf>
    <xf numFmtId="0" fontId="3" fillId="0" borderId="0" xfId="0" applyFont="1" applyAlignment="1">
      <alignment horizontal="center"/>
    </xf>
    <xf numFmtId="0" fontId="4" fillId="0" borderId="0" xfId="0" applyFont="1" applyAlignment="1">
      <alignment horizontal="center"/>
    </xf>
    <xf numFmtId="0" fontId="0" fillId="0" borderId="0" xfId="0"/>
    <xf numFmtId="0" fontId="8" fillId="0" borderId="0" xfId="1" applyAlignment="1">
      <alignment horizontal="center"/>
    </xf>
    <xf numFmtId="0" fontId="0" fillId="0" borderId="0" xfId="0" applyFill="1"/>
    <xf numFmtId="0" fontId="6" fillId="0" borderId="0" xfId="0" applyFont="1"/>
    <xf numFmtId="0" fontId="6" fillId="0" borderId="0" xfId="0" applyFont="1" applyAlignment="1">
      <alignment horizontal="left" vertical="top"/>
    </xf>
    <xf numFmtId="0" fontId="6" fillId="0" borderId="0" xfId="0" applyFont="1" applyAlignment="1">
      <alignment horizontal="right"/>
    </xf>
    <xf numFmtId="0" fontId="6" fillId="0" borderId="0" xfId="0" applyFont="1" applyAlignment="1"/>
    <xf numFmtId="0" fontId="5" fillId="2" borderId="21" xfId="0" applyFont="1" applyFill="1" applyBorder="1" applyAlignment="1">
      <alignment vertical="center" textRotation="90" wrapText="1"/>
    </xf>
    <xf numFmtId="0" fontId="0" fillId="0" borderId="0" xfId="0" applyAlignment="1">
      <alignment horizontal="center" vertical="center"/>
    </xf>
    <xf numFmtId="165" fontId="0" fillId="0" borderId="0" xfId="0" applyNumberFormat="1"/>
    <xf numFmtId="0" fontId="0" fillId="0" borderId="0" xfId="0" applyAlignment="1">
      <alignment horizontal="center"/>
    </xf>
    <xf numFmtId="0" fontId="6" fillId="0" borderId="0" xfId="0" applyFont="1" applyFill="1" applyBorder="1"/>
    <xf numFmtId="0" fontId="5" fillId="0" borderId="0" xfId="0" applyFont="1" applyBorder="1" applyAlignment="1">
      <alignment horizontal="right" vertical="center"/>
    </xf>
    <xf numFmtId="0" fontId="5" fillId="2" borderId="29" xfId="0" applyFont="1" applyFill="1" applyBorder="1" applyAlignment="1">
      <alignment vertical="center" textRotation="90" wrapText="1"/>
    </xf>
    <xf numFmtId="0" fontId="5" fillId="2" borderId="25" xfId="0" applyFont="1" applyFill="1" applyBorder="1" applyAlignment="1">
      <alignment vertical="center" textRotation="90" wrapText="1"/>
    </xf>
    <xf numFmtId="0" fontId="5" fillId="2" borderId="30" xfId="0" applyFont="1" applyFill="1" applyBorder="1" applyAlignment="1">
      <alignment vertical="center" textRotation="90" wrapText="1"/>
    </xf>
    <xf numFmtId="0" fontId="6" fillId="0" borderId="0" xfId="0" applyFont="1" applyAlignment="1">
      <alignment horizontal="left"/>
    </xf>
    <xf numFmtId="0" fontId="0" fillId="3" borderId="0" xfId="0" applyFill="1"/>
    <xf numFmtId="0" fontId="5" fillId="3" borderId="0" xfId="0" applyFont="1" applyFill="1"/>
    <xf numFmtId="167" fontId="0" fillId="0" borderId="0" xfId="0" applyNumberFormat="1"/>
    <xf numFmtId="165" fontId="0" fillId="0" borderId="0" xfId="2" applyNumberFormat="1" applyFont="1" applyFill="1" applyAlignment="1">
      <alignment horizontal="right"/>
    </xf>
    <xf numFmtId="0" fontId="0" fillId="0" borderId="0" xfId="0" applyAlignment="1">
      <alignment horizontal="left"/>
    </xf>
    <xf numFmtId="0" fontId="6" fillId="0" borderId="0" xfId="0" applyFont="1" applyFill="1" applyAlignment="1">
      <alignment horizontal="left"/>
    </xf>
    <xf numFmtId="0" fontId="12" fillId="0" borderId="0" xfId="0" applyFont="1" applyAlignment="1">
      <alignment horizontal="left" vertical="center" wrapText="1"/>
    </xf>
    <xf numFmtId="0" fontId="0" fillId="5" borderId="1" xfId="0" applyFill="1" applyBorder="1" applyAlignment="1">
      <alignment horizontal="center" vertical="center"/>
    </xf>
    <xf numFmtId="0" fontId="0" fillId="5" borderId="9" xfId="0" applyFill="1" applyBorder="1" applyAlignment="1">
      <alignment horizontal="center" vertical="center"/>
    </xf>
    <xf numFmtId="3" fontId="6" fillId="5" borderId="6" xfId="0" applyNumberFormat="1" applyFont="1" applyFill="1" applyBorder="1" applyAlignment="1">
      <alignment horizontal="center" vertical="center"/>
    </xf>
    <xf numFmtId="0" fontId="6" fillId="5" borderId="9" xfId="0" applyFont="1" applyFill="1" applyBorder="1" applyAlignment="1">
      <alignment horizontal="center" vertical="center"/>
    </xf>
    <xf numFmtId="166" fontId="6" fillId="5" borderId="7" xfId="0" applyNumberFormat="1" applyFont="1" applyFill="1" applyBorder="1" applyAlignment="1">
      <alignment horizontal="center" vertical="center"/>
    </xf>
    <xf numFmtId="166" fontId="6" fillId="5" borderId="23" xfId="0" applyNumberFormat="1" applyFont="1" applyFill="1" applyBorder="1" applyAlignment="1">
      <alignment horizontal="center" vertical="center"/>
    </xf>
    <xf numFmtId="1" fontId="6" fillId="5" borderId="6" xfId="0" applyNumberFormat="1" applyFont="1" applyFill="1" applyBorder="1" applyAlignment="1">
      <alignment horizontal="center" vertical="center"/>
    </xf>
    <xf numFmtId="166" fontId="6" fillId="5" borderId="9" xfId="0" applyNumberFormat="1" applyFont="1" applyFill="1" applyBorder="1" applyAlignment="1">
      <alignment horizontal="center" vertical="center"/>
    </xf>
    <xf numFmtId="166" fontId="6" fillId="5" borderId="7" xfId="0" applyNumberFormat="1" applyFont="1" applyFill="1" applyBorder="1" applyAlignment="1">
      <alignment horizontal="right" vertical="center"/>
    </xf>
    <xf numFmtId="1" fontId="0" fillId="5" borderId="23" xfId="0" applyNumberFormat="1" applyFont="1" applyFill="1" applyBorder="1" applyAlignment="1">
      <alignment horizontal="right" vertical="center"/>
    </xf>
    <xf numFmtId="1" fontId="0" fillId="5" borderId="9" xfId="0" applyNumberFormat="1" applyFont="1" applyFill="1" applyBorder="1" applyAlignment="1">
      <alignment horizontal="right" vertical="center"/>
    </xf>
    <xf numFmtId="1" fontId="0" fillId="5" borderId="1" xfId="0" applyNumberFormat="1" applyFont="1" applyFill="1" applyBorder="1" applyAlignment="1">
      <alignment horizontal="right" vertical="center"/>
    </xf>
    <xf numFmtId="166" fontId="6" fillId="5" borderId="3" xfId="0" applyNumberFormat="1" applyFont="1" applyFill="1" applyBorder="1" applyAlignment="1">
      <alignment horizontal="center" vertical="center"/>
    </xf>
    <xf numFmtId="0" fontId="11" fillId="0" borderId="0" xfId="0" applyFont="1" applyBorder="1" applyAlignment="1">
      <alignment horizontal="left" vertical="top" wrapText="1"/>
    </xf>
    <xf numFmtId="3" fontId="6" fillId="0" borderId="0" xfId="0" applyNumberFormat="1" applyFont="1" applyAlignment="1">
      <alignment horizontal="center"/>
    </xf>
    <xf numFmtId="0" fontId="6" fillId="0" borderId="0" xfId="0" applyFont="1" applyAlignment="1">
      <alignment horizontal="center"/>
    </xf>
    <xf numFmtId="0" fontId="6" fillId="0" borderId="0" xfId="0" applyFont="1" applyAlignment="1">
      <alignment vertical="center"/>
    </xf>
    <xf numFmtId="0" fontId="0" fillId="0" borderId="0" xfId="0" applyAlignment="1">
      <alignment vertical="center"/>
    </xf>
    <xf numFmtId="0" fontId="6" fillId="0" borderId="0" xfId="0" applyFont="1" applyAlignment="1">
      <alignment horizontal="left" vertical="center"/>
    </xf>
    <xf numFmtId="0" fontId="0" fillId="5" borderId="29" xfId="0" applyFill="1" applyBorder="1" applyAlignment="1">
      <alignment horizontal="center" vertical="center"/>
    </xf>
    <xf numFmtId="0" fontId="0" fillId="5" borderId="31" xfId="0" applyFill="1" applyBorder="1" applyAlignment="1">
      <alignment horizontal="center" vertical="center"/>
    </xf>
    <xf numFmtId="0" fontId="5" fillId="4" borderId="41" xfId="0" applyFont="1" applyFill="1" applyBorder="1" applyAlignment="1">
      <alignment horizontal="center" vertical="center" wrapText="1"/>
    </xf>
    <xf numFmtId="0" fontId="6" fillId="5" borderId="29" xfId="0" applyFont="1" applyFill="1" applyBorder="1" applyAlignment="1">
      <alignment horizontal="center" vertical="center"/>
    </xf>
    <xf numFmtId="9" fontId="14" fillId="0" borderId="0" xfId="0" applyNumberFormat="1" applyFont="1" applyAlignment="1">
      <alignment horizontal="center" vertical="center"/>
    </xf>
    <xf numFmtId="0" fontId="2" fillId="0" borderId="0" xfId="0" applyFont="1" applyAlignment="1">
      <alignment horizontal="center" vertical="center"/>
    </xf>
    <xf numFmtId="166" fontId="6" fillId="5" borderId="42" xfId="0" applyNumberFormat="1" applyFont="1" applyFill="1" applyBorder="1" applyAlignment="1">
      <alignment horizontal="center" vertical="center"/>
    </xf>
    <xf numFmtId="9" fontId="0" fillId="5" borderId="6" xfId="2" applyFont="1" applyFill="1" applyBorder="1" applyAlignment="1">
      <alignment horizontal="center" vertical="center"/>
    </xf>
    <xf numFmtId="168" fontId="6" fillId="5" borderId="27" xfId="2" applyNumberFormat="1" applyFont="1" applyFill="1" applyBorder="1" applyAlignment="1">
      <alignment horizontal="center" vertical="center"/>
    </xf>
    <xf numFmtId="168" fontId="6" fillId="5" borderId="6" xfId="2" applyNumberFormat="1" applyFont="1" applyFill="1" applyBorder="1" applyAlignment="1">
      <alignment horizontal="center" vertical="center"/>
    </xf>
    <xf numFmtId="0" fontId="6" fillId="3" borderId="0" xfId="0" applyFont="1" applyFill="1"/>
    <xf numFmtId="3" fontId="6" fillId="5" borderId="8" xfId="0" applyNumberFormat="1" applyFont="1" applyFill="1" applyBorder="1" applyAlignment="1">
      <alignment horizontal="center" vertical="center"/>
    </xf>
    <xf numFmtId="169" fontId="0" fillId="0" borderId="0" xfId="0" applyNumberFormat="1" applyAlignment="1">
      <alignment vertical="center"/>
    </xf>
    <xf numFmtId="168" fontId="6" fillId="5" borderId="2" xfId="2" applyNumberFormat="1" applyFont="1" applyFill="1" applyBorder="1" applyAlignment="1">
      <alignment horizontal="center" vertical="center"/>
    </xf>
    <xf numFmtId="168" fontId="6" fillId="5" borderId="4" xfId="2" applyNumberFormat="1" applyFont="1" applyFill="1" applyBorder="1" applyAlignment="1">
      <alignment horizontal="center" vertical="center"/>
    </xf>
    <xf numFmtId="168" fontId="0" fillId="5" borderId="4" xfId="2" applyNumberFormat="1" applyFont="1" applyFill="1" applyBorder="1" applyAlignment="1">
      <alignment horizontal="center" vertical="center"/>
    </xf>
    <xf numFmtId="168" fontId="0" fillId="5" borderId="6" xfId="2" applyNumberFormat="1" applyFont="1" applyFill="1" applyBorder="1" applyAlignment="1">
      <alignment horizontal="center" vertical="center"/>
    </xf>
    <xf numFmtId="168" fontId="0" fillId="5" borderId="35" xfId="2" applyNumberFormat="1" applyFont="1" applyFill="1" applyBorder="1" applyAlignment="1">
      <alignment vertical="center"/>
    </xf>
    <xf numFmtId="168" fontId="0" fillId="5" borderId="27" xfId="2" applyNumberFormat="1" applyFont="1" applyFill="1" applyBorder="1" applyAlignment="1">
      <alignment vertical="center"/>
    </xf>
    <xf numFmtId="168" fontId="0" fillId="5" borderId="6" xfId="2" applyNumberFormat="1" applyFont="1" applyFill="1" applyBorder="1" applyAlignment="1">
      <alignment vertical="center"/>
    </xf>
    <xf numFmtId="168" fontId="0" fillId="5" borderId="4" xfId="2" applyNumberFormat="1" applyFont="1" applyFill="1" applyBorder="1" applyAlignment="1">
      <alignment vertical="center"/>
    </xf>
    <xf numFmtId="166" fontId="0" fillId="0" borderId="0" xfId="0" applyNumberFormat="1" applyAlignment="1">
      <alignment horizontal="left"/>
    </xf>
    <xf numFmtId="3" fontId="15" fillId="0" borderId="0" xfId="0" applyNumberFormat="1" applyFont="1"/>
    <xf numFmtId="0" fontId="6" fillId="0" borderId="0" xfId="0" quotePrefix="1" applyFont="1"/>
    <xf numFmtId="170" fontId="6" fillId="5" borderId="6" xfId="3" applyNumberFormat="1" applyFont="1" applyFill="1" applyBorder="1" applyAlignment="1">
      <alignment horizontal="center" vertical="center"/>
    </xf>
    <xf numFmtId="170" fontId="0" fillId="5" borderId="6" xfId="0" applyNumberFormat="1" applyFill="1" applyBorder="1" applyAlignment="1">
      <alignment horizontal="center" vertical="center"/>
    </xf>
    <xf numFmtId="0" fontId="11" fillId="0" borderId="20" xfId="0" applyFont="1" applyBorder="1" applyAlignment="1">
      <alignment horizontal="left" vertical="top"/>
    </xf>
    <xf numFmtId="0" fontId="11" fillId="0" borderId="0" xfId="0" applyFont="1" applyBorder="1" applyAlignment="1">
      <alignment horizontal="left" vertical="top"/>
    </xf>
    <xf numFmtId="171" fontId="0" fillId="6" borderId="35" xfId="0" applyNumberFormat="1" applyFill="1" applyBorder="1" applyAlignment="1">
      <alignment horizontal="center" vertical="center"/>
    </xf>
    <xf numFmtId="3" fontId="6" fillId="6" borderId="1" xfId="0" applyNumberFormat="1" applyFont="1" applyFill="1" applyBorder="1" applyAlignment="1">
      <alignment horizontal="center" vertical="center"/>
    </xf>
    <xf numFmtId="168" fontId="0" fillId="6" borderId="4" xfId="2" applyNumberFormat="1" applyFont="1" applyFill="1" applyBorder="1" applyAlignment="1">
      <alignment horizontal="center" vertical="center"/>
    </xf>
    <xf numFmtId="3" fontId="6" fillId="6" borderId="5" xfId="0" applyNumberFormat="1" applyFont="1" applyFill="1" applyBorder="1" applyAlignment="1">
      <alignment horizontal="center" vertical="center"/>
    </xf>
    <xf numFmtId="168" fontId="0" fillId="6" borderId="17" xfId="2" applyNumberFormat="1" applyFont="1" applyFill="1" applyBorder="1" applyAlignment="1">
      <alignment horizontal="center" vertical="center"/>
    </xf>
    <xf numFmtId="3" fontId="6" fillId="6" borderId="7" xfId="0" applyNumberFormat="1" applyFont="1" applyFill="1" applyBorder="1" applyAlignment="1">
      <alignment horizontal="center" vertical="center"/>
    </xf>
    <xf numFmtId="171" fontId="5" fillId="6" borderId="32" xfId="0" applyNumberFormat="1" applyFont="1" applyFill="1" applyBorder="1" applyAlignment="1">
      <alignment horizontal="center" vertical="center"/>
    </xf>
    <xf numFmtId="3" fontId="6" fillId="6" borderId="34" xfId="0" applyNumberFormat="1" applyFont="1" applyFill="1" applyBorder="1" applyAlignment="1">
      <alignment horizontal="center" vertical="center"/>
    </xf>
    <xf numFmtId="168" fontId="0" fillId="6" borderId="32" xfId="2" applyNumberFormat="1" applyFont="1" applyFill="1" applyBorder="1" applyAlignment="1">
      <alignment horizontal="center" vertical="center"/>
    </xf>
    <xf numFmtId="3" fontId="6" fillId="6" borderId="33" xfId="0" applyNumberFormat="1" applyFont="1" applyFill="1" applyBorder="1" applyAlignment="1">
      <alignment horizontal="center" vertical="center"/>
    </xf>
    <xf numFmtId="0" fontId="11" fillId="0" borderId="0" xfId="0" applyFont="1" applyBorder="1" applyAlignment="1">
      <alignment vertical="top"/>
    </xf>
    <xf numFmtId="0" fontId="5" fillId="0" borderId="0" xfId="0" applyFont="1" applyAlignment="1">
      <alignment horizontal="right" vertical="center"/>
    </xf>
    <xf numFmtId="0" fontId="5" fillId="3" borderId="0" xfId="0" applyFont="1" applyFill="1" applyAlignment="1">
      <alignment horizontal="right" vertical="center"/>
    </xf>
    <xf numFmtId="3" fontId="6" fillId="6" borderId="8" xfId="0" applyNumberFormat="1" applyFont="1" applyFill="1" applyBorder="1" applyAlignment="1">
      <alignment horizontal="center" vertical="center"/>
    </xf>
    <xf numFmtId="168" fontId="6" fillId="6" borderId="2" xfId="2" applyNumberFormat="1" applyFont="1" applyFill="1" applyBorder="1" applyAlignment="1">
      <alignment horizontal="center" vertical="center"/>
    </xf>
    <xf numFmtId="168" fontId="6" fillId="6" borderId="4" xfId="2" applyNumberFormat="1" applyFont="1" applyFill="1" applyBorder="1" applyAlignment="1">
      <alignment horizontal="center" vertical="center"/>
    </xf>
    <xf numFmtId="3" fontId="6" fillId="6" borderId="9" xfId="0" applyNumberFormat="1" applyFont="1" applyFill="1" applyBorder="1" applyAlignment="1">
      <alignment horizontal="center" vertical="center"/>
    </xf>
    <xf numFmtId="3" fontId="6" fillId="5" borderId="3" xfId="0" applyNumberFormat="1" applyFont="1" applyFill="1" applyBorder="1" applyAlignment="1">
      <alignment horizontal="center" vertical="center"/>
    </xf>
    <xf numFmtId="3" fontId="6" fillId="6" borderId="3" xfId="0" applyNumberFormat="1" applyFont="1" applyFill="1" applyBorder="1" applyAlignment="1">
      <alignment horizontal="center" vertical="center"/>
    </xf>
    <xf numFmtId="0" fontId="6" fillId="6" borderId="5" xfId="0" applyFont="1" applyFill="1" applyBorder="1" applyAlignment="1">
      <alignment horizontal="center" vertical="center"/>
    </xf>
    <xf numFmtId="0" fontId="6" fillId="6" borderId="16" xfId="0" applyFont="1" applyFill="1" applyBorder="1" applyAlignment="1">
      <alignment horizontal="center" vertical="center"/>
    </xf>
    <xf numFmtId="0" fontId="6" fillId="6" borderId="5" xfId="0" applyFont="1" applyFill="1" applyBorder="1" applyAlignment="1">
      <alignment horizontal="center" vertical="center" wrapText="1"/>
    </xf>
    <xf numFmtId="168" fontId="5" fillId="6" borderId="17" xfId="2" applyNumberFormat="1" applyFont="1" applyFill="1" applyBorder="1" applyAlignment="1">
      <alignment horizontal="center" vertical="center"/>
    </xf>
    <xf numFmtId="0" fontId="11" fillId="0" borderId="0" xfId="0" applyFont="1" applyBorder="1" applyAlignment="1">
      <alignment vertical="top" wrapText="1"/>
    </xf>
    <xf numFmtId="171" fontId="0" fillId="6" borderId="27" xfId="0" applyNumberFormat="1" applyFill="1" applyBorder="1" applyAlignment="1">
      <alignment horizontal="center" vertical="center"/>
    </xf>
    <xf numFmtId="168" fontId="0" fillId="6" borderId="6" xfId="2" applyNumberFormat="1" applyFont="1" applyFill="1" applyBorder="1" applyAlignment="1">
      <alignment horizontal="center" vertical="center"/>
    </xf>
    <xf numFmtId="0" fontId="5" fillId="5" borderId="45" xfId="0" applyFont="1" applyFill="1" applyBorder="1" applyAlignment="1">
      <alignment horizontal="center" vertical="center"/>
    </xf>
    <xf numFmtId="0" fontId="5" fillId="5" borderId="46" xfId="0" applyFont="1" applyFill="1" applyBorder="1" applyAlignment="1">
      <alignment horizontal="center" vertical="center"/>
    </xf>
    <xf numFmtId="0" fontId="0" fillId="0" borderId="0" xfId="0" applyFill="1" applyBorder="1"/>
    <xf numFmtId="0" fontId="0" fillId="0" borderId="0" xfId="0" applyFill="1" applyBorder="1" applyAlignment="1">
      <alignment horizontal="center"/>
    </xf>
    <xf numFmtId="0" fontId="6" fillId="0" borderId="0" xfId="0" applyFont="1" applyFill="1" applyBorder="1" applyAlignment="1">
      <alignment horizontal="center"/>
    </xf>
    <xf numFmtId="3" fontId="6" fillId="0" borderId="0" xfId="0" applyNumberFormat="1" applyFont="1" applyFill="1" applyBorder="1" applyAlignment="1">
      <alignment horizontal="center"/>
    </xf>
    <xf numFmtId="3" fontId="6" fillId="6" borderId="14" xfId="0" applyNumberFormat="1" applyFont="1" applyFill="1" applyBorder="1" applyAlignment="1">
      <alignment horizontal="center" vertical="center"/>
    </xf>
    <xf numFmtId="166" fontId="6" fillId="6" borderId="15" xfId="0" applyNumberFormat="1" applyFont="1" applyFill="1" applyBorder="1" applyAlignment="1">
      <alignment horizontal="center" vertical="center"/>
    </xf>
    <xf numFmtId="166" fontId="6" fillId="6" borderId="23" xfId="0" applyNumberFormat="1" applyFont="1" applyFill="1" applyBorder="1" applyAlignment="1">
      <alignment horizontal="center" vertical="center"/>
    </xf>
    <xf numFmtId="0" fontId="5" fillId="5" borderId="47" xfId="0" applyFont="1" applyFill="1" applyBorder="1" applyAlignment="1">
      <alignment horizontal="center" vertical="center"/>
    </xf>
    <xf numFmtId="171" fontId="0" fillId="6" borderId="43" xfId="0" applyNumberFormat="1" applyFill="1" applyBorder="1" applyAlignment="1">
      <alignment horizontal="center" vertical="center"/>
    </xf>
    <xf numFmtId="166" fontId="6" fillId="6" borderId="48" xfId="0" applyNumberFormat="1" applyFont="1" applyFill="1" applyBorder="1" applyAlignment="1">
      <alignment horizontal="center" vertical="center"/>
    </xf>
    <xf numFmtId="3" fontId="6" fillId="6" borderId="16" xfId="0" applyNumberFormat="1" applyFont="1" applyFill="1" applyBorder="1" applyAlignment="1">
      <alignment horizontal="center" vertical="center"/>
    </xf>
    <xf numFmtId="168" fontId="0" fillId="5" borderId="17" xfId="2" applyNumberFormat="1" applyFont="1" applyFill="1" applyBorder="1" applyAlignment="1">
      <alignment vertical="center"/>
    </xf>
    <xf numFmtId="1" fontId="0" fillId="5" borderId="14" xfId="0" applyNumberFormat="1" applyFont="1" applyFill="1" applyBorder="1" applyAlignment="1">
      <alignment horizontal="right" vertical="center"/>
    </xf>
    <xf numFmtId="168" fontId="0" fillId="5" borderId="43" xfId="2" applyNumberFormat="1" applyFont="1" applyFill="1" applyBorder="1" applyAlignment="1">
      <alignment vertical="center"/>
    </xf>
    <xf numFmtId="1" fontId="0" fillId="5" borderId="48" xfId="0" applyNumberFormat="1" applyFont="1" applyFill="1" applyBorder="1" applyAlignment="1">
      <alignment horizontal="right" vertical="center"/>
    </xf>
    <xf numFmtId="0" fontId="0" fillId="5" borderId="14" xfId="0" applyFill="1" applyBorder="1" applyAlignment="1">
      <alignment horizontal="right" vertical="center"/>
    </xf>
    <xf numFmtId="166" fontId="6" fillId="5" borderId="16" xfId="0" applyNumberFormat="1" applyFont="1" applyFill="1" applyBorder="1" applyAlignment="1">
      <alignment horizontal="right" vertical="center"/>
    </xf>
    <xf numFmtId="166" fontId="6" fillId="5" borderId="23" xfId="0" applyNumberFormat="1" applyFont="1" applyFill="1" applyBorder="1" applyAlignment="1">
      <alignment horizontal="right" vertical="center"/>
    </xf>
    <xf numFmtId="0" fontId="5" fillId="2" borderId="31" xfId="0" applyFont="1" applyFill="1" applyBorder="1" applyAlignment="1">
      <alignment vertical="center" textRotation="90" wrapText="1"/>
    </xf>
    <xf numFmtId="0" fontId="5" fillId="2" borderId="53" xfId="0" applyFont="1" applyFill="1" applyBorder="1" applyAlignment="1">
      <alignment vertical="center" textRotation="90" wrapText="1"/>
    </xf>
    <xf numFmtId="0" fontId="5" fillId="2" borderId="42" xfId="0" applyFont="1" applyFill="1" applyBorder="1" applyAlignment="1">
      <alignment vertical="center" textRotation="90" wrapText="1"/>
    </xf>
    <xf numFmtId="168" fontId="6" fillId="6" borderId="24" xfId="2" applyNumberFormat="1" applyFont="1" applyFill="1" applyBorder="1" applyAlignment="1">
      <alignment horizontal="center" vertical="center"/>
    </xf>
    <xf numFmtId="168" fontId="6" fillId="6" borderId="25" xfId="2" applyNumberFormat="1" applyFont="1" applyFill="1" applyBorder="1" applyAlignment="1">
      <alignment horizontal="center" vertical="center"/>
    </xf>
    <xf numFmtId="168" fontId="6" fillId="6" borderId="21" xfId="2" applyNumberFormat="1" applyFont="1" applyFill="1" applyBorder="1" applyAlignment="1">
      <alignment horizontal="center" vertical="center"/>
    </xf>
    <xf numFmtId="168" fontId="6" fillId="5" borderId="26" xfId="2" applyNumberFormat="1" applyFont="1" applyFill="1" applyBorder="1" applyAlignment="1">
      <alignment horizontal="center" vertical="center"/>
    </xf>
    <xf numFmtId="168" fontId="6" fillId="5" borderId="35" xfId="2" applyNumberFormat="1" applyFont="1" applyFill="1" applyBorder="1" applyAlignment="1">
      <alignment horizontal="center" vertical="center"/>
    </xf>
    <xf numFmtId="168" fontId="6" fillId="6" borderId="17" xfId="2" applyNumberFormat="1" applyFont="1" applyFill="1" applyBorder="1" applyAlignment="1">
      <alignment horizontal="center" vertical="center"/>
    </xf>
    <xf numFmtId="166" fontId="6" fillId="6" borderId="16" xfId="0" applyNumberFormat="1" applyFont="1" applyFill="1" applyBorder="1" applyAlignment="1">
      <alignment horizontal="center" vertical="center" wrapText="1"/>
    </xf>
    <xf numFmtId="0" fontId="6" fillId="6" borderId="10" xfId="0" applyFont="1" applyFill="1" applyBorder="1" applyAlignment="1">
      <alignment horizontal="center" vertical="center" wrapText="1"/>
    </xf>
    <xf numFmtId="0" fontId="6" fillId="6" borderId="29" xfId="0" applyFont="1" applyFill="1" applyBorder="1" applyAlignment="1">
      <alignment horizontal="center" vertical="center" wrapText="1"/>
    </xf>
    <xf numFmtId="0" fontId="5" fillId="6" borderId="31" xfId="0" applyFont="1" applyFill="1" applyBorder="1" applyAlignment="1">
      <alignment horizontal="center" vertical="center" wrapText="1"/>
    </xf>
    <xf numFmtId="171" fontId="6" fillId="6" borderId="2" xfId="0" applyNumberFormat="1" applyFont="1" applyFill="1" applyBorder="1" applyAlignment="1">
      <alignment horizontal="center" vertical="center"/>
    </xf>
    <xf numFmtId="171" fontId="6" fillId="6" borderId="4" xfId="0" applyNumberFormat="1" applyFont="1" applyFill="1" applyBorder="1" applyAlignment="1">
      <alignment horizontal="center" vertical="center"/>
    </xf>
    <xf numFmtId="171" fontId="5" fillId="6" borderId="17" xfId="0" applyNumberFormat="1" applyFont="1" applyFill="1" applyBorder="1" applyAlignment="1">
      <alignment horizontal="center" vertical="center"/>
    </xf>
    <xf numFmtId="171" fontId="6" fillId="5" borderId="4" xfId="0" applyNumberFormat="1" applyFont="1" applyFill="1" applyBorder="1" applyAlignment="1">
      <alignment horizontal="center" vertical="center"/>
    </xf>
    <xf numFmtId="166" fontId="6" fillId="6" borderId="5" xfId="0" applyNumberFormat="1" applyFont="1" applyFill="1" applyBorder="1" applyAlignment="1">
      <alignment horizontal="center" vertical="center" wrapText="1"/>
    </xf>
    <xf numFmtId="166" fontId="6" fillId="6" borderId="3" xfId="0" applyNumberFormat="1" applyFont="1" applyFill="1" applyBorder="1" applyAlignment="1">
      <alignment horizontal="center" vertical="center" wrapText="1"/>
    </xf>
    <xf numFmtId="166" fontId="6" fillId="0" borderId="0" xfId="0" applyNumberFormat="1" applyFont="1" applyAlignment="1">
      <alignment horizontal="left"/>
    </xf>
    <xf numFmtId="167" fontId="6" fillId="0" borderId="0" xfId="0" applyNumberFormat="1" applyFont="1"/>
    <xf numFmtId="3" fontId="6" fillId="5" borderId="1" xfId="0" applyNumberFormat="1" applyFont="1" applyFill="1" applyBorder="1" applyAlignment="1">
      <alignment horizontal="center" vertical="center"/>
    </xf>
    <xf numFmtId="168" fontId="6" fillId="5" borderId="1" xfId="2" applyNumberFormat="1" applyFont="1" applyFill="1" applyBorder="1" applyAlignment="1">
      <alignment horizontal="center" vertical="center"/>
    </xf>
    <xf numFmtId="0" fontId="6" fillId="5" borderId="1" xfId="0" applyFont="1" applyFill="1" applyBorder="1" applyAlignment="1">
      <alignment horizontal="center" vertical="center"/>
    </xf>
    <xf numFmtId="171" fontId="6" fillId="5" borderId="2" xfId="0" applyNumberFormat="1" applyFont="1" applyFill="1" applyBorder="1" applyAlignment="1">
      <alignment horizontal="center" vertical="center"/>
    </xf>
    <xf numFmtId="168" fontId="6" fillId="5" borderId="8" xfId="2" applyNumberFormat="1" applyFont="1" applyFill="1" applyBorder="1" applyAlignment="1">
      <alignment horizontal="center" vertical="center"/>
    </xf>
    <xf numFmtId="0" fontId="6" fillId="5" borderId="5" xfId="0" applyFont="1" applyFill="1" applyBorder="1" applyAlignment="1">
      <alignment horizontal="center" vertical="center"/>
    </xf>
    <xf numFmtId="171" fontId="5" fillId="5" borderId="4" xfId="0" applyNumberFormat="1" applyFont="1" applyFill="1" applyBorder="1" applyAlignment="1">
      <alignment horizontal="center" vertical="center"/>
    </xf>
    <xf numFmtId="166" fontId="6" fillId="5" borderId="22" xfId="0" applyNumberFormat="1" applyFont="1" applyFill="1" applyBorder="1" applyAlignment="1">
      <alignment horizontal="center" vertical="center" wrapText="1"/>
    </xf>
    <xf numFmtId="166" fontId="6" fillId="5" borderId="15" xfId="0" applyNumberFormat="1" applyFont="1" applyFill="1" applyBorder="1" applyAlignment="1">
      <alignment horizontal="center" vertical="center" wrapText="1"/>
    </xf>
    <xf numFmtId="166" fontId="6" fillId="5" borderId="5" xfId="0" applyNumberFormat="1" applyFont="1" applyFill="1" applyBorder="1" applyAlignment="1">
      <alignment horizontal="center" vertical="center"/>
    </xf>
    <xf numFmtId="0" fontId="5" fillId="6" borderId="54" xfId="0" applyFont="1" applyFill="1" applyBorder="1" applyAlignment="1">
      <alignment horizontal="center" vertical="center" wrapText="1"/>
    </xf>
    <xf numFmtId="0" fontId="5" fillId="6" borderId="46" xfId="0" applyFont="1" applyFill="1" applyBorder="1" applyAlignment="1">
      <alignment horizontal="center" vertical="center" wrapText="1"/>
    </xf>
    <xf numFmtId="168" fontId="16" fillId="7" borderId="4" xfId="2" applyNumberFormat="1" applyFont="1" applyFill="1" applyBorder="1" applyAlignment="1">
      <alignment horizontal="center" vertical="center" wrapText="1"/>
    </xf>
    <xf numFmtId="166" fontId="6" fillId="6" borderId="5" xfId="0" applyNumberFormat="1" applyFont="1" applyFill="1" applyBorder="1" applyAlignment="1">
      <alignment horizontal="center" vertical="center"/>
    </xf>
    <xf numFmtId="166" fontId="6" fillId="6" borderId="33" xfId="0" applyNumberFormat="1" applyFont="1" applyFill="1" applyBorder="1" applyAlignment="1">
      <alignment horizontal="center" vertical="center"/>
    </xf>
    <xf numFmtId="166" fontId="6" fillId="5" borderId="5" xfId="0" applyNumberFormat="1" applyFont="1" applyFill="1" applyBorder="1" applyAlignment="1">
      <alignment horizontal="right" vertical="center"/>
    </xf>
    <xf numFmtId="168" fontId="0" fillId="0" borderId="0" xfId="2" applyNumberFormat="1" applyFont="1"/>
    <xf numFmtId="164" fontId="0" fillId="0" borderId="0" xfId="3" applyFont="1"/>
    <xf numFmtId="170" fontId="0" fillId="0" borderId="0" xfId="3" applyNumberFormat="1" applyFont="1"/>
    <xf numFmtId="0" fontId="5" fillId="4" borderId="10" xfId="0" applyFont="1" applyFill="1" applyBorder="1" applyAlignment="1">
      <alignment horizontal="center" vertical="center" wrapText="1"/>
    </xf>
    <xf numFmtId="0" fontId="5" fillId="4" borderId="24" xfId="0" applyFont="1" applyFill="1" applyBorder="1" applyAlignment="1">
      <alignment horizontal="center" vertical="center" wrapText="1"/>
    </xf>
    <xf numFmtId="0" fontId="5" fillId="4" borderId="26" xfId="0" applyFont="1" applyFill="1" applyBorder="1" applyAlignment="1">
      <alignment horizontal="center" vertical="center" wrapText="1"/>
    </xf>
    <xf numFmtId="0" fontId="5" fillId="4" borderId="28"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5" fillId="4" borderId="22"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5" fillId="4" borderId="13" xfId="0" applyFont="1" applyFill="1" applyBorder="1" applyAlignment="1">
      <alignment horizontal="center" vertical="center" wrapText="1"/>
    </xf>
    <xf numFmtId="0" fontId="5" fillId="4" borderId="18" xfId="0" applyFont="1" applyFill="1" applyBorder="1" applyAlignment="1">
      <alignment horizontal="center" vertical="center" wrapText="1"/>
    </xf>
    <xf numFmtId="0" fontId="5" fillId="4" borderId="19" xfId="0" applyFont="1" applyFill="1" applyBorder="1" applyAlignment="1">
      <alignment horizontal="center" vertical="center" wrapText="1"/>
    </xf>
    <xf numFmtId="0" fontId="5" fillId="4" borderId="36" xfId="0" applyFont="1" applyFill="1" applyBorder="1" applyAlignment="1">
      <alignment horizontal="center" vertical="center" wrapText="1"/>
    </xf>
    <xf numFmtId="0" fontId="5" fillId="4" borderId="11" xfId="0" applyFont="1" applyFill="1" applyBorder="1" applyAlignment="1">
      <alignment horizontal="center" vertical="center" wrapText="1"/>
    </xf>
    <xf numFmtId="0" fontId="5" fillId="4" borderId="41" xfId="0" applyFont="1" applyFill="1" applyBorder="1" applyAlignment="1">
      <alignment horizontal="center" vertical="center" wrapText="1"/>
    </xf>
    <xf numFmtId="0" fontId="5" fillId="4" borderId="40" xfId="0" applyFont="1" applyFill="1" applyBorder="1" applyAlignment="1">
      <alignment horizontal="center" vertical="center" wrapText="1"/>
    </xf>
    <xf numFmtId="0" fontId="5" fillId="4" borderId="51" xfId="0" applyFont="1" applyFill="1" applyBorder="1" applyAlignment="1">
      <alignment horizontal="center" vertical="center" wrapText="1"/>
    </xf>
    <xf numFmtId="0" fontId="5" fillId="4" borderId="49" xfId="0" applyFont="1" applyFill="1" applyBorder="1" applyAlignment="1">
      <alignment horizontal="center" vertical="center" wrapText="1"/>
    </xf>
    <xf numFmtId="0" fontId="5" fillId="4" borderId="52" xfId="0" applyFont="1" applyFill="1" applyBorder="1" applyAlignment="1">
      <alignment horizontal="center" vertical="center" wrapText="1"/>
    </xf>
    <xf numFmtId="0" fontId="5" fillId="4" borderId="44" xfId="0" applyFont="1" applyFill="1" applyBorder="1" applyAlignment="1">
      <alignment horizontal="center" vertical="center" wrapText="1"/>
    </xf>
    <xf numFmtId="0" fontId="5" fillId="4" borderId="45" xfId="0" applyFont="1" applyFill="1" applyBorder="1" applyAlignment="1">
      <alignment horizontal="center" vertical="center" wrapText="1"/>
    </xf>
    <xf numFmtId="0" fontId="5" fillId="4" borderId="50" xfId="0" applyFont="1" applyFill="1" applyBorder="1" applyAlignment="1">
      <alignment horizontal="center" vertical="center" wrapText="1"/>
    </xf>
    <xf numFmtId="0" fontId="5" fillId="4" borderId="37" xfId="0" applyFont="1" applyFill="1" applyBorder="1" applyAlignment="1">
      <alignment horizontal="center" vertical="center" wrapText="1"/>
    </xf>
    <xf numFmtId="0" fontId="5" fillId="4" borderId="39" xfId="0" applyFont="1" applyFill="1" applyBorder="1" applyAlignment="1">
      <alignment horizontal="center" vertical="center" wrapText="1"/>
    </xf>
    <xf numFmtId="0" fontId="5" fillId="4" borderId="38" xfId="0" applyFont="1" applyFill="1" applyBorder="1" applyAlignment="1">
      <alignment horizontal="center" vertical="center" wrapText="1"/>
    </xf>
    <xf numFmtId="0" fontId="5" fillId="4" borderId="29" xfId="0" applyFont="1" applyFill="1" applyBorder="1" applyAlignment="1">
      <alignment horizontal="center" vertical="center" wrapText="1"/>
    </xf>
    <xf numFmtId="0" fontId="5" fillId="4" borderId="54" xfId="0" applyFont="1" applyFill="1" applyBorder="1" applyAlignment="1">
      <alignment horizontal="center" vertical="center" wrapText="1"/>
    </xf>
    <xf numFmtId="0" fontId="5" fillId="4" borderId="55" xfId="0" applyFont="1" applyFill="1" applyBorder="1" applyAlignment="1">
      <alignment horizontal="center" vertical="center" wrapText="1"/>
    </xf>
    <xf numFmtId="0" fontId="5" fillId="4" borderId="56" xfId="0" applyFont="1" applyFill="1" applyBorder="1" applyAlignment="1">
      <alignment horizontal="center" vertical="center" wrapText="1"/>
    </xf>
    <xf numFmtId="9" fontId="5" fillId="5" borderId="6" xfId="2" applyNumberFormat="1" applyFont="1" applyFill="1" applyBorder="1" applyAlignment="1">
      <alignment horizontal="center" vertical="center" wrapText="1"/>
    </xf>
    <xf numFmtId="9" fontId="5" fillId="5" borderId="9" xfId="2" applyNumberFormat="1" applyFont="1" applyFill="1" applyBorder="1" applyAlignment="1">
      <alignment horizontal="center" vertical="center" wrapText="1"/>
    </xf>
    <xf numFmtId="9" fontId="5" fillId="5" borderId="7" xfId="2" applyNumberFormat="1" applyFont="1" applyFill="1" applyBorder="1" applyAlignment="1">
      <alignment horizontal="center" vertical="center" wrapText="1"/>
    </xf>
    <xf numFmtId="0" fontId="11" fillId="0" borderId="0" xfId="0" applyFont="1" applyAlignment="1">
      <alignment horizontal="left" vertical="top"/>
    </xf>
    <xf numFmtId="0" fontId="5" fillId="4" borderId="31" xfId="0" applyFont="1" applyFill="1" applyBorder="1" applyAlignment="1">
      <alignment horizontal="center" vertical="center" wrapText="1"/>
    </xf>
  </cellXfs>
  <cellStyles count="4">
    <cellStyle name="Comma" xfId="3" builtinId="3"/>
    <cellStyle name="Hyperlink" xfId="1" builtinId="8"/>
    <cellStyle name="Normal" xfId="0" builtinId="0"/>
    <cellStyle name="Percent" xfId="2" builtinId="5"/>
  </cellStyles>
  <dxfs count="3">
    <dxf>
      <fill>
        <patternFill patternType="lightHorizontal"/>
      </fill>
    </dxf>
    <dxf>
      <fill>
        <patternFill patternType="lightHorizontal"/>
      </fill>
    </dxf>
    <dxf>
      <fill>
        <patternFill patternType="lightHorizontal"/>
      </fill>
    </dxf>
  </dxfs>
  <tableStyles count="0" defaultTableStyle="TableStyleMedium2" defaultPivotStyle="PivotStyleLight16"/>
  <colors>
    <mruColors>
      <color rgb="FFEBF2DF"/>
      <color rgb="FF5196B6"/>
      <color rgb="FF7AA08E"/>
      <color rgb="FF589491"/>
      <color rgb="FF789E8B"/>
      <color rgb="FF7AA291"/>
      <color rgb="FF78AD9A"/>
      <color rgb="FF768C78"/>
      <color rgb="FF5399BC"/>
      <color rgb="FF7CB5A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1</xdr:col>
      <xdr:colOff>259556</xdr:colOff>
      <xdr:row>0</xdr:row>
      <xdr:rowOff>390525</xdr:rowOff>
    </xdr:from>
    <xdr:ext cx="1085850" cy="1085850"/>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997744" y="390525"/>
          <a:ext cx="1085850" cy="1085850"/>
        </a:xfrm>
        <a:prstGeom prst="rect">
          <a:avLst/>
        </a:prstGeom>
      </xdr:spPr>
    </xdr:pic>
    <xdr:clientData/>
  </xdr:oneCellAnchor>
  <xdr:oneCellAnchor>
    <xdr:from>
      <xdr:col>3</xdr:col>
      <xdr:colOff>371475</xdr:colOff>
      <xdr:row>0</xdr:row>
      <xdr:rowOff>393700</xdr:rowOff>
    </xdr:from>
    <xdr:ext cx="809625" cy="809625"/>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stretch>
          <a:fillRect/>
        </a:stretch>
      </xdr:blipFill>
      <xdr:spPr>
        <a:xfrm>
          <a:off x="8943975" y="2536825"/>
          <a:ext cx="809625" cy="809625"/>
        </a:xfrm>
        <a:prstGeom prst="rect">
          <a:avLst/>
        </a:prstGeom>
      </xdr:spPr>
    </xdr:pic>
    <xdr:clientData/>
  </xdr:oneCellAnchor>
  <xdr:twoCellAnchor>
    <xdr:from>
      <xdr:col>2</xdr:col>
      <xdr:colOff>2546350</xdr:colOff>
      <xdr:row>1</xdr:row>
      <xdr:rowOff>184150</xdr:rowOff>
    </xdr:from>
    <xdr:to>
      <xdr:col>2</xdr:col>
      <xdr:colOff>3752850</xdr:colOff>
      <xdr:row>1</xdr:row>
      <xdr:rowOff>1596619</xdr:rowOff>
    </xdr:to>
    <xdr:grpSp>
      <xdr:nvGrpSpPr>
        <xdr:cNvPr id="4" name="Group 3">
          <a:extLst>
            <a:ext uri="{FF2B5EF4-FFF2-40B4-BE49-F238E27FC236}">
              <a16:creationId xmlns:a16="http://schemas.microsoft.com/office/drawing/2014/main" id="{0F598BA5-94C0-AE46-B45D-8FE246E8B505}"/>
            </a:ext>
          </a:extLst>
        </xdr:cNvPr>
        <xdr:cNvGrpSpPr/>
      </xdr:nvGrpSpPr>
      <xdr:grpSpPr>
        <a:xfrm>
          <a:off x="4972050" y="946150"/>
          <a:ext cx="1206500" cy="1412469"/>
          <a:chOff x="0" y="0"/>
          <a:chExt cx="1828800" cy="2141408"/>
        </a:xfrm>
      </xdr:grpSpPr>
      <xdr:pic>
        <xdr:nvPicPr>
          <xdr:cNvPr id="5" name="Picture 4">
            <a:extLst>
              <a:ext uri="{FF2B5EF4-FFF2-40B4-BE49-F238E27FC236}">
                <a16:creationId xmlns:a16="http://schemas.microsoft.com/office/drawing/2014/main" id="{10CFC6BB-3DC8-784D-9F2A-E796A75F4099}"/>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1828800" cy="1688592"/>
          </a:xfrm>
          <a:prstGeom prst="rect">
            <a:avLst/>
          </a:prstGeom>
          <a:noFill/>
          <a:ln>
            <a:noFill/>
          </a:ln>
        </xdr:spPr>
      </xdr:pic>
      <xdr:sp macro="" textlink="">
        <xdr:nvSpPr>
          <xdr:cNvPr id="6" name="Rectangle 5">
            <a:extLst>
              <a:ext uri="{FF2B5EF4-FFF2-40B4-BE49-F238E27FC236}">
                <a16:creationId xmlns:a16="http://schemas.microsoft.com/office/drawing/2014/main" id="{27B76F6A-C1F9-A642-8CBF-655ABF6C683D}"/>
              </a:ext>
            </a:extLst>
          </xdr:cNvPr>
          <xdr:cNvSpPr/>
        </xdr:nvSpPr>
        <xdr:spPr>
          <a:xfrm>
            <a:off x="0" y="1688592"/>
            <a:ext cx="1828800" cy="452816"/>
          </a:xfrm>
          <a:prstGeom prst="rect">
            <a:avLst/>
          </a:prstGeom>
          <a:solidFill>
            <a:srgbClr val="26BDE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US" sz="800" b="1" kern="1200">
                <a:solidFill>
                  <a:srgbClr val="FFFFFF"/>
                </a:solidFill>
                <a:effectLst/>
                <a:latin typeface="Arial Narrow" panose="020B0604020202020204" pitchFamily="34" charset="0"/>
                <a:ea typeface="Calibri" panose="020F0502020204030204" pitchFamily="34" charset="0"/>
                <a:cs typeface="Times New Roman" panose="02020603050405020304" pitchFamily="18" charset="0"/>
              </a:rPr>
              <a:t>IN HOUSEHOLDS</a:t>
            </a:r>
            <a:endParaRPr lang="en-GB" sz="1100">
              <a:effectLst/>
              <a:ea typeface="Calibri" panose="020F0502020204030204" pitchFamily="34" charset="0"/>
              <a:cs typeface="Times New Roman" panose="02020603050405020304" pitchFamily="18" charset="0"/>
            </a:endParaRPr>
          </a:p>
        </xdr:txBody>
      </xdr:sp>
    </xdr:grpSp>
    <xdr:clientData/>
  </xdr:twoCellAnchor>
  <xdr:twoCellAnchor>
    <xdr:from>
      <xdr:col>2</xdr:col>
      <xdr:colOff>2546350</xdr:colOff>
      <xdr:row>1</xdr:row>
      <xdr:rowOff>184150</xdr:rowOff>
    </xdr:from>
    <xdr:to>
      <xdr:col>2</xdr:col>
      <xdr:colOff>3752850</xdr:colOff>
      <xdr:row>1</xdr:row>
      <xdr:rowOff>1596619</xdr:rowOff>
    </xdr:to>
    <xdr:grpSp>
      <xdr:nvGrpSpPr>
        <xdr:cNvPr id="7" name="Group 6">
          <a:extLst>
            <a:ext uri="{FF2B5EF4-FFF2-40B4-BE49-F238E27FC236}">
              <a16:creationId xmlns:a16="http://schemas.microsoft.com/office/drawing/2014/main" id="{0D150D08-123E-3044-BE64-439426A57D1D}"/>
            </a:ext>
          </a:extLst>
        </xdr:cNvPr>
        <xdr:cNvGrpSpPr/>
      </xdr:nvGrpSpPr>
      <xdr:grpSpPr>
        <a:xfrm>
          <a:off x="4972050" y="946150"/>
          <a:ext cx="1206500" cy="1412469"/>
          <a:chOff x="0" y="0"/>
          <a:chExt cx="1828800" cy="2141408"/>
        </a:xfrm>
      </xdr:grpSpPr>
      <xdr:pic>
        <xdr:nvPicPr>
          <xdr:cNvPr id="8" name="Picture 7">
            <a:extLst>
              <a:ext uri="{FF2B5EF4-FFF2-40B4-BE49-F238E27FC236}">
                <a16:creationId xmlns:a16="http://schemas.microsoft.com/office/drawing/2014/main" id="{D013E635-E2CF-D04C-B6CF-F2B22F89D473}"/>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1828800" cy="1688592"/>
          </a:xfrm>
          <a:prstGeom prst="rect">
            <a:avLst/>
          </a:prstGeom>
          <a:noFill/>
          <a:ln>
            <a:noFill/>
          </a:ln>
        </xdr:spPr>
      </xdr:pic>
      <xdr:sp macro="" textlink="">
        <xdr:nvSpPr>
          <xdr:cNvPr id="9" name="Rectangle 8">
            <a:extLst>
              <a:ext uri="{FF2B5EF4-FFF2-40B4-BE49-F238E27FC236}">
                <a16:creationId xmlns:a16="http://schemas.microsoft.com/office/drawing/2014/main" id="{2A391029-20B8-9548-B7CF-52844A43BBD4}"/>
              </a:ext>
            </a:extLst>
          </xdr:cNvPr>
          <xdr:cNvSpPr/>
        </xdr:nvSpPr>
        <xdr:spPr>
          <a:xfrm>
            <a:off x="0" y="1688592"/>
            <a:ext cx="1828800" cy="452816"/>
          </a:xfrm>
          <a:prstGeom prst="rect">
            <a:avLst/>
          </a:prstGeom>
          <a:solidFill>
            <a:srgbClr val="26BDE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US" sz="800" b="1" kern="1200">
                <a:solidFill>
                  <a:srgbClr val="FFFFFF"/>
                </a:solidFill>
                <a:effectLst/>
                <a:latin typeface="Arial Narrow" panose="020B0604020202020204" pitchFamily="34" charset="0"/>
                <a:ea typeface="Calibri" panose="020F0502020204030204" pitchFamily="34" charset="0"/>
                <a:cs typeface="Times New Roman" panose="02020603050405020304" pitchFamily="18" charset="0"/>
              </a:rPr>
              <a:t>IN HOUSEHOLDS</a:t>
            </a:r>
            <a:endParaRPr lang="en-GB" sz="1100">
              <a:effectLst/>
              <a:ea typeface="Calibri" panose="020F0502020204030204" pitchFamily="34" charset="0"/>
              <a:cs typeface="Times New Roman" panose="02020603050405020304" pitchFamily="18" charset="0"/>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139700</xdr:colOff>
      <xdr:row>3</xdr:row>
      <xdr:rowOff>38100</xdr:rowOff>
    </xdr:from>
    <xdr:to>
      <xdr:col>1</xdr:col>
      <xdr:colOff>9817100</xdr:colOff>
      <xdr:row>3</xdr:row>
      <xdr:rowOff>4597400</xdr:rowOff>
    </xdr:to>
    <xdr:pic>
      <xdr:nvPicPr>
        <xdr:cNvPr id="2" name="Picture 1">
          <a:extLst>
            <a:ext uri="{FF2B5EF4-FFF2-40B4-BE49-F238E27FC236}">
              <a16:creationId xmlns:a16="http://schemas.microsoft.com/office/drawing/2014/main" id="{60D33D0F-1C77-5949-AFB6-C728DD3EF5DA}"/>
            </a:ext>
          </a:extLst>
        </xdr:cNvPr>
        <xdr:cNvPicPr>
          <a:picLocks noChangeAspect="1"/>
        </xdr:cNvPicPr>
      </xdr:nvPicPr>
      <xdr:blipFill>
        <a:blip xmlns:r="http://schemas.openxmlformats.org/officeDocument/2006/relationships" r:embed="rId1"/>
        <a:stretch>
          <a:fillRect/>
        </a:stretch>
      </xdr:blipFill>
      <xdr:spPr>
        <a:xfrm>
          <a:off x="330200" y="3263900"/>
          <a:ext cx="9677400" cy="45593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C1:C27"/>
  <sheetViews>
    <sheetView showGridLines="0" tabSelected="1" zoomScaleNormal="100" zoomScaleSheetLayoutView="70" workbookViewId="0"/>
  </sheetViews>
  <sheetFormatPr defaultColWidth="8.69140625" defaultRowHeight="15.5" x14ac:dyDescent="0.35"/>
  <cols>
    <col min="2" max="2" width="20.69140625" customWidth="1"/>
    <col min="3" max="3" width="70.69140625" customWidth="1"/>
  </cols>
  <sheetData>
    <row r="1" spans="3:3" ht="60" customHeight="1" x14ac:dyDescent="0.5">
      <c r="C1" s="4" t="s">
        <v>0</v>
      </c>
    </row>
    <row r="2" spans="3:3" ht="180.75" customHeight="1" x14ac:dyDescent="0.5">
      <c r="C2" s="4" t="s">
        <v>33</v>
      </c>
    </row>
    <row r="3" spans="3:3" ht="79.5" customHeight="1" x14ac:dyDescent="0.75">
      <c r="C3" s="2" t="str">
        <f>'Data summary'!B2</f>
        <v>French Guiana</v>
      </c>
    </row>
    <row r="4" spans="3:3" ht="45" customHeight="1" x14ac:dyDescent="0.35">
      <c r="C4" s="53" t="s">
        <v>24</v>
      </c>
    </row>
    <row r="5" spans="3:3" ht="38.15" customHeight="1" x14ac:dyDescent="0.35">
      <c r="C5" s="52" t="str">
        <f>IF(LEFT('C- WW management chain'!A14,3)="Yes","Safely Treated Household Wastewater: "&amp;ROUND(v40_*100,0)&amp;"%","Safely Treated Wastewater: Insufficient data")</f>
        <v>Safely Treated Household Wastewater: 70%</v>
      </c>
    </row>
    <row r="6" spans="3:3" ht="40" customHeight="1" x14ac:dyDescent="0.4">
      <c r="C6" s="3" t="s">
        <v>78</v>
      </c>
    </row>
    <row r="7" spans="3:3" s="5" customFormat="1" ht="16" customHeight="1" x14ac:dyDescent="0.4">
      <c r="C7" s="3"/>
    </row>
    <row r="8" spans="3:3" ht="20.149999999999999" customHeight="1" x14ac:dyDescent="0.35">
      <c r="C8" s="6" t="s">
        <v>132</v>
      </c>
    </row>
    <row r="9" spans="3:3" ht="20.149999999999999" customHeight="1" x14ac:dyDescent="0.35">
      <c r="C9" s="1"/>
    </row>
    <row r="10" spans="3:3" ht="40" customHeight="1" x14ac:dyDescent="0.4">
      <c r="C10" s="3" t="s">
        <v>75</v>
      </c>
    </row>
    <row r="11" spans="3:3" s="5" customFormat="1" x14ac:dyDescent="0.35">
      <c r="C11" s="6"/>
    </row>
    <row r="12" spans="3:3" ht="20.149999999999999" customHeight="1" x14ac:dyDescent="0.35">
      <c r="C12" s="6" t="s">
        <v>76</v>
      </c>
    </row>
    <row r="13" spans="3:3" ht="20.149999999999999" customHeight="1" x14ac:dyDescent="0.35">
      <c r="C13" s="6" t="s">
        <v>77</v>
      </c>
    </row>
    <row r="14" spans="3:3" ht="20.149999999999999" customHeight="1" x14ac:dyDescent="0.35">
      <c r="C14" s="6" t="s">
        <v>55</v>
      </c>
    </row>
    <row r="15" spans="3:3" ht="20.149999999999999" customHeight="1" x14ac:dyDescent="0.35">
      <c r="C15" s="6" t="s">
        <v>129</v>
      </c>
    </row>
    <row r="16" spans="3:3" ht="20.149999999999999" customHeight="1" x14ac:dyDescent="0.35">
      <c r="C16" s="6" t="s">
        <v>130</v>
      </c>
    </row>
    <row r="17" spans="3:3" ht="20.149999999999999" customHeight="1" x14ac:dyDescent="0.35">
      <c r="C17" s="6" t="s">
        <v>131</v>
      </c>
    </row>
    <row r="18" spans="3:3" x14ac:dyDescent="0.35">
      <c r="C18" s="1"/>
    </row>
    <row r="19" spans="3:3" x14ac:dyDescent="0.35">
      <c r="C19" s="1"/>
    </row>
    <row r="20" spans="3:3" x14ac:dyDescent="0.35">
      <c r="C20" s="1"/>
    </row>
    <row r="21" spans="3:3" x14ac:dyDescent="0.35">
      <c r="C21" s="1"/>
    </row>
    <row r="22" spans="3:3" x14ac:dyDescent="0.35">
      <c r="C22" s="1"/>
    </row>
    <row r="23" spans="3:3" x14ac:dyDescent="0.35">
      <c r="C23" s="1"/>
    </row>
    <row r="24" spans="3:3" x14ac:dyDescent="0.35">
      <c r="C24" s="1"/>
    </row>
    <row r="25" spans="3:3" x14ac:dyDescent="0.35">
      <c r="C25" s="1"/>
    </row>
    <row r="26" spans="3:3" x14ac:dyDescent="0.35">
      <c r="C26" s="1"/>
    </row>
    <row r="27" spans="3:3" x14ac:dyDescent="0.35">
      <c r="C27" s="1"/>
    </row>
  </sheetData>
  <hyperlinks>
    <hyperlink ref="C12" location="'A- Total generated'!A1" display="Part A: Household wastewater generated"/>
    <hyperlink ref="C13" location="'B- Generated by san facility'!A1" display="Part B: Household wastewater generated by sanitation facility"/>
    <hyperlink ref="C14" location="'C- WW management chain'!A1" display="Part C: Household wastewater management chain"/>
    <hyperlink ref="C15" location="'D- Country estimates'!A1" display="Part D: Country estimates"/>
    <hyperlink ref="C16" location="'Data summary'!A1" display="Data summary"/>
    <hyperlink ref="C17" location="'Additional data'!A1" display="Additional data"/>
    <hyperlink ref="C8" location="Guidance!A1" display="Guidance"/>
  </hyperlinks>
  <pageMargins left="0.7" right="0.7" top="0.75" bottom="0.75" header="0.3" footer="0.3"/>
  <pageSetup paperSize="9" scale="62" orientation="portrait" horizontalDpi="300" verticalDpi="300" r:id="rId1"/>
  <headerFooter scaleWithDoc="0" alignWithMargins="0">
    <oddHeader>&amp;CPRELIMINARY COUNTRY FILE</oddHeader>
    <oddFooter>&amp;LTAB: &amp;A&amp;RLast update: September 2018</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2:B9"/>
  <sheetViews>
    <sheetView showGridLines="0" zoomScaleNormal="100" workbookViewId="0"/>
  </sheetViews>
  <sheetFormatPr defaultColWidth="8.69140625" defaultRowHeight="15.5" x14ac:dyDescent="0.35"/>
  <cols>
    <col min="1" max="1" width="2.07421875" style="7" customWidth="1"/>
    <col min="2" max="2" width="114.53515625" style="27" customWidth="1"/>
    <col min="3" max="13" width="8.69140625" style="7"/>
    <col min="14" max="14" width="8.07421875" style="7" customWidth="1"/>
    <col min="15" max="16384" width="8.69140625" style="7"/>
  </cols>
  <sheetData>
    <row r="2" spans="2:2" ht="77.5" x14ac:dyDescent="0.35">
      <c r="B2" s="28" t="s">
        <v>81</v>
      </c>
    </row>
    <row r="3" spans="2:2" ht="77.5" x14ac:dyDescent="0.35">
      <c r="B3" s="28" t="s">
        <v>80</v>
      </c>
    </row>
    <row r="4" spans="2:2" ht="368.15" customHeight="1" x14ac:dyDescent="0.35">
      <c r="B4" s="28"/>
    </row>
    <row r="5" spans="2:2" ht="31" x14ac:dyDescent="0.35">
      <c r="B5" s="28" t="s">
        <v>79</v>
      </c>
    </row>
    <row r="6" spans="2:2" ht="232.5" x14ac:dyDescent="0.35">
      <c r="B6" s="28" t="s">
        <v>83</v>
      </c>
    </row>
    <row r="7" spans="2:2" ht="93" x14ac:dyDescent="0.35">
      <c r="B7" s="28" t="s">
        <v>82</v>
      </c>
    </row>
    <row r="8" spans="2:2" ht="62" x14ac:dyDescent="0.35">
      <c r="B8" s="28" t="s">
        <v>84</v>
      </c>
    </row>
    <row r="9" spans="2:2" ht="77.5" x14ac:dyDescent="0.35">
      <c r="B9" s="28" t="s">
        <v>85</v>
      </c>
    </row>
  </sheetData>
  <pageMargins left="0.7" right="0.7" top="0.75" bottom="0.75" header="0.3" footer="0.3"/>
  <pageSetup paperSize="9" orientation="portrait" horizontalDpi="300" verticalDpi="300" r:id="rId1"/>
  <headerFooter scaleWithDoc="0" alignWithMargins="0">
    <oddHeader>&amp;CPRELIMINARY COUNTRY FILE</oddHeader>
    <oddFooter>&amp;LTAB: &amp;A&amp;RLast update: September 2018</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AA30"/>
  <sheetViews>
    <sheetView zoomScaleNormal="100" workbookViewId="0"/>
  </sheetViews>
  <sheetFormatPr defaultColWidth="8.69140625" defaultRowHeight="15.5" x14ac:dyDescent="0.35"/>
  <cols>
    <col min="1" max="1" width="9.3046875" customWidth="1"/>
    <col min="2" max="2" width="2.3046875" style="5" customWidth="1"/>
    <col min="3" max="3" width="4.3046875" style="5" customWidth="1"/>
    <col min="4" max="4" width="8.3046875" customWidth="1"/>
    <col min="5" max="5" width="2.3046875" style="5" customWidth="1"/>
    <col min="6" max="6" width="4.3046875" style="5" customWidth="1"/>
    <col min="7" max="7" width="6.69140625" customWidth="1"/>
    <col min="8" max="8" width="2.3046875" style="5" customWidth="1"/>
    <col min="9" max="9" width="4.3046875" style="5" customWidth="1"/>
    <col min="10" max="10" width="10.23046875" customWidth="1"/>
    <col min="11" max="11" width="2.3046875" style="5" customWidth="1"/>
    <col min="12" max="12" width="4.3046875" style="5" customWidth="1"/>
    <col min="13" max="13" width="10.23046875" style="5" customWidth="1"/>
    <col min="14" max="14" width="2.3046875" style="5" customWidth="1"/>
    <col min="15" max="15" width="4.3046875" style="5" customWidth="1"/>
    <col min="16" max="16" width="12.3046875" customWidth="1"/>
    <col min="17" max="17" width="2.3046875" style="5" customWidth="1"/>
    <col min="18" max="18" width="4.3046875" style="5" customWidth="1"/>
    <col min="19" max="19" width="15.69140625" customWidth="1"/>
    <col min="20" max="20" width="2.4609375" style="5" bestFit="1" customWidth="1"/>
    <col min="21" max="21" width="3" bestFit="1" customWidth="1"/>
    <col min="22" max="22" width="11.84375" customWidth="1"/>
    <col min="23" max="23" width="2.3046875" style="5" customWidth="1"/>
    <col min="24" max="24" width="4.3046875" customWidth="1"/>
  </cols>
  <sheetData>
    <row r="1" spans="1:27" ht="36" customHeight="1" thickBot="1" x14ac:dyDescent="0.4">
      <c r="A1" s="86" t="str">
        <f>"Part A: Estimation of total generated household wastewater (" &amp; Introduction!C3 &amp;", 2020)"</f>
        <v>Part A: Estimation of total generated household wastewater (French Guiana, 2020)</v>
      </c>
      <c r="B1" s="99"/>
      <c r="C1" s="99"/>
      <c r="D1" s="99"/>
      <c r="E1" s="99"/>
      <c r="F1" s="99"/>
      <c r="G1" s="99"/>
      <c r="H1" s="99"/>
      <c r="I1" s="99"/>
      <c r="J1" s="99"/>
      <c r="K1" s="99"/>
      <c r="L1" s="99"/>
      <c r="M1" s="99"/>
      <c r="N1" s="99"/>
      <c r="O1" s="99"/>
      <c r="P1" s="99"/>
      <c r="Q1" s="99"/>
      <c r="R1" s="99"/>
      <c r="S1" s="99"/>
      <c r="T1" s="99"/>
      <c r="U1" s="99"/>
      <c r="V1" s="99"/>
      <c r="W1" s="42"/>
    </row>
    <row r="2" spans="1:27" ht="51" customHeight="1" thickBot="1" x14ac:dyDescent="0.4">
      <c r="A2" s="166" t="s">
        <v>8</v>
      </c>
      <c r="B2" s="167"/>
      <c r="C2" s="168"/>
      <c r="D2" s="173" t="s">
        <v>7</v>
      </c>
      <c r="E2" s="173"/>
      <c r="F2" s="173"/>
      <c r="G2" s="173"/>
      <c r="H2" s="173"/>
      <c r="I2" s="174"/>
      <c r="J2" s="178" t="s">
        <v>34</v>
      </c>
      <c r="K2" s="173"/>
      <c r="L2" s="173"/>
      <c r="M2" s="173"/>
      <c r="N2" s="173"/>
      <c r="O2" s="173"/>
      <c r="P2" s="173"/>
      <c r="Q2" s="173"/>
      <c r="R2" s="174"/>
      <c r="S2" s="175" t="s">
        <v>86</v>
      </c>
      <c r="T2" s="176"/>
      <c r="U2" s="176"/>
      <c r="V2" s="176"/>
      <c r="W2" s="176"/>
      <c r="X2" s="177"/>
    </row>
    <row r="3" spans="1:27" ht="98.15" customHeight="1" x14ac:dyDescent="0.35">
      <c r="A3" s="169"/>
      <c r="B3" s="170"/>
      <c r="C3" s="171"/>
      <c r="D3" s="164" t="s">
        <v>133</v>
      </c>
      <c r="E3" s="167"/>
      <c r="F3" s="172"/>
      <c r="G3" s="166" t="s">
        <v>134</v>
      </c>
      <c r="H3" s="167"/>
      <c r="I3" s="172"/>
      <c r="J3" s="166" t="s">
        <v>25</v>
      </c>
      <c r="K3" s="167"/>
      <c r="L3" s="172"/>
      <c r="M3" s="166" t="s">
        <v>26</v>
      </c>
      <c r="N3" s="167"/>
      <c r="O3" s="172"/>
      <c r="P3" s="166" t="s">
        <v>87</v>
      </c>
      <c r="Q3" s="167"/>
      <c r="R3" s="172"/>
      <c r="S3" s="162" t="s">
        <v>52</v>
      </c>
      <c r="T3" s="163"/>
      <c r="U3" s="164"/>
      <c r="V3" s="162" t="str">
        <f>IF(W4="R","Total generated household wastewater 
[million m3/year]",IF('B- Generated by san facility'!F4="R","Total generated household wastewater 
[million m3/year]","Total generated household wastewater 
[million m3/year]
[6] x [7]"))</f>
        <v>Total generated household wastewater 
[million m3/year]
[6] x [7]</v>
      </c>
      <c r="W3" s="163"/>
      <c r="X3" s="165"/>
      <c r="AA3" s="8"/>
    </row>
    <row r="4" spans="1:27" ht="16" thickBot="1" x14ac:dyDescent="0.4">
      <c r="A4" s="31">
        <f>v1_</f>
        <v>298.6820068359375</v>
      </c>
      <c r="B4" s="32" t="str">
        <f>'Data summary'!G2</f>
        <v>E</v>
      </c>
      <c r="C4" s="33" t="s">
        <v>137</v>
      </c>
      <c r="D4" s="56">
        <f>v2_</f>
        <v>0.90563765684305297</v>
      </c>
      <c r="E4" s="32" t="str">
        <f>'Data summary'!G3</f>
        <v>E</v>
      </c>
      <c r="F4" s="34" t="s">
        <v>138</v>
      </c>
      <c r="G4" s="57">
        <f>v3_</f>
        <v>9.4362344741821286E-2</v>
      </c>
      <c r="H4" s="32" t="str">
        <f>'Data summary'!G4</f>
        <v>E</v>
      </c>
      <c r="I4" s="34" t="s">
        <v>139</v>
      </c>
      <c r="J4" s="35">
        <f>v4_</f>
        <v>237.72727272727269</v>
      </c>
      <c r="K4" s="32" t="str">
        <f>'Data summary'!G5</f>
        <v>R</v>
      </c>
      <c r="L4" s="34" t="s">
        <v>140</v>
      </c>
      <c r="M4" s="35">
        <f>v5_</f>
        <v>20</v>
      </c>
      <c r="N4" s="36" t="str">
        <f>'Data summary'!G6</f>
        <v>A</v>
      </c>
      <c r="O4" s="34" t="s">
        <v>141</v>
      </c>
      <c r="P4" s="72">
        <f>A4*D4*J4*365/1000000 + A4*G4*M4*365/1000000</f>
        <v>23.676951665221541</v>
      </c>
      <c r="Q4" s="36" t="str">
        <f>'Data summary'!G7</f>
        <v>C</v>
      </c>
      <c r="R4" s="34" t="s">
        <v>142</v>
      </c>
      <c r="S4" s="55">
        <f>v7_</f>
        <v>0.8</v>
      </c>
      <c r="T4" s="36" t="str">
        <f>'Data summary'!G8</f>
        <v>A</v>
      </c>
      <c r="U4" s="54" t="s">
        <v>143</v>
      </c>
      <c r="V4" s="73">
        <f>IF('B- Generated by san facility'!F4="R", 'B- Generated by san facility'!E9,IF(W4="R",v8_,P4*S4))</f>
        <v>18.941561332177233</v>
      </c>
      <c r="W4" s="36" t="str">
        <f>'Data summary'!G9</f>
        <v>C</v>
      </c>
      <c r="X4" s="33" t="s">
        <v>144</v>
      </c>
    </row>
    <row r="5" spans="1:27" s="5" customFormat="1" ht="15" customHeight="1" x14ac:dyDescent="0.35">
      <c r="A5" s="13"/>
      <c r="B5" s="13"/>
      <c r="C5" s="13"/>
      <c r="D5" s="13"/>
      <c r="E5" s="13"/>
      <c r="F5" s="13"/>
      <c r="G5" s="13"/>
      <c r="H5" s="13"/>
      <c r="I5" s="13"/>
      <c r="J5" s="13"/>
      <c r="K5" s="13"/>
      <c r="L5" s="13"/>
      <c r="M5" s="13"/>
      <c r="N5" s="13"/>
      <c r="O5" s="13"/>
      <c r="P5" s="13"/>
      <c r="Q5" s="13"/>
      <c r="R5" s="13"/>
    </row>
    <row r="6" spans="1:27" x14ac:dyDescent="0.35">
      <c r="A6" s="10" t="s">
        <v>9</v>
      </c>
      <c r="B6" s="45" t="s">
        <v>70</v>
      </c>
      <c r="D6" s="46"/>
      <c r="E6" s="45"/>
      <c r="F6" s="45"/>
      <c r="G6" s="45"/>
      <c r="H6" s="45"/>
      <c r="I6" s="45"/>
      <c r="J6" s="45"/>
      <c r="K6" s="45"/>
      <c r="L6" s="45"/>
      <c r="M6" s="45"/>
      <c r="N6" s="45"/>
      <c r="O6" s="45"/>
      <c r="P6" s="45"/>
      <c r="Q6" s="45"/>
      <c r="R6" s="45"/>
      <c r="S6" s="46"/>
      <c r="T6" s="46"/>
      <c r="V6" s="14"/>
    </row>
    <row r="7" spans="1:27" x14ac:dyDescent="0.35">
      <c r="A7" s="5"/>
      <c r="B7" s="8" t="s">
        <v>50</v>
      </c>
      <c r="C7" s="45"/>
      <c r="D7" s="45"/>
      <c r="E7" s="45"/>
      <c r="F7" s="45"/>
      <c r="G7" s="45"/>
      <c r="H7" s="45"/>
      <c r="I7" s="45"/>
      <c r="J7" s="45"/>
      <c r="K7" s="45"/>
      <c r="L7" s="45"/>
      <c r="M7" s="45"/>
      <c r="N7" s="45"/>
      <c r="O7" s="45"/>
      <c r="P7" s="45"/>
      <c r="Q7" s="45"/>
      <c r="R7" s="45"/>
      <c r="S7" s="46"/>
      <c r="T7" s="46"/>
    </row>
    <row r="8" spans="1:27" x14ac:dyDescent="0.35">
      <c r="A8" s="5"/>
      <c r="B8" s="8" t="s">
        <v>28</v>
      </c>
      <c r="D8" s="5"/>
      <c r="G8" s="5"/>
      <c r="J8" s="5"/>
      <c r="P8" s="5"/>
    </row>
    <row r="9" spans="1:27" x14ac:dyDescent="0.35">
      <c r="A9" s="5"/>
      <c r="B9" s="8" t="s">
        <v>44</v>
      </c>
      <c r="D9" s="45"/>
      <c r="E9" s="46"/>
      <c r="F9" s="46"/>
      <c r="G9" s="46"/>
      <c r="H9" s="46"/>
      <c r="I9" s="46"/>
      <c r="J9" s="46"/>
      <c r="K9" s="46"/>
      <c r="L9" s="46"/>
      <c r="M9" s="46"/>
      <c r="N9" s="46"/>
      <c r="O9" s="46"/>
      <c r="P9" s="46"/>
      <c r="Q9" s="46"/>
      <c r="R9" s="46"/>
      <c r="S9" s="60"/>
      <c r="T9" s="46"/>
    </row>
    <row r="10" spans="1:27" x14ac:dyDescent="0.35">
      <c r="A10" s="5"/>
      <c r="B10" s="8" t="s">
        <v>51</v>
      </c>
      <c r="C10" s="47"/>
      <c r="D10" s="45"/>
      <c r="E10" s="46"/>
      <c r="F10" s="46"/>
      <c r="G10" s="46"/>
      <c r="H10" s="46"/>
      <c r="I10" s="46"/>
      <c r="J10" s="46"/>
      <c r="K10" s="46"/>
      <c r="L10" s="46"/>
      <c r="M10" s="46"/>
      <c r="N10" s="46"/>
      <c r="O10" s="46"/>
      <c r="P10" s="46"/>
      <c r="Q10" s="46"/>
      <c r="R10" s="46"/>
      <c r="S10" s="46"/>
      <c r="T10" s="46"/>
    </row>
    <row r="11" spans="1:27" x14ac:dyDescent="0.35">
      <c r="A11" s="5"/>
      <c r="B11" s="8" t="s">
        <v>27</v>
      </c>
      <c r="C11" s="45"/>
      <c r="D11" s="45"/>
      <c r="E11" s="45"/>
      <c r="F11" s="45"/>
      <c r="G11" s="45"/>
      <c r="H11" s="45"/>
      <c r="I11" s="45"/>
      <c r="J11" s="45"/>
      <c r="K11" s="45"/>
      <c r="L11" s="45"/>
      <c r="M11" s="45"/>
      <c r="N11" s="45"/>
      <c r="O11" s="45"/>
      <c r="P11" s="45"/>
      <c r="Q11" s="45"/>
      <c r="R11" s="45"/>
      <c r="S11" s="46"/>
      <c r="T11" s="46"/>
    </row>
    <row r="12" spans="1:27" x14ac:dyDescent="0.35">
      <c r="A12" s="5"/>
      <c r="C12" s="46"/>
      <c r="D12" s="46" t="str">
        <f>IF(W4="R","Total generated household wastewater has been reported directly [8], and therefore has not been calculated internally using variables [1] to [7]",IF(v99_="R","Total wastewater generated by households with piped sewer connections [14] has been used to calculate total generated wastewater in Part B, instead of the internal calculation using variables [1] to [7] (based on domestic water use)",""))</f>
        <v/>
      </c>
      <c r="E12" s="46"/>
      <c r="F12" s="46"/>
      <c r="G12" s="46"/>
      <c r="H12" s="46"/>
      <c r="I12" s="46"/>
      <c r="J12" s="46"/>
      <c r="K12" s="46"/>
      <c r="L12" s="46"/>
      <c r="M12" s="46"/>
      <c r="N12" s="46"/>
      <c r="O12" s="46"/>
      <c r="P12" s="46"/>
      <c r="Q12" s="46"/>
      <c r="R12" s="46"/>
      <c r="S12" s="46"/>
      <c r="T12" s="46"/>
    </row>
    <row r="13" spans="1:27" x14ac:dyDescent="0.35">
      <c r="A13" s="5"/>
      <c r="C13" s="46"/>
      <c r="D13" s="46"/>
      <c r="E13" s="46"/>
      <c r="F13" s="46"/>
      <c r="G13" s="46"/>
      <c r="H13" s="46"/>
      <c r="I13" s="46"/>
      <c r="J13" s="46"/>
      <c r="K13" s="46"/>
      <c r="L13" s="46"/>
      <c r="M13" s="46"/>
      <c r="N13" s="46"/>
      <c r="O13" s="46"/>
      <c r="P13" s="46"/>
      <c r="Q13" s="46"/>
      <c r="R13" s="46"/>
      <c r="S13" s="46"/>
      <c r="T13" s="46"/>
    </row>
    <row r="14" spans="1:27" x14ac:dyDescent="0.35">
      <c r="A14" s="5"/>
      <c r="D14" s="5"/>
      <c r="G14" s="5"/>
      <c r="J14" s="5"/>
      <c r="P14" s="5"/>
    </row>
    <row r="15" spans="1:27" x14ac:dyDescent="0.35">
      <c r="A15" s="5"/>
      <c r="D15" s="5"/>
      <c r="G15" s="5"/>
      <c r="J15" s="5"/>
      <c r="P15" s="5"/>
    </row>
    <row r="16" spans="1:27" x14ac:dyDescent="0.35">
      <c r="A16" s="5"/>
      <c r="D16" s="5"/>
      <c r="G16" s="5"/>
      <c r="J16" s="5"/>
      <c r="P16" s="5"/>
    </row>
    <row r="30" spans="1:1" x14ac:dyDescent="0.35">
      <c r="A30" s="70"/>
    </row>
  </sheetData>
  <mergeCells count="11">
    <mergeCell ref="S3:U3"/>
    <mergeCell ref="V3:X3"/>
    <mergeCell ref="A2:C3"/>
    <mergeCell ref="D3:F3"/>
    <mergeCell ref="G3:I3"/>
    <mergeCell ref="D2:I2"/>
    <mergeCell ref="J3:L3"/>
    <mergeCell ref="P3:R3"/>
    <mergeCell ref="S2:X2"/>
    <mergeCell ref="J2:R2"/>
    <mergeCell ref="M3:O3"/>
  </mergeCells>
  <conditionalFormatting sqref="A4:U4">
    <cfRule type="expression" dxfId="2" priority="7">
      <formula>IF($W$4="R","TRUE","FALSE")</formula>
    </cfRule>
    <cfRule type="expression" dxfId="1" priority="9">
      <formula>IF(v99_="R","TRUE","FALSE")</formula>
    </cfRule>
  </conditionalFormatting>
  <conditionalFormatting sqref="B12:C12">
    <cfRule type="expression" dxfId="0" priority="1">
      <formula>IF($W$4="R","TRUE",IF(v99_="R","TRUE","FALSE"))</formula>
    </cfRule>
  </conditionalFormatting>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L18"/>
  <sheetViews>
    <sheetView zoomScaleNormal="100" workbookViewId="0"/>
  </sheetViews>
  <sheetFormatPr defaultColWidth="8.69140625" defaultRowHeight="15.5" x14ac:dyDescent="0.35"/>
  <cols>
    <col min="1" max="1" width="21.07421875" style="5" customWidth="1"/>
    <col min="2" max="2" width="11.07421875" style="5" customWidth="1"/>
    <col min="3" max="3" width="2.07421875" style="5" bestFit="1" customWidth="1"/>
    <col min="4" max="4" width="4" style="5" customWidth="1"/>
    <col min="5" max="5" width="11.69140625" style="5" customWidth="1"/>
    <col min="6" max="6" width="2.53515625" style="5" customWidth="1"/>
    <col min="7" max="7" width="3.53515625" style="5" customWidth="1"/>
    <col min="8" max="8" width="7" style="5" bestFit="1" customWidth="1"/>
    <col min="9" max="9" width="2.4609375" style="5" bestFit="1" customWidth="1"/>
    <col min="10" max="10" width="7.3046875" style="5" bestFit="1" customWidth="1"/>
    <col min="11" max="15" width="15.69140625" style="5" customWidth="1"/>
    <col min="16" max="16" width="10.69140625" style="5" customWidth="1"/>
    <col min="17" max="16384" width="8.69140625" style="5"/>
  </cols>
  <sheetData>
    <row r="1" spans="1:12" ht="33" customHeight="1" thickBot="1" x14ac:dyDescent="0.4">
      <c r="A1" s="86" t="str">
        <f>"Part B: Estimation of generated household wastewater by sanitation facility type (" &amp; Introduction!C3 &amp;", 2020)"</f>
        <v>Part B: Estimation of generated household wastewater by sanitation facility type (French Guiana, 2020)</v>
      </c>
      <c r="B1" s="86"/>
      <c r="C1" s="86"/>
      <c r="D1" s="86"/>
      <c r="E1" s="86"/>
      <c r="F1" s="86"/>
      <c r="G1" s="86"/>
      <c r="H1" s="86"/>
      <c r="I1" s="86"/>
      <c r="J1" s="86"/>
    </row>
    <row r="2" spans="1:12" ht="51" customHeight="1" thickBot="1" x14ac:dyDescent="0.4">
      <c r="A2" s="180" t="s">
        <v>23</v>
      </c>
      <c r="B2" s="180"/>
      <c r="C2" s="180"/>
      <c r="D2" s="180"/>
      <c r="E2" s="175" t="s">
        <v>42</v>
      </c>
      <c r="F2" s="176"/>
      <c r="G2" s="176"/>
      <c r="H2" s="176"/>
      <c r="I2" s="176"/>
      <c r="J2" s="177"/>
    </row>
    <row r="3" spans="1:12" ht="71.150000000000006" customHeight="1" x14ac:dyDescent="0.35">
      <c r="A3" s="50" t="s">
        <v>4</v>
      </c>
      <c r="B3" s="179" t="s">
        <v>22</v>
      </c>
      <c r="C3" s="179"/>
      <c r="D3" s="179"/>
      <c r="E3" s="162" t="s">
        <v>35</v>
      </c>
      <c r="F3" s="163"/>
      <c r="G3" s="165"/>
      <c r="H3" s="162" t="s">
        <v>36</v>
      </c>
      <c r="I3" s="163"/>
      <c r="J3" s="165"/>
    </row>
    <row r="4" spans="1:12" x14ac:dyDescent="0.35">
      <c r="A4" s="51" t="s">
        <v>53</v>
      </c>
      <c r="B4" s="63">
        <f>v9_</f>
        <v>0.46429845170178402</v>
      </c>
      <c r="C4" s="29" t="str">
        <f>'Data summary'!G10</f>
        <v>E</v>
      </c>
      <c r="D4" s="152" t="s">
        <v>145</v>
      </c>
      <c r="E4" s="76">
        <f>IF($F$4="R",v14_,IF('A- Total generated'!W4="R",'A- Total generated'!$V$4*'B- Generated by san facility'!B4,IF(B4&lt;=v2_,v1_*v4_*B4*v7_,IF(B4&gt;v2_,v1_*v4_*v2_*v7_+v1_*v5_*(B4-v2_)*v7_))/1000000*365))</f>
        <v>9.6264942464714132</v>
      </c>
      <c r="F4" s="77" t="str">
        <f>'Data summary'!G15</f>
        <v>C</v>
      </c>
      <c r="G4" s="156" t="s">
        <v>60</v>
      </c>
      <c r="H4" s="78">
        <f>v14_ / v8_</f>
        <v>0.50822070204833014</v>
      </c>
      <c r="I4" s="77" t="s">
        <v>5</v>
      </c>
      <c r="J4" s="79" t="s">
        <v>37</v>
      </c>
    </row>
    <row r="5" spans="1:12" x14ac:dyDescent="0.35">
      <c r="A5" s="51" t="s">
        <v>54</v>
      </c>
      <c r="B5" s="63">
        <f>v10_</f>
        <v>0.3752474689112455</v>
      </c>
      <c r="C5" s="29" t="str">
        <f>'Data summary'!G11</f>
        <v>E</v>
      </c>
      <c r="D5" s="152" t="s">
        <v>146</v>
      </c>
      <c r="E5" s="76">
        <f>IF($F$4="R",E4*B5/B4,IF('A- Total generated'!W4="R",'A- Total generated'!$V$4*'B- Generated by san facility'!B5,IF(SUM(B4:B5)&lt;=v2_,v1_*v4_*B5*v7_,IF(B4&gt;v2_,v1_*v5_*B5*v7_,v1_*v4_*SUM(v2_-B4)*v7_+v1_*v5_*(B5+B4-v2_)*v7_))/1000000*365))</f>
        <v>7.7801629258872342</v>
      </c>
      <c r="F5" s="77" t="str">
        <f>'Data summary'!G16</f>
        <v>C</v>
      </c>
      <c r="G5" s="156" t="s">
        <v>61</v>
      </c>
      <c r="H5" s="78">
        <f>v15_ / v8_</f>
        <v>0.41074556372877136</v>
      </c>
      <c r="I5" s="77" t="s">
        <v>5</v>
      </c>
      <c r="J5" s="79" t="s">
        <v>38</v>
      </c>
    </row>
    <row r="6" spans="1:12" x14ac:dyDescent="0.35">
      <c r="A6" s="48" t="s">
        <v>1</v>
      </c>
      <c r="B6" s="63">
        <f>v11_</f>
        <v>8.4905457364350456E-2</v>
      </c>
      <c r="C6" s="29" t="str">
        <f>'Data summary'!G12</f>
        <v>E</v>
      </c>
      <c r="D6" s="152" t="s">
        <v>147</v>
      </c>
      <c r="E6" s="76">
        <f>IF($F$4="R",E4*B6/B4,IF('A- Total generated'!W4="R",'A- Total generated'!$V$4*'B- Generated by san facility'!B6,IF(SUM(B4:B6)&lt;=v2_,v1_*v4_*B6*v7_,IF(SUM(B4:B5)&gt;v2_,v1_*v5_*B6*v7_,v1_*v4_*SUM(v2_-B4-B5)*v7_+v1_*v5_*(B6+B5+B4-v2_)*v7_))/1000000*365))</f>
        <v>1.4031244750639542</v>
      </c>
      <c r="F6" s="77" t="str">
        <f>'Data summary'!G17</f>
        <v>C</v>
      </c>
      <c r="G6" s="156" t="s">
        <v>150</v>
      </c>
      <c r="H6" s="78">
        <f>v16_ / v8_</f>
        <v>7.4076488866510887E-2</v>
      </c>
      <c r="I6" s="77" t="s">
        <v>5</v>
      </c>
      <c r="J6" s="79" t="s">
        <v>39</v>
      </c>
    </row>
    <row r="7" spans="1:12" x14ac:dyDescent="0.35">
      <c r="A7" s="48" t="s">
        <v>2</v>
      </c>
      <c r="B7" s="63">
        <f>v12_</f>
        <v>7.5548622022620013E-2</v>
      </c>
      <c r="C7" s="29" t="str">
        <f>'Data summary'!G13</f>
        <v>E</v>
      </c>
      <c r="D7" s="152" t="s">
        <v>148</v>
      </c>
      <c r="E7" s="76">
        <f>IF($F$4="R",E4*B7/B4,IF('A- Total generated'!W4="R",'A- Total generated'!$V$4*'B- Generated by san facility'!B7,IF(SUM(B4:B7)&lt;=v2_,v1_*v4_*B7*v7_,IF(SUM(B4:B6)&gt;v2_,v1_*v5_*B7*v7_,v1_*v4_*SUM(v2_-B4-B5-B6)*v7_+v1_*v5_*(B7+B6+B5+B4-v2_)*v7_))/1000000*365))</f>
        <v>0.13177968199013018</v>
      </c>
      <c r="F7" s="77" t="str">
        <f>'Data summary'!G18</f>
        <v>C</v>
      </c>
      <c r="G7" s="156" t="s">
        <v>151</v>
      </c>
      <c r="H7" s="78">
        <f>v17_ / v8_</f>
        <v>6.9571707648681562E-3</v>
      </c>
      <c r="I7" s="77" t="s">
        <v>5</v>
      </c>
      <c r="J7" s="79" t="s">
        <v>40</v>
      </c>
    </row>
    <row r="8" spans="1:12" ht="16" thickBot="1" x14ac:dyDescent="0.4">
      <c r="A8" s="49" t="s">
        <v>3</v>
      </c>
      <c r="B8" s="64">
        <f>v13_</f>
        <v>0</v>
      </c>
      <c r="C8" s="30" t="str">
        <f>'Data summary'!G14</f>
        <v>E</v>
      </c>
      <c r="D8" s="33" t="s">
        <v>149</v>
      </c>
      <c r="E8" s="76">
        <f>IF($F$4="R",E4*B8/B4,IF('A- Total generated'!W4="R",'A- Total generated'!$V$4*'B- Generated by san facility'!B8,IF(SUM(B4:B8)&lt;=v2_,v1_*v4_*B8*v7_,IF(SUM(B4:B7)&gt;v2_,v1_*v5_*B8*v7_,v1_*v4_*SUM(v2_-B4-B5-B6-B7)*v7_+v1_*v5_*(B8+B7+B6+B5+B4-v2_)*v7_))/1000000*365))</f>
        <v>0</v>
      </c>
      <c r="F8" s="77" t="str">
        <f>'Data summary'!G19</f>
        <v>C</v>
      </c>
      <c r="G8" s="156" t="s">
        <v>152</v>
      </c>
      <c r="H8" s="80">
        <f>v18_ / v8_</f>
        <v>0</v>
      </c>
      <c r="I8" s="77" t="s">
        <v>5</v>
      </c>
      <c r="J8" s="81" t="s">
        <v>41</v>
      </c>
    </row>
    <row r="9" spans="1:12" ht="16" thickBot="1" x14ac:dyDescent="0.4">
      <c r="A9" s="13"/>
      <c r="B9" s="13"/>
      <c r="C9" s="13"/>
      <c r="D9" s="17" t="s">
        <v>6</v>
      </c>
      <c r="E9" s="82">
        <f>SUM(E4:E8)</f>
        <v>18.941561329412735</v>
      </c>
      <c r="F9" s="83" t="str">
        <f>'Data summary'!G9</f>
        <v>C</v>
      </c>
      <c r="G9" s="157" t="s">
        <v>144</v>
      </c>
      <c r="H9" s="84">
        <f>SUM(H4:H8)</f>
        <v>0.99999992540848048</v>
      </c>
      <c r="I9" s="85" t="s">
        <v>5</v>
      </c>
    </row>
    <row r="12" spans="1:12" x14ac:dyDescent="0.35">
      <c r="A12" s="10" t="s">
        <v>9</v>
      </c>
      <c r="B12" s="45" t="s">
        <v>70</v>
      </c>
      <c r="D12" s="8"/>
      <c r="E12" s="8"/>
      <c r="F12" s="8"/>
      <c r="G12" s="8"/>
      <c r="H12" s="8"/>
      <c r="I12" s="8"/>
      <c r="J12" s="8"/>
      <c r="K12" s="8"/>
      <c r="L12" s="11"/>
    </row>
    <row r="13" spans="1:12" x14ac:dyDescent="0.35">
      <c r="B13" s="8" t="s">
        <v>50</v>
      </c>
      <c r="C13" s="8"/>
      <c r="D13" s="8"/>
      <c r="E13" s="8"/>
      <c r="F13" s="8"/>
      <c r="G13" s="8"/>
      <c r="H13" s="8"/>
      <c r="I13" s="8"/>
      <c r="J13" s="8"/>
      <c r="K13" s="8"/>
      <c r="L13" s="11"/>
    </row>
    <row r="14" spans="1:12" x14ac:dyDescent="0.35">
      <c r="B14" s="8" t="s">
        <v>28</v>
      </c>
      <c r="C14" s="8"/>
      <c r="D14" s="8"/>
      <c r="E14" s="8"/>
      <c r="F14" s="8"/>
      <c r="G14" s="8"/>
      <c r="H14" s="8"/>
      <c r="I14" s="8"/>
      <c r="J14" s="8"/>
      <c r="K14" s="8"/>
      <c r="L14" s="11"/>
    </row>
    <row r="15" spans="1:12" x14ac:dyDescent="0.35">
      <c r="B15" s="8" t="s">
        <v>44</v>
      </c>
      <c r="C15" s="8"/>
    </row>
    <row r="16" spans="1:12" x14ac:dyDescent="0.35">
      <c r="B16" s="8" t="s">
        <v>51</v>
      </c>
      <c r="C16" s="8"/>
    </row>
    <row r="17" spans="2:3" x14ac:dyDescent="0.35">
      <c r="B17" s="9"/>
      <c r="C17" s="8"/>
    </row>
    <row r="18" spans="2:3" x14ac:dyDescent="0.35">
      <c r="B18" s="9"/>
      <c r="C18" s="71"/>
    </row>
  </sheetData>
  <mergeCells count="5">
    <mergeCell ref="B3:D3"/>
    <mergeCell ref="A2:D2"/>
    <mergeCell ref="E2:J2"/>
    <mergeCell ref="E3:G3"/>
    <mergeCell ref="H3:J3"/>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AB27"/>
  <sheetViews>
    <sheetView zoomScaleNormal="100" workbookViewId="0"/>
  </sheetViews>
  <sheetFormatPr defaultColWidth="8.69140625" defaultRowHeight="15.5" x14ac:dyDescent="0.35"/>
  <cols>
    <col min="1" max="1" width="43.84375" style="5" customWidth="1"/>
    <col min="2" max="2" width="13.4609375" style="5" customWidth="1"/>
    <col min="3" max="3" width="2.4609375" style="5" bestFit="1" customWidth="1"/>
    <col min="4" max="4" width="4" style="5" bestFit="1" customWidth="1"/>
    <col min="5" max="5" width="7.4609375" style="5" customWidth="1"/>
    <col min="6" max="6" width="2.3046875" style="5" customWidth="1"/>
    <col min="7" max="7" width="7.3046875" style="5" bestFit="1" customWidth="1"/>
    <col min="8" max="8" width="6.69140625" style="5" customWidth="1"/>
    <col min="9" max="9" width="2.3046875" style="5" customWidth="1"/>
    <col min="10" max="10" width="4.3046875" style="5" customWidth="1"/>
    <col min="11" max="11" width="6.69140625" style="5" customWidth="1"/>
    <col min="12" max="12" width="2.3046875" style="5" customWidth="1"/>
    <col min="13" max="13" width="4.3046875" style="5" customWidth="1"/>
    <col min="14" max="14" width="6.69140625" style="5" customWidth="1"/>
    <col min="15" max="15" width="2.3046875" style="5" customWidth="1"/>
    <col min="16" max="16" width="4.3046875" style="5" customWidth="1"/>
    <col min="17" max="17" width="6.69140625" style="5" customWidth="1"/>
    <col min="18" max="18" width="2.3046875" style="5" customWidth="1"/>
    <col min="19" max="19" width="4.3046875" style="5" customWidth="1"/>
    <col min="20" max="20" width="6.69140625" style="5" customWidth="1"/>
    <col min="21" max="21" width="2.3046875" style="5" customWidth="1"/>
    <col min="22" max="22" width="4.3046875" style="5" customWidth="1"/>
    <col min="23" max="23" width="6.69140625" style="5" customWidth="1"/>
    <col min="24" max="24" width="2.3046875" style="5" customWidth="1"/>
    <col min="25" max="25" width="4.3046875" style="5" customWidth="1"/>
    <col min="26" max="26" width="6.69140625" style="5" customWidth="1"/>
    <col min="27" max="27" width="2.3046875" style="5" customWidth="1"/>
    <col min="28" max="28" width="4.3046875" style="5" customWidth="1"/>
    <col min="29" max="16384" width="8.69140625" style="5"/>
  </cols>
  <sheetData>
    <row r="1" spans="1:28" ht="36" customHeight="1" thickBot="1" x14ac:dyDescent="0.4">
      <c r="A1" s="75" t="str">
        <f>"Part C: Household wastewater management chain (" &amp; Introduction!C3 &amp;", 2020)"</f>
        <v>Part C: Household wastewater management chain (French Guiana, 2020)</v>
      </c>
      <c r="B1" s="75"/>
      <c r="C1" s="75"/>
      <c r="D1" s="75"/>
      <c r="E1" s="75"/>
      <c r="F1" s="75"/>
      <c r="G1" s="75"/>
      <c r="H1" s="74"/>
      <c r="I1" s="74"/>
      <c r="J1" s="74"/>
      <c r="K1" s="74"/>
      <c r="L1" s="74"/>
      <c r="M1" s="74"/>
      <c r="N1" s="74"/>
      <c r="O1" s="74"/>
      <c r="P1" s="74"/>
      <c r="Q1" s="74"/>
      <c r="R1" s="74"/>
      <c r="S1" s="74"/>
      <c r="T1" s="74"/>
      <c r="U1" s="74"/>
      <c r="V1" s="74"/>
      <c r="W1" s="74"/>
      <c r="X1" s="74"/>
      <c r="Y1" s="74"/>
      <c r="Z1" s="74"/>
      <c r="AA1" s="74"/>
      <c r="AB1" s="75"/>
    </row>
    <row r="2" spans="1:28" ht="37" customHeight="1" thickBot="1" x14ac:dyDescent="0.4">
      <c r="A2" s="184" t="s">
        <v>43</v>
      </c>
      <c r="B2" s="162" t="s">
        <v>56</v>
      </c>
      <c r="C2" s="163"/>
      <c r="D2" s="163"/>
      <c r="E2" s="163"/>
      <c r="F2" s="163"/>
      <c r="G2" s="165"/>
      <c r="H2" s="175" t="s">
        <v>74</v>
      </c>
      <c r="I2" s="176"/>
      <c r="J2" s="176"/>
      <c r="K2" s="173"/>
      <c r="L2" s="173"/>
      <c r="M2" s="173"/>
      <c r="N2" s="173"/>
      <c r="O2" s="173"/>
      <c r="P2" s="173"/>
      <c r="Q2" s="176"/>
      <c r="R2" s="176"/>
      <c r="S2" s="176"/>
      <c r="T2" s="173"/>
      <c r="U2" s="173"/>
      <c r="V2" s="173"/>
      <c r="W2" s="173"/>
      <c r="X2" s="173"/>
      <c r="Y2" s="173"/>
      <c r="Z2" s="173"/>
      <c r="AA2" s="173"/>
      <c r="AB2" s="174"/>
    </row>
    <row r="3" spans="1:28" ht="88" customHeight="1" x14ac:dyDescent="0.35">
      <c r="A3" s="185"/>
      <c r="B3" s="187" t="s">
        <v>35</v>
      </c>
      <c r="C3" s="188"/>
      <c r="D3" s="189"/>
      <c r="E3" s="187" t="s">
        <v>36</v>
      </c>
      <c r="F3" s="188"/>
      <c r="G3" s="189"/>
      <c r="H3" s="162" t="s">
        <v>15</v>
      </c>
      <c r="I3" s="163"/>
      <c r="J3" s="165"/>
      <c r="K3" s="164" t="s">
        <v>14</v>
      </c>
      <c r="L3" s="167"/>
      <c r="M3" s="172"/>
      <c r="N3" s="181" t="s">
        <v>13</v>
      </c>
      <c r="O3" s="182"/>
      <c r="P3" s="183"/>
      <c r="Q3" s="173" t="s">
        <v>12</v>
      </c>
      <c r="R3" s="173"/>
      <c r="S3" s="173"/>
      <c r="T3" s="181" t="s">
        <v>10</v>
      </c>
      <c r="U3" s="182"/>
      <c r="V3" s="186"/>
      <c r="W3" s="181" t="s">
        <v>62</v>
      </c>
      <c r="X3" s="182"/>
      <c r="Y3" s="186"/>
      <c r="Z3" s="181" t="s">
        <v>135</v>
      </c>
      <c r="AA3" s="182"/>
      <c r="AB3" s="183"/>
    </row>
    <row r="4" spans="1:28" x14ac:dyDescent="0.35">
      <c r="A4" s="102" t="s">
        <v>71</v>
      </c>
      <c r="B4" s="76">
        <f>v14_</f>
        <v>9.6264942464714132</v>
      </c>
      <c r="C4" s="77" t="str">
        <f>v99_</f>
        <v>C</v>
      </c>
      <c r="D4" s="109" t="s">
        <v>60</v>
      </c>
      <c r="E4" s="78">
        <f>v14_ / v8_</f>
        <v>0.50822070204833014</v>
      </c>
      <c r="F4" s="77" t="s">
        <v>5</v>
      </c>
      <c r="G4" s="79" t="s">
        <v>37</v>
      </c>
      <c r="H4" s="18"/>
      <c r="I4" s="19"/>
      <c r="J4" s="20"/>
      <c r="K4" s="18"/>
      <c r="L4" s="19"/>
      <c r="M4" s="19"/>
      <c r="N4" s="18"/>
      <c r="O4" s="19"/>
      <c r="P4" s="20"/>
      <c r="Q4" s="18"/>
      <c r="R4" s="19"/>
      <c r="S4" s="20"/>
      <c r="T4" s="19"/>
      <c r="U4" s="19"/>
      <c r="V4" s="19"/>
      <c r="W4" s="68">
        <f>v19_</f>
        <v>1</v>
      </c>
      <c r="X4" s="40" t="str">
        <f>'Data summary'!G20</f>
        <v>A</v>
      </c>
      <c r="Y4" s="158" t="s">
        <v>153</v>
      </c>
      <c r="Z4" s="65">
        <f>v20_</f>
        <v>0.98099999999999998</v>
      </c>
      <c r="AA4" s="40" t="str">
        <f>'Data summary'!G21</f>
        <v>R</v>
      </c>
      <c r="AB4" s="158" t="s">
        <v>154</v>
      </c>
    </row>
    <row r="5" spans="1:28" x14ac:dyDescent="0.35">
      <c r="A5" s="111" t="s">
        <v>72</v>
      </c>
      <c r="B5" s="112">
        <f>v15_</f>
        <v>7.7801628112792969</v>
      </c>
      <c r="C5" s="108" t="str">
        <f>'Data summary'!G16</f>
        <v>C</v>
      </c>
      <c r="D5" s="113" t="s">
        <v>61</v>
      </c>
      <c r="E5" s="80">
        <f>v15_ / v8_</f>
        <v>0.41074556372877136</v>
      </c>
      <c r="F5" s="108" t="s">
        <v>5</v>
      </c>
      <c r="G5" s="114" t="s">
        <v>38</v>
      </c>
      <c r="H5" s="115">
        <f>v22_</f>
        <v>0.5</v>
      </c>
      <c r="I5" s="118" t="str">
        <f>'Data summary'!G23</f>
        <v>A</v>
      </c>
      <c r="J5" s="120" t="s">
        <v>63</v>
      </c>
      <c r="K5" s="18"/>
      <c r="L5" s="19"/>
      <c r="M5" s="19"/>
      <c r="N5" s="115">
        <f>v24_</f>
        <v>0</v>
      </c>
      <c r="O5" s="116" t="str">
        <f>'Data summary'!G25</f>
        <v>A</v>
      </c>
      <c r="P5" s="120" t="s">
        <v>65</v>
      </c>
      <c r="Q5" s="115">
        <f>v25_</f>
        <v>0.5</v>
      </c>
      <c r="R5" s="118" t="str">
        <f>'Data summary'!G26</f>
        <v>A</v>
      </c>
      <c r="S5" s="120" t="s">
        <v>66</v>
      </c>
      <c r="T5" s="12"/>
      <c r="U5" s="12"/>
      <c r="V5" s="12"/>
      <c r="W5" s="115">
        <f>v27_</f>
        <v>1</v>
      </c>
      <c r="X5" s="116" t="str">
        <f>'Data summary'!G28</f>
        <v>A</v>
      </c>
      <c r="Y5" s="120" t="s">
        <v>68</v>
      </c>
      <c r="Z5" s="117">
        <f>v28_</f>
        <v>0.98099998474121097</v>
      </c>
      <c r="AA5" s="119" t="str">
        <f>'Data summary'!G29</f>
        <v>A</v>
      </c>
      <c r="AB5" s="120" t="s">
        <v>69</v>
      </c>
    </row>
    <row r="6" spans="1:28" ht="16" thickBot="1" x14ac:dyDescent="0.4">
      <c r="A6" s="103" t="s">
        <v>73</v>
      </c>
      <c r="B6" s="100">
        <f>v15_</f>
        <v>7.7801628112792969</v>
      </c>
      <c r="C6" s="92" t="str">
        <f>'Data summary'!G16</f>
        <v>C</v>
      </c>
      <c r="D6" s="110" t="s">
        <v>61</v>
      </c>
      <c r="E6" s="101">
        <f>v15_ / v8_</f>
        <v>0.41074556372877136</v>
      </c>
      <c r="F6" s="92" t="s">
        <v>5</v>
      </c>
      <c r="G6" s="81" t="s">
        <v>38</v>
      </c>
      <c r="H6" s="67">
        <f>v22_</f>
        <v>0.5</v>
      </c>
      <c r="I6" s="38" t="str">
        <f>'Data summary'!G23</f>
        <v>A</v>
      </c>
      <c r="J6" s="37" t="s">
        <v>63</v>
      </c>
      <c r="K6" s="66">
        <f>v23_</f>
        <v>0</v>
      </c>
      <c r="L6" s="39" t="str">
        <f>'Data summary'!G24</f>
        <v>A</v>
      </c>
      <c r="M6" s="121" t="s">
        <v>64</v>
      </c>
      <c r="N6" s="122"/>
      <c r="O6" s="123"/>
      <c r="P6" s="124"/>
      <c r="Q6" s="122"/>
      <c r="R6" s="123"/>
      <c r="S6" s="124"/>
      <c r="T6" s="66">
        <f>v26_</f>
        <v>0.5</v>
      </c>
      <c r="U6" s="39" t="str">
        <f>'Data summary'!G27</f>
        <v>A</v>
      </c>
      <c r="V6" s="121" t="s">
        <v>67</v>
      </c>
      <c r="W6" s="122"/>
      <c r="X6" s="123"/>
      <c r="Y6" s="124"/>
      <c r="Z6" s="123"/>
      <c r="AA6" s="123"/>
      <c r="AB6" s="124"/>
    </row>
    <row r="7" spans="1:28" x14ac:dyDescent="0.35">
      <c r="Y7" s="87"/>
    </row>
    <row r="8" spans="1:28" x14ac:dyDescent="0.35">
      <c r="A8" s="58" t="s">
        <v>88</v>
      </c>
      <c r="B8" s="58"/>
      <c r="C8" s="58"/>
      <c r="D8" s="58"/>
      <c r="E8" s="22"/>
      <c r="F8" s="22"/>
      <c r="G8" s="22"/>
      <c r="H8" s="22"/>
      <c r="I8" s="22"/>
      <c r="J8" s="22"/>
      <c r="K8" s="22"/>
      <c r="L8" s="22"/>
      <c r="M8" s="22"/>
      <c r="N8" s="22"/>
      <c r="O8" s="22"/>
      <c r="P8" s="22"/>
      <c r="Q8" s="22"/>
      <c r="R8" s="22"/>
      <c r="S8" s="22"/>
      <c r="T8" s="22"/>
      <c r="U8" s="22"/>
      <c r="V8" s="22"/>
      <c r="W8" s="22"/>
      <c r="X8" s="22"/>
      <c r="Y8" s="22"/>
      <c r="Z8" s="22"/>
      <c r="AA8" s="22"/>
      <c r="AB8" s="22"/>
    </row>
    <row r="9" spans="1:28" x14ac:dyDescent="0.35">
      <c r="A9" s="22"/>
      <c r="B9" s="22"/>
      <c r="C9" s="22"/>
      <c r="D9" s="22"/>
      <c r="E9" s="22"/>
      <c r="F9" s="22"/>
      <c r="G9" s="22"/>
      <c r="H9" s="22"/>
      <c r="I9" s="22"/>
      <c r="J9" s="22"/>
      <c r="K9" s="22"/>
      <c r="L9" s="22"/>
      <c r="M9" s="22"/>
      <c r="N9" s="22"/>
      <c r="O9" s="22"/>
      <c r="P9" s="22"/>
      <c r="Q9" s="22"/>
      <c r="R9" s="22"/>
      <c r="S9" s="22"/>
      <c r="T9" s="22"/>
      <c r="U9" s="22"/>
      <c r="V9" s="22"/>
      <c r="W9" s="22"/>
      <c r="X9" s="22"/>
      <c r="Y9" s="22"/>
      <c r="Z9" s="22"/>
      <c r="AA9" s="22"/>
      <c r="AB9" s="22"/>
    </row>
    <row r="10" spans="1:28" x14ac:dyDescent="0.35">
      <c r="A10" s="23" t="str">
        <f>IF(AA4="A","Neither, no data on sewage treatment performance [20] are available, and an assumption has been used in its place",IF(E23="Compliance","Compliance with discharge standards","Secondary or higher treatment technologies"))</f>
        <v>Secondary or higher treatment technologies</v>
      </c>
      <c r="B10" s="23"/>
      <c r="C10" s="23"/>
      <c r="D10" s="23"/>
      <c r="E10" s="22"/>
      <c r="F10" s="22"/>
      <c r="G10" s="22"/>
      <c r="H10" s="22"/>
      <c r="I10" s="22"/>
      <c r="J10" s="22"/>
      <c r="K10" s="22"/>
      <c r="L10" s="22"/>
      <c r="M10" s="22"/>
      <c r="N10" s="22"/>
      <c r="O10" s="22"/>
      <c r="P10" s="22"/>
      <c r="Q10" s="22"/>
      <c r="R10" s="22"/>
      <c r="S10" s="22"/>
      <c r="T10" s="22"/>
      <c r="U10" s="22"/>
      <c r="V10" s="22"/>
      <c r="W10" s="22"/>
      <c r="X10" s="22"/>
      <c r="Y10" s="22"/>
      <c r="Z10" s="22"/>
      <c r="AA10" s="22"/>
      <c r="AB10" s="22"/>
    </row>
    <row r="11" spans="1:28" x14ac:dyDescent="0.35">
      <c r="A11" s="22"/>
      <c r="B11" s="22"/>
      <c r="C11" s="22"/>
      <c r="D11" s="22"/>
      <c r="E11" s="22"/>
      <c r="F11" s="22"/>
      <c r="G11" s="22"/>
      <c r="H11" s="22"/>
      <c r="I11" s="22"/>
      <c r="J11" s="22"/>
      <c r="K11" s="22"/>
      <c r="L11" s="22"/>
      <c r="M11" s="22"/>
      <c r="N11" s="22"/>
      <c r="O11" s="22"/>
      <c r="P11" s="22"/>
      <c r="Q11" s="22"/>
      <c r="R11" s="22"/>
      <c r="S11" s="22"/>
      <c r="T11" s="22"/>
      <c r="U11" s="22"/>
      <c r="V11" s="22"/>
      <c r="W11" s="22"/>
      <c r="X11" s="22"/>
      <c r="Y11" s="22"/>
      <c r="Z11" s="22"/>
      <c r="AA11" s="22"/>
      <c r="AB11" s="22"/>
    </row>
    <row r="12" spans="1:28" x14ac:dyDescent="0.35">
      <c r="A12" s="58" t="s">
        <v>136</v>
      </c>
      <c r="B12" s="22"/>
      <c r="C12" s="22"/>
      <c r="D12" s="22"/>
      <c r="E12" s="22"/>
      <c r="F12" s="22"/>
      <c r="G12" s="22"/>
      <c r="H12" s="22"/>
      <c r="I12" s="22"/>
      <c r="J12" s="22"/>
      <c r="K12" s="22"/>
      <c r="L12" s="22"/>
      <c r="M12" s="22"/>
      <c r="N12" s="22"/>
      <c r="O12" s="22"/>
      <c r="P12" s="22"/>
      <c r="Q12" s="22"/>
      <c r="R12" s="22"/>
      <c r="S12" s="22"/>
      <c r="T12" s="22"/>
      <c r="U12" s="22"/>
      <c r="V12" s="22"/>
      <c r="W12" s="22"/>
      <c r="X12" s="22"/>
      <c r="Y12" s="88"/>
      <c r="Z12" s="22"/>
      <c r="AA12" s="22"/>
      <c r="AB12" s="22"/>
    </row>
    <row r="13" spans="1:28" x14ac:dyDescent="0.35">
      <c r="A13" s="22"/>
      <c r="B13" s="22"/>
      <c r="C13" s="22"/>
      <c r="D13" s="22"/>
      <c r="E13" s="22"/>
      <c r="F13" s="22"/>
      <c r="G13" s="22"/>
      <c r="H13" s="22"/>
      <c r="I13" s="22"/>
      <c r="J13" s="22"/>
      <c r="K13" s="22"/>
      <c r="L13" s="22"/>
      <c r="M13" s="22"/>
      <c r="N13" s="22"/>
      <c r="O13" s="22"/>
      <c r="P13" s="22"/>
      <c r="Q13" s="22"/>
      <c r="R13" s="22"/>
      <c r="S13" s="22"/>
      <c r="T13" s="22"/>
      <c r="U13" s="22"/>
      <c r="V13" s="22"/>
      <c r="W13" s="22"/>
      <c r="X13" s="22"/>
      <c r="Y13" s="88"/>
      <c r="Z13" s="22"/>
      <c r="AA13" s="22"/>
      <c r="AB13" s="22"/>
    </row>
    <row r="14" spans="1:28" x14ac:dyDescent="0.35">
      <c r="A14" s="23" t="str">
        <f>IF(E4&gt;=E6,IF(AA4&lt;&gt;"A","Yes, since the volume of sewer wastewater generated is greater than the volume of septic tank wastewater generated, and data on sewer wastewater treatment performance [20] are reported","No,  since the volume of sewer wastewater generated is greater than the volume of septic tank wastewater generated, and data on sewer wastewater treatment performance [20] are not reported"),IF(U6&lt;&gt;"A","Yes, since the volume of septic tank wastewater generated is greater than the volume of sewer wastewater generated, and data on septic tank management [23-26] are reported","No, since the volume of septic tank wastewater generated is greater than the volume of sewer wastewater generated, and data on septic tank management [23-26] are not reported"))</f>
        <v>Yes, since the volume of sewer wastewater generated is greater than the volume of septic tank wastewater generated, and data on sewer wastewater treatment performance [20] are reported</v>
      </c>
      <c r="B14" s="23"/>
      <c r="C14" s="23"/>
      <c r="D14" s="23"/>
      <c r="E14" s="22"/>
      <c r="F14" s="22"/>
      <c r="G14" s="22"/>
      <c r="H14" s="22"/>
      <c r="I14" s="22"/>
      <c r="J14" s="22"/>
      <c r="K14" s="22"/>
      <c r="L14" s="22"/>
      <c r="M14" s="22"/>
      <c r="N14" s="22"/>
      <c r="O14" s="22"/>
      <c r="P14" s="22"/>
      <c r="Q14" s="22"/>
      <c r="R14" s="22"/>
      <c r="S14" s="22"/>
      <c r="T14" s="22"/>
      <c r="U14" s="22"/>
      <c r="V14" s="22"/>
      <c r="W14" s="22"/>
      <c r="X14" s="22"/>
      <c r="Y14" s="88"/>
      <c r="Z14" s="22"/>
      <c r="AA14" s="22"/>
      <c r="AB14" s="22"/>
    </row>
    <row r="15" spans="1:28" x14ac:dyDescent="0.35">
      <c r="A15" s="23"/>
      <c r="B15" s="23"/>
      <c r="C15" s="23"/>
      <c r="D15" s="23"/>
      <c r="E15" s="22"/>
      <c r="F15" s="22"/>
      <c r="G15" s="22"/>
      <c r="H15" s="22"/>
      <c r="I15" s="22"/>
      <c r="J15" s="22"/>
      <c r="K15" s="22"/>
      <c r="L15" s="22"/>
      <c r="M15" s="22"/>
      <c r="N15" s="22"/>
      <c r="O15" s="22"/>
      <c r="P15" s="22"/>
      <c r="Q15" s="22"/>
      <c r="R15" s="22"/>
      <c r="S15" s="22"/>
      <c r="T15" s="22"/>
      <c r="U15" s="22"/>
      <c r="V15" s="22"/>
      <c r="W15" s="22"/>
      <c r="X15" s="22"/>
      <c r="Y15" s="88"/>
      <c r="Z15" s="22"/>
      <c r="AA15" s="22"/>
      <c r="AB15" s="22"/>
    </row>
    <row r="16" spans="1:28" x14ac:dyDescent="0.35">
      <c r="A16" s="10" t="s">
        <v>9</v>
      </c>
      <c r="B16" s="45" t="s">
        <v>70</v>
      </c>
      <c r="C16" s="8"/>
      <c r="D16" s="8"/>
      <c r="H16" s="8"/>
      <c r="I16" s="8"/>
      <c r="J16" s="8"/>
      <c r="K16" s="8"/>
      <c r="L16" s="8"/>
      <c r="M16" s="8"/>
      <c r="N16" s="8"/>
      <c r="O16" s="8"/>
      <c r="P16" s="8"/>
      <c r="Q16" s="8"/>
      <c r="R16" s="8"/>
      <c r="S16" s="8"/>
      <c r="T16" s="8"/>
      <c r="U16" s="8"/>
      <c r="V16" s="8"/>
      <c r="W16" s="8"/>
      <c r="X16" s="8"/>
      <c r="Y16" s="8"/>
    </row>
    <row r="17" spans="2:25" x14ac:dyDescent="0.35">
      <c r="B17" s="8" t="s">
        <v>50</v>
      </c>
      <c r="C17" s="8"/>
      <c r="D17" s="21"/>
      <c r="H17" s="8"/>
      <c r="I17" s="8"/>
      <c r="J17" s="8"/>
      <c r="K17" s="8"/>
      <c r="L17" s="8"/>
      <c r="M17" s="8"/>
      <c r="N17" s="8"/>
      <c r="O17" s="8"/>
      <c r="P17" s="8"/>
      <c r="Q17" s="8"/>
      <c r="R17" s="8"/>
      <c r="S17" s="8"/>
      <c r="T17" s="8"/>
      <c r="U17" s="8"/>
      <c r="V17" s="8"/>
      <c r="W17" s="8"/>
      <c r="X17" s="8"/>
      <c r="Y17" s="8"/>
    </row>
    <row r="18" spans="2:25" x14ac:dyDescent="0.35">
      <c r="B18" s="8" t="s">
        <v>28</v>
      </c>
      <c r="C18" s="8"/>
      <c r="D18" s="9"/>
    </row>
    <row r="19" spans="2:25" x14ac:dyDescent="0.35">
      <c r="B19" s="8" t="s">
        <v>44</v>
      </c>
      <c r="C19" s="8"/>
      <c r="D19" s="8"/>
    </row>
    <row r="20" spans="2:25" x14ac:dyDescent="0.35">
      <c r="B20" s="8" t="s">
        <v>51</v>
      </c>
      <c r="C20" s="8"/>
      <c r="D20" s="21"/>
    </row>
    <row r="27" spans="2:25" x14ac:dyDescent="0.35">
      <c r="Q27" s="8"/>
    </row>
  </sheetData>
  <mergeCells count="12">
    <mergeCell ref="K3:M3"/>
    <mergeCell ref="N3:P3"/>
    <mergeCell ref="H3:J3"/>
    <mergeCell ref="A2:A3"/>
    <mergeCell ref="Z3:AB3"/>
    <mergeCell ref="H2:AB2"/>
    <mergeCell ref="Q3:S3"/>
    <mergeCell ref="T3:V3"/>
    <mergeCell ref="W3:Y3"/>
    <mergeCell ref="B3:D3"/>
    <mergeCell ref="E3:G3"/>
    <mergeCell ref="B2:G2"/>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22"/>
  <sheetViews>
    <sheetView zoomScaleNormal="100" workbookViewId="0">
      <pane xSplit="2" ySplit="2" topLeftCell="C3" activePane="bottomRight" state="frozen"/>
      <selection pane="topRight" activeCell="C1" sqref="C1"/>
      <selection pane="bottomLeft" activeCell="A3" sqref="A3"/>
      <selection pane="bottomRight" sqref="A1:E1"/>
    </sheetView>
  </sheetViews>
  <sheetFormatPr defaultColWidth="8.69140625" defaultRowHeight="15.5" x14ac:dyDescent="0.35"/>
  <cols>
    <col min="1" max="1" width="33.53515625" style="5" customWidth="1"/>
    <col min="2" max="2" width="33.07421875" style="5" customWidth="1"/>
    <col min="3" max="3" width="21.4609375" style="5" customWidth="1"/>
    <col min="4" max="4" width="2.69140625" style="5" customWidth="1"/>
    <col min="5" max="5" width="14.53515625" style="5" customWidth="1"/>
    <col min="6" max="6" width="17" style="5" customWidth="1"/>
    <col min="7" max="7" width="2.53515625" style="5" customWidth="1"/>
    <col min="8" max="8" width="17.69140625" style="5" customWidth="1"/>
    <col min="9" max="9" width="13.69140625" style="5" customWidth="1"/>
    <col min="10" max="10" width="2.53515625" style="5" customWidth="1"/>
    <col min="11" max="11" width="17.69140625" style="5" customWidth="1"/>
    <col min="12" max="14" width="15.69140625" style="5" customWidth="1"/>
    <col min="15" max="15" width="10.69140625" style="5" customWidth="1"/>
    <col min="16" max="16384" width="8.69140625" style="5"/>
  </cols>
  <sheetData>
    <row r="1" spans="1:12" ht="36" customHeight="1" thickBot="1" x14ac:dyDescent="0.4">
      <c r="A1" s="197" t="str">
        <f>"Part D: Country estimates for safely treated household wastewater (" &amp; Introduction!C3 &amp;", 2020)"</f>
        <v>Part D: Country estimates for safely treated household wastewater (French Guiana, 2020)</v>
      </c>
      <c r="B1" s="197"/>
      <c r="C1" s="197"/>
      <c r="D1" s="197"/>
      <c r="E1" s="197"/>
    </row>
    <row r="2" spans="1:12" ht="89.15" customHeight="1" thickBot="1" x14ac:dyDescent="0.4">
      <c r="A2" s="9"/>
      <c r="C2" s="175" t="s">
        <v>101</v>
      </c>
      <c r="D2" s="176"/>
      <c r="E2" s="177"/>
      <c r="F2" s="175" t="s">
        <v>89</v>
      </c>
      <c r="G2" s="176"/>
      <c r="H2" s="177"/>
      <c r="I2" s="175" t="s">
        <v>90</v>
      </c>
      <c r="J2" s="176"/>
      <c r="K2" s="177"/>
    </row>
    <row r="3" spans="1:12" ht="31" x14ac:dyDescent="0.35">
      <c r="A3" s="162" t="s">
        <v>45</v>
      </c>
      <c r="B3" s="132" t="s">
        <v>58</v>
      </c>
      <c r="C3" s="135">
        <f>v14_</f>
        <v>9.6264942464714132</v>
      </c>
      <c r="D3" s="89" t="str">
        <f>'Data summary'!G15</f>
        <v>C</v>
      </c>
      <c r="E3" s="140" t="s">
        <v>60</v>
      </c>
      <c r="F3" s="90">
        <f>C3/$C$6</f>
        <v>0.50822070204833014</v>
      </c>
      <c r="G3" s="125" t="s">
        <v>5</v>
      </c>
      <c r="H3" s="94" t="s">
        <v>37</v>
      </c>
      <c r="I3" s="90">
        <f>C3/C3</f>
        <v>1</v>
      </c>
      <c r="J3" s="125" t="s">
        <v>5</v>
      </c>
      <c r="K3" s="94" t="s">
        <v>108</v>
      </c>
    </row>
    <row r="4" spans="1:12" ht="31" x14ac:dyDescent="0.35">
      <c r="A4" s="190"/>
      <c r="B4" s="133" t="s">
        <v>59</v>
      </c>
      <c r="C4" s="136">
        <f>v15_</f>
        <v>7.7801628112792969</v>
      </c>
      <c r="D4" s="77" t="str">
        <f>'Data summary'!G16</f>
        <v>C</v>
      </c>
      <c r="E4" s="139" t="s">
        <v>61</v>
      </c>
      <c r="F4" s="91">
        <f>C4/$C$6</f>
        <v>0.41074556372877136</v>
      </c>
      <c r="G4" s="126" t="s">
        <v>5</v>
      </c>
      <c r="H4" s="95" t="s">
        <v>38</v>
      </c>
      <c r="I4" s="91">
        <f>C4/C4</f>
        <v>1</v>
      </c>
      <c r="J4" s="126" t="s">
        <v>5</v>
      </c>
      <c r="K4" s="95" t="s">
        <v>109</v>
      </c>
    </row>
    <row r="5" spans="1:12" ht="46.5" x14ac:dyDescent="0.35">
      <c r="A5" s="190"/>
      <c r="B5" s="133" t="s">
        <v>57</v>
      </c>
      <c r="C5" s="136">
        <f>SUM(v16_,v17_,v18_)</f>
        <v>1.5349041372537613</v>
      </c>
      <c r="D5" s="77" t="str">
        <f>'Data summary'!G17</f>
        <v>C</v>
      </c>
      <c r="E5" s="139" t="s">
        <v>48</v>
      </c>
      <c r="F5" s="91">
        <f>C5/$C$6</f>
        <v>8.103365963137904E-2</v>
      </c>
      <c r="G5" s="126" t="s">
        <v>5</v>
      </c>
      <c r="H5" s="97" t="s">
        <v>92</v>
      </c>
      <c r="I5" s="91">
        <f>C5/C5</f>
        <v>1</v>
      </c>
      <c r="J5" s="126" t="s">
        <v>5</v>
      </c>
      <c r="K5" s="97" t="s">
        <v>110</v>
      </c>
    </row>
    <row r="6" spans="1:12" ht="74.25" customHeight="1" thickBot="1" x14ac:dyDescent="0.4">
      <c r="A6" s="198"/>
      <c r="B6" s="134" t="s">
        <v>112</v>
      </c>
      <c r="C6" s="137">
        <f>v8_</f>
        <v>18.941562607884407</v>
      </c>
      <c r="D6" s="108" t="str">
        <f>'Data summary'!G9</f>
        <v>C</v>
      </c>
      <c r="E6" s="131" t="s">
        <v>107</v>
      </c>
      <c r="F6" s="98">
        <f>SUM(F3:F5)</f>
        <v>0.99999992540848059</v>
      </c>
      <c r="G6" s="127" t="s">
        <v>5</v>
      </c>
      <c r="H6" s="96" t="s">
        <v>111</v>
      </c>
      <c r="I6" s="98" t="s">
        <v>16</v>
      </c>
      <c r="J6" s="127"/>
      <c r="K6" s="96" t="s">
        <v>16</v>
      </c>
    </row>
    <row r="7" spans="1:12" ht="74.25" customHeight="1" x14ac:dyDescent="0.35">
      <c r="A7" s="187" t="s">
        <v>46</v>
      </c>
      <c r="B7" s="132" t="s">
        <v>128</v>
      </c>
      <c r="C7" s="135">
        <f>v14_*v19_</f>
        <v>9.6264942464714132</v>
      </c>
      <c r="D7" s="89" t="str">
        <f>'Data summary'!G30</f>
        <v>C</v>
      </c>
      <c r="E7" s="140" t="s">
        <v>113</v>
      </c>
      <c r="F7" s="90">
        <f>C7/C6</f>
        <v>0.50822070204833014</v>
      </c>
      <c r="G7" s="125" t="s">
        <v>5</v>
      </c>
      <c r="H7" s="94" t="s">
        <v>93</v>
      </c>
      <c r="I7" s="90">
        <f>C7/C3</f>
        <v>1</v>
      </c>
      <c r="J7" s="125" t="s">
        <v>5</v>
      </c>
      <c r="K7" s="94" t="s">
        <v>96</v>
      </c>
    </row>
    <row r="8" spans="1:12" ht="74.25" customHeight="1" x14ac:dyDescent="0.35">
      <c r="A8" s="190"/>
      <c r="B8" s="133" t="s">
        <v>114</v>
      </c>
      <c r="C8" s="136">
        <f>v15_*v22_*v25_*v27_</f>
        <v>1.9450407028198242</v>
      </c>
      <c r="D8" s="77" t="str">
        <f>'Data summary'!G31</f>
        <v>C</v>
      </c>
      <c r="E8" s="139" t="s">
        <v>115</v>
      </c>
      <c r="F8" s="91">
        <f>C8/C6</f>
        <v>0.10268639093219284</v>
      </c>
      <c r="G8" s="126" t="s">
        <v>5</v>
      </c>
      <c r="H8" s="95" t="s">
        <v>94</v>
      </c>
      <c r="I8" s="91">
        <f>C8/C4</f>
        <v>0.25</v>
      </c>
      <c r="J8" s="126" t="s">
        <v>5</v>
      </c>
      <c r="K8" s="95" t="s">
        <v>97</v>
      </c>
    </row>
    <row r="9" spans="1:12" ht="74.25" customHeight="1" x14ac:dyDescent="0.35">
      <c r="A9" s="190"/>
      <c r="B9" s="133" t="s">
        <v>124</v>
      </c>
      <c r="C9" s="136">
        <f>v15_*v22_*(v23_+v26_)</f>
        <v>1.9450407028198242</v>
      </c>
      <c r="D9" s="77" t="str">
        <f>'Data summary'!G32</f>
        <v>C</v>
      </c>
      <c r="E9" s="139" t="s">
        <v>116</v>
      </c>
      <c r="F9" s="91">
        <f>C9/C6</f>
        <v>0.10268639093219284</v>
      </c>
      <c r="G9" s="126" t="s">
        <v>5</v>
      </c>
      <c r="H9" s="97" t="s">
        <v>95</v>
      </c>
      <c r="I9" s="91">
        <f>C9/C4</f>
        <v>0.25</v>
      </c>
      <c r="J9" s="126" t="s">
        <v>5</v>
      </c>
      <c r="K9" s="97" t="s">
        <v>98</v>
      </c>
    </row>
    <row r="10" spans="1:12" ht="40" customHeight="1" thickBot="1" x14ac:dyDescent="0.4">
      <c r="A10" s="191"/>
      <c r="B10" s="134" t="s">
        <v>117</v>
      </c>
      <c r="C10" s="137">
        <f>v32_</f>
        <v>13.516575813293457</v>
      </c>
      <c r="D10" s="108" t="str">
        <f>'Data summary'!G33</f>
        <v>C</v>
      </c>
      <c r="E10" s="131" t="s">
        <v>118</v>
      </c>
      <c r="F10" s="98">
        <f>C10/C6</f>
        <v>0.71359349242217196</v>
      </c>
      <c r="G10" s="127" t="s">
        <v>5</v>
      </c>
      <c r="H10" s="96" t="s">
        <v>49</v>
      </c>
      <c r="I10" s="130" t="s">
        <v>16</v>
      </c>
      <c r="J10" s="127"/>
      <c r="K10" s="96" t="s">
        <v>16</v>
      </c>
    </row>
    <row r="11" spans="1:12" ht="50.25" customHeight="1" x14ac:dyDescent="0.35">
      <c r="A11" s="179" t="s">
        <v>47</v>
      </c>
      <c r="B11" s="132" t="s">
        <v>125</v>
      </c>
      <c r="C11" s="146">
        <f>v29_*v20_</f>
        <v>9.443591013908387</v>
      </c>
      <c r="D11" s="59" t="str">
        <f>'Data summary'!G34</f>
        <v>C</v>
      </c>
      <c r="E11" s="150" t="s">
        <v>119</v>
      </c>
      <c r="F11" s="61">
        <f>v33_/v8_</f>
        <v>0.49856452254514638</v>
      </c>
      <c r="G11" s="59" t="str">
        <f>'Data summary'!G38</f>
        <v>C</v>
      </c>
      <c r="H11" s="41" t="s">
        <v>103</v>
      </c>
      <c r="I11" s="128">
        <f>C11/C3</f>
        <v>0.98100001642549473</v>
      </c>
      <c r="J11" s="147" t="s">
        <v>5</v>
      </c>
      <c r="K11" s="93" t="s">
        <v>99</v>
      </c>
    </row>
    <row r="12" spans="1:12" ht="46.5" x14ac:dyDescent="0.35">
      <c r="A12" s="192"/>
      <c r="B12" s="133" t="s">
        <v>126</v>
      </c>
      <c r="C12" s="138">
        <f>v30_*v28_</f>
        <v>1.9080848997872819</v>
      </c>
      <c r="D12" s="143" t="str">
        <f>'Data summary'!G35</f>
        <v>C</v>
      </c>
      <c r="E12" s="151" t="s">
        <v>120</v>
      </c>
      <c r="F12" s="62">
        <f>v34_/v8_</f>
        <v>0.10073534633254212</v>
      </c>
      <c r="G12" s="143" t="str">
        <f>'Data summary'!G39</f>
        <v>C</v>
      </c>
      <c r="H12" s="152" t="s">
        <v>104</v>
      </c>
      <c r="I12" s="129">
        <f>C12/C4</f>
        <v>0.24524999618530274</v>
      </c>
      <c r="J12" s="144" t="s">
        <v>5</v>
      </c>
      <c r="K12" s="148" t="s">
        <v>100</v>
      </c>
    </row>
    <row r="13" spans="1:12" ht="46.5" x14ac:dyDescent="0.35">
      <c r="A13" s="192"/>
      <c r="B13" s="133" t="s">
        <v>127</v>
      </c>
      <c r="C13" s="138">
        <f>v31_*100%</f>
        <v>1.9450407028198242</v>
      </c>
      <c r="D13" s="143" t="str">
        <f>'Data summary'!G36</f>
        <v>C</v>
      </c>
      <c r="E13" s="151" t="s">
        <v>121</v>
      </c>
      <c r="F13" s="62">
        <f>v35_/v8_</f>
        <v>0.10268639093219284</v>
      </c>
      <c r="G13" s="143" t="str">
        <f>'Data summary'!G40</f>
        <v>C</v>
      </c>
      <c r="H13" s="152" t="s">
        <v>105</v>
      </c>
      <c r="I13" s="129">
        <f>C13/C4</f>
        <v>0.25</v>
      </c>
      <c r="J13" s="144" t="s">
        <v>5</v>
      </c>
      <c r="K13" s="97" t="s">
        <v>91</v>
      </c>
    </row>
    <row r="14" spans="1:12" ht="105" customHeight="1" x14ac:dyDescent="0.35">
      <c r="A14" s="192"/>
      <c r="B14" s="153" t="s">
        <v>122</v>
      </c>
      <c r="C14" s="149">
        <f>v36_</f>
        <v>13.296716690063477</v>
      </c>
      <c r="D14" s="145" t="str">
        <f>'Data summary'!G37</f>
        <v>C</v>
      </c>
      <c r="E14" s="151" t="s">
        <v>123</v>
      </c>
      <c r="F14" s="155" t="str">
        <f>IF(LEFT(C15,2)="No","Insufficient data","COUNTRY ESTIMATE (SDG 6.3.1): "&amp;TEXT(SUM(F11:F13),"0.0%"))</f>
        <v>COUNTRY ESTIMATE (SDG 6.3.1): 70.2%</v>
      </c>
      <c r="G14" s="145" t="str">
        <f>'Data summary'!G41</f>
        <v>C</v>
      </c>
      <c r="H14" s="152" t="s">
        <v>106</v>
      </c>
      <c r="I14" s="129" t="s">
        <v>16</v>
      </c>
      <c r="J14" s="144"/>
      <c r="K14" s="148" t="s">
        <v>16</v>
      </c>
    </row>
    <row r="15" spans="1:12" ht="31.5" thickBot="1" x14ac:dyDescent="0.4">
      <c r="A15" s="193"/>
      <c r="B15" s="154" t="s">
        <v>102</v>
      </c>
      <c r="C15" s="194" t="str">
        <f>'C- WW management chain'!A14</f>
        <v>Yes, since the volume of sewer wastewater generated is greater than the volume of septic tank wastewater generated, and data on sewer wastewater treatment performance [20] are reported</v>
      </c>
      <c r="D15" s="195"/>
      <c r="E15" s="195"/>
      <c r="F15" s="195"/>
      <c r="G15" s="195"/>
      <c r="H15" s="195"/>
      <c r="I15" s="195"/>
      <c r="J15" s="195"/>
      <c r="K15" s="196"/>
      <c r="L15" s="7"/>
    </row>
    <row r="17" spans="1:3" x14ac:dyDescent="0.35">
      <c r="A17" s="10" t="s">
        <v>9</v>
      </c>
      <c r="B17" s="45" t="s">
        <v>70</v>
      </c>
    </row>
    <row r="18" spans="1:3" x14ac:dyDescent="0.35">
      <c r="A18" s="10"/>
      <c r="B18" s="8" t="s">
        <v>50</v>
      </c>
    </row>
    <row r="19" spans="1:3" x14ac:dyDescent="0.35">
      <c r="B19" s="8" t="s">
        <v>28</v>
      </c>
    </row>
    <row r="20" spans="1:3" x14ac:dyDescent="0.35">
      <c r="B20" s="8" t="s">
        <v>44</v>
      </c>
    </row>
    <row r="21" spans="1:3" x14ac:dyDescent="0.35">
      <c r="B21" s="8" t="s">
        <v>51</v>
      </c>
    </row>
    <row r="22" spans="1:3" x14ac:dyDescent="0.35">
      <c r="C22" s="8"/>
    </row>
  </sheetData>
  <mergeCells count="8">
    <mergeCell ref="A7:A10"/>
    <mergeCell ref="C2:E2"/>
    <mergeCell ref="A11:A15"/>
    <mergeCell ref="C15:K15"/>
    <mergeCell ref="A1:E1"/>
    <mergeCell ref="A3:A6"/>
    <mergeCell ref="I2:K2"/>
    <mergeCell ref="F2:H2"/>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J41"/>
  <sheetViews>
    <sheetView zoomScaleNormal="100" workbookViewId="0">
      <pane xSplit="2" ySplit="1" topLeftCell="C2" activePane="bottomRight" state="frozen"/>
      <selection pane="topRight" activeCell="C1" sqref="C1"/>
      <selection pane="bottomLeft" activeCell="A2" sqref="A2"/>
      <selection pane="bottomRight"/>
    </sheetView>
  </sheetViews>
  <sheetFormatPr defaultColWidth="8.69140625" defaultRowHeight="15.5" x14ac:dyDescent="0.35"/>
  <cols>
    <col min="1" max="1" width="9.53515625" style="5" bestFit="1" customWidth="1"/>
    <col min="2" max="2" width="18.69140625" style="5" bestFit="1" customWidth="1"/>
    <col min="3" max="3" width="9.69140625" style="5" bestFit="1" customWidth="1"/>
    <col min="4" max="4" width="84.07421875" style="5" bestFit="1" customWidth="1"/>
    <col min="5" max="5" width="14.84375" style="5" customWidth="1"/>
    <col min="6" max="6" width="15.84375" style="5" customWidth="1"/>
    <col min="7" max="7" width="8.4609375" style="15" customWidth="1"/>
    <col min="8" max="8" width="5.07421875" style="5" customWidth="1"/>
    <col min="9" max="9" width="40.53515625" style="5" customWidth="1"/>
    <col min="10" max="10" width="76.53515625" style="5" customWidth="1"/>
    <col min="11" max="16384" width="8.69140625" style="5"/>
  </cols>
  <sheetData>
    <row r="1" spans="1:10" s="15" customFormat="1" x14ac:dyDescent="0.35">
      <c r="A1" s="44" t="s">
        <v>29</v>
      </c>
      <c r="B1" s="44" t="s">
        <v>30</v>
      </c>
      <c r="C1" s="44" t="s">
        <v>31</v>
      </c>
      <c r="D1" s="44" t="s">
        <v>32</v>
      </c>
      <c r="E1" s="44" t="s">
        <v>17</v>
      </c>
      <c r="F1" s="15" t="s">
        <v>11</v>
      </c>
      <c r="G1" s="44" t="s">
        <v>18</v>
      </c>
      <c r="H1" s="44" t="s">
        <v>19</v>
      </c>
      <c r="I1" s="44" t="s">
        <v>20</v>
      </c>
      <c r="J1" s="44" t="s">
        <v>21</v>
      </c>
    </row>
    <row r="2" spans="1:10" x14ac:dyDescent="0.35">
      <c r="A2" s="104" t="s">
        <v>155</v>
      </c>
      <c r="B2" s="104" t="s">
        <v>156</v>
      </c>
      <c r="C2" s="5">
        <v>1</v>
      </c>
      <c r="D2" s="104" t="s">
        <v>157</v>
      </c>
      <c r="E2" s="161">
        <v>298.6820068359375</v>
      </c>
      <c r="F2" s="104" t="s">
        <v>197</v>
      </c>
      <c r="G2" s="105" t="s">
        <v>201</v>
      </c>
      <c r="H2" s="5">
        <v>2020</v>
      </c>
      <c r="I2" s="104" t="s">
        <v>204</v>
      </c>
      <c r="J2" s="104"/>
    </row>
    <row r="3" spans="1:10" x14ac:dyDescent="0.35">
      <c r="A3" s="104" t="s">
        <v>155</v>
      </c>
      <c r="B3" s="104" t="s">
        <v>156</v>
      </c>
      <c r="C3" s="5">
        <v>2</v>
      </c>
      <c r="D3" s="16" t="s">
        <v>158</v>
      </c>
      <c r="E3" s="159">
        <v>0.90563765684305297</v>
      </c>
      <c r="F3" s="16" t="s">
        <v>198</v>
      </c>
      <c r="G3" s="105" t="s">
        <v>201</v>
      </c>
      <c r="H3" s="5">
        <v>2020</v>
      </c>
      <c r="I3" s="104" t="s">
        <v>205</v>
      </c>
      <c r="J3" s="104"/>
    </row>
    <row r="4" spans="1:10" x14ac:dyDescent="0.35">
      <c r="A4" s="104" t="s">
        <v>155</v>
      </c>
      <c r="B4" s="104" t="s">
        <v>156</v>
      </c>
      <c r="C4" s="5">
        <v>3</v>
      </c>
      <c r="D4" s="16" t="s">
        <v>159</v>
      </c>
      <c r="E4" s="159">
        <v>9.4362344741821286E-2</v>
      </c>
      <c r="F4" s="16" t="s">
        <v>198</v>
      </c>
      <c r="G4" s="105" t="s">
        <v>201</v>
      </c>
      <c r="H4" s="5">
        <v>2020</v>
      </c>
      <c r="I4" s="104" t="s">
        <v>205</v>
      </c>
      <c r="J4" s="104"/>
    </row>
    <row r="5" spans="1:10" x14ac:dyDescent="0.35">
      <c r="A5" s="104" t="s">
        <v>155</v>
      </c>
      <c r="B5" s="104" t="s">
        <v>156</v>
      </c>
      <c r="C5" s="5">
        <v>4</v>
      </c>
      <c r="D5" s="16" t="s">
        <v>160</v>
      </c>
      <c r="E5" s="5">
        <v>237.72727272727269</v>
      </c>
      <c r="F5" s="104" t="s">
        <v>199</v>
      </c>
      <c r="G5" s="105" t="s">
        <v>202</v>
      </c>
      <c r="H5" s="5">
        <v>2015</v>
      </c>
      <c r="I5" s="104" t="s">
        <v>206</v>
      </c>
      <c r="J5" s="104"/>
    </row>
    <row r="6" spans="1:10" x14ac:dyDescent="0.35">
      <c r="A6" s="104" t="s">
        <v>155</v>
      </c>
      <c r="B6" s="104" t="s">
        <v>156</v>
      </c>
      <c r="C6" s="5">
        <v>5</v>
      </c>
      <c r="D6" s="16" t="s">
        <v>161</v>
      </c>
      <c r="E6" s="5">
        <v>20</v>
      </c>
      <c r="F6" s="104" t="s">
        <v>199</v>
      </c>
      <c r="G6" s="105" t="s">
        <v>203</v>
      </c>
      <c r="I6" s="104" t="s">
        <v>207</v>
      </c>
      <c r="J6" s="104"/>
    </row>
    <row r="7" spans="1:10" x14ac:dyDescent="0.35">
      <c r="A7" s="104" t="s">
        <v>155</v>
      </c>
      <c r="B7" s="104" t="s">
        <v>156</v>
      </c>
      <c r="C7" s="5">
        <v>6</v>
      </c>
      <c r="D7" s="16" t="s">
        <v>162</v>
      </c>
      <c r="E7" s="161">
        <v>23.676952362060547</v>
      </c>
      <c r="F7" s="104" t="s">
        <v>200</v>
      </c>
      <c r="G7" s="106" t="s">
        <v>5</v>
      </c>
      <c r="I7" s="104" t="s">
        <v>208</v>
      </c>
      <c r="J7" s="104"/>
    </row>
    <row r="8" spans="1:10" x14ac:dyDescent="0.35">
      <c r="A8" s="104" t="s">
        <v>155</v>
      </c>
      <c r="B8" s="104" t="s">
        <v>156</v>
      </c>
      <c r="C8" s="5">
        <v>7</v>
      </c>
      <c r="D8" s="16" t="s">
        <v>163</v>
      </c>
      <c r="E8" s="159">
        <v>0.8</v>
      </c>
      <c r="F8" s="16" t="s">
        <v>198</v>
      </c>
      <c r="G8" s="106" t="s">
        <v>203</v>
      </c>
      <c r="I8" s="104" t="s">
        <v>207</v>
      </c>
      <c r="J8" s="104"/>
    </row>
    <row r="9" spans="1:10" x14ac:dyDescent="0.35">
      <c r="A9" s="104" t="s">
        <v>155</v>
      </c>
      <c r="B9" s="104" t="s">
        <v>156</v>
      </c>
      <c r="C9" s="5">
        <v>8</v>
      </c>
      <c r="D9" s="16" t="s">
        <v>164</v>
      </c>
      <c r="E9" s="160">
        <v>18.941562607884407</v>
      </c>
      <c r="F9" s="104" t="s">
        <v>200</v>
      </c>
      <c r="G9" s="106" t="s">
        <v>5</v>
      </c>
      <c r="I9" s="104" t="s">
        <v>208</v>
      </c>
      <c r="J9" s="104"/>
    </row>
    <row r="10" spans="1:10" x14ac:dyDescent="0.35">
      <c r="A10" s="104" t="s">
        <v>155</v>
      </c>
      <c r="B10" s="104" t="s">
        <v>156</v>
      </c>
      <c r="C10" s="5">
        <v>9</v>
      </c>
      <c r="D10" s="16" t="s">
        <v>165</v>
      </c>
      <c r="E10" s="159">
        <v>0.46429845170178402</v>
      </c>
      <c r="F10" s="16" t="s">
        <v>198</v>
      </c>
      <c r="G10" s="105" t="s">
        <v>201</v>
      </c>
      <c r="H10" s="5">
        <v>2020</v>
      </c>
      <c r="I10" s="104" t="s">
        <v>205</v>
      </c>
      <c r="J10" s="104"/>
    </row>
    <row r="11" spans="1:10" x14ac:dyDescent="0.35">
      <c r="A11" s="104" t="s">
        <v>155</v>
      </c>
      <c r="B11" s="104" t="s">
        <v>156</v>
      </c>
      <c r="C11" s="5">
        <v>10</v>
      </c>
      <c r="D11" s="16" t="s">
        <v>166</v>
      </c>
      <c r="E11" s="159">
        <v>0.3752474689112455</v>
      </c>
      <c r="F11" s="16" t="s">
        <v>198</v>
      </c>
      <c r="G11" s="105" t="s">
        <v>201</v>
      </c>
      <c r="H11" s="5">
        <v>2020</v>
      </c>
      <c r="I11" s="104" t="s">
        <v>205</v>
      </c>
      <c r="J11" s="104"/>
    </row>
    <row r="12" spans="1:10" x14ac:dyDescent="0.35">
      <c r="A12" s="104" t="s">
        <v>155</v>
      </c>
      <c r="B12" s="104" t="s">
        <v>156</v>
      </c>
      <c r="C12" s="5">
        <v>11</v>
      </c>
      <c r="D12" s="16" t="s">
        <v>167</v>
      </c>
      <c r="E12" s="159">
        <v>8.4905457364350456E-2</v>
      </c>
      <c r="F12" s="16" t="s">
        <v>198</v>
      </c>
      <c r="G12" s="105" t="s">
        <v>201</v>
      </c>
      <c r="H12" s="5">
        <v>2020</v>
      </c>
      <c r="I12" s="104" t="s">
        <v>205</v>
      </c>
      <c r="J12" s="104"/>
    </row>
    <row r="13" spans="1:10" x14ac:dyDescent="0.35">
      <c r="A13" s="104" t="s">
        <v>155</v>
      </c>
      <c r="B13" s="104" t="s">
        <v>156</v>
      </c>
      <c r="C13" s="5">
        <v>12</v>
      </c>
      <c r="D13" s="16" t="s">
        <v>168</v>
      </c>
      <c r="E13" s="159">
        <v>7.5548622022620013E-2</v>
      </c>
      <c r="F13" s="16" t="s">
        <v>198</v>
      </c>
      <c r="G13" s="105" t="s">
        <v>201</v>
      </c>
      <c r="H13" s="5">
        <v>2020</v>
      </c>
      <c r="I13" s="104" t="s">
        <v>205</v>
      </c>
      <c r="J13" s="104"/>
    </row>
    <row r="14" spans="1:10" x14ac:dyDescent="0.35">
      <c r="A14" s="104" t="s">
        <v>155</v>
      </c>
      <c r="B14" s="104" t="s">
        <v>156</v>
      </c>
      <c r="C14" s="5">
        <v>13</v>
      </c>
      <c r="D14" s="16" t="s">
        <v>169</v>
      </c>
      <c r="E14" s="159">
        <v>0</v>
      </c>
      <c r="F14" s="16" t="s">
        <v>198</v>
      </c>
      <c r="G14" s="106" t="s">
        <v>201</v>
      </c>
      <c r="H14" s="5">
        <v>2020</v>
      </c>
      <c r="I14" s="104" t="s">
        <v>205</v>
      </c>
      <c r="J14" s="104"/>
    </row>
    <row r="15" spans="1:10" x14ac:dyDescent="0.35">
      <c r="A15" s="104" t="s">
        <v>155</v>
      </c>
      <c r="B15" s="104" t="s">
        <v>156</v>
      </c>
      <c r="C15" s="5">
        <v>14</v>
      </c>
      <c r="D15" s="16" t="s">
        <v>170</v>
      </c>
      <c r="E15" s="161">
        <v>9.6264942464714132</v>
      </c>
      <c r="F15" s="104" t="s">
        <v>200</v>
      </c>
      <c r="G15" s="107" t="s">
        <v>5</v>
      </c>
      <c r="I15" s="104" t="s">
        <v>208</v>
      </c>
      <c r="J15" s="104"/>
    </row>
    <row r="16" spans="1:10" x14ac:dyDescent="0.35">
      <c r="A16" s="104" t="s">
        <v>155</v>
      </c>
      <c r="B16" s="104" t="s">
        <v>156</v>
      </c>
      <c r="C16" s="5">
        <v>15</v>
      </c>
      <c r="D16" s="16" t="s">
        <v>171</v>
      </c>
      <c r="E16" s="161">
        <v>7.7801628112792969</v>
      </c>
      <c r="F16" s="104" t="s">
        <v>200</v>
      </c>
      <c r="G16" s="107" t="s">
        <v>5</v>
      </c>
      <c r="I16" s="104" t="s">
        <v>208</v>
      </c>
      <c r="J16" s="104"/>
    </row>
    <row r="17" spans="1:10" x14ac:dyDescent="0.35">
      <c r="A17" s="104" t="s">
        <v>155</v>
      </c>
      <c r="B17" s="104" t="s">
        <v>156</v>
      </c>
      <c r="C17" s="5">
        <v>16</v>
      </c>
      <c r="D17" s="16" t="s">
        <v>172</v>
      </c>
      <c r="E17" s="161">
        <v>1.4031244516372681</v>
      </c>
      <c r="F17" s="104" t="s">
        <v>200</v>
      </c>
      <c r="G17" s="107" t="s">
        <v>5</v>
      </c>
      <c r="I17" s="104" t="s">
        <v>208</v>
      </c>
      <c r="J17" s="104"/>
    </row>
    <row r="18" spans="1:10" x14ac:dyDescent="0.35">
      <c r="A18" s="104" t="s">
        <v>155</v>
      </c>
      <c r="B18" s="104" t="s">
        <v>156</v>
      </c>
      <c r="C18" s="5">
        <v>17</v>
      </c>
      <c r="D18" s="16" t="s">
        <v>173</v>
      </c>
      <c r="E18" s="161">
        <v>0.13177968561649323</v>
      </c>
      <c r="F18" s="104" t="s">
        <v>200</v>
      </c>
      <c r="G18" s="107" t="s">
        <v>5</v>
      </c>
      <c r="I18" s="104" t="s">
        <v>208</v>
      </c>
      <c r="J18" s="104"/>
    </row>
    <row r="19" spans="1:10" x14ac:dyDescent="0.35">
      <c r="A19" s="104" t="s">
        <v>155</v>
      </c>
      <c r="B19" s="104" t="s">
        <v>156</v>
      </c>
      <c r="C19" s="5">
        <v>18</v>
      </c>
      <c r="D19" s="16" t="s">
        <v>174</v>
      </c>
      <c r="E19" s="161">
        <v>0</v>
      </c>
      <c r="F19" s="104" t="s">
        <v>200</v>
      </c>
      <c r="G19" s="107" t="s">
        <v>5</v>
      </c>
      <c r="I19" s="104" t="s">
        <v>208</v>
      </c>
      <c r="J19" s="104"/>
    </row>
    <row r="20" spans="1:10" x14ac:dyDescent="0.35">
      <c r="A20" s="104" t="s">
        <v>155</v>
      </c>
      <c r="B20" s="104" t="s">
        <v>156</v>
      </c>
      <c r="C20" s="5">
        <v>19</v>
      </c>
      <c r="D20" s="16" t="s">
        <v>175</v>
      </c>
      <c r="E20" s="159">
        <v>1</v>
      </c>
      <c r="F20" s="16" t="s">
        <v>198</v>
      </c>
      <c r="G20" s="105" t="s">
        <v>203</v>
      </c>
      <c r="I20" s="104" t="s">
        <v>207</v>
      </c>
      <c r="J20" s="104"/>
    </row>
    <row r="21" spans="1:10" x14ac:dyDescent="0.35">
      <c r="A21" s="104" t="s">
        <v>155</v>
      </c>
      <c r="B21" s="104" t="s">
        <v>156</v>
      </c>
      <c r="C21" s="5">
        <v>20</v>
      </c>
      <c r="D21" s="16" t="s">
        <v>176</v>
      </c>
      <c r="E21" s="159">
        <v>0.98099999999999998</v>
      </c>
      <c r="F21" s="16" t="s">
        <v>198</v>
      </c>
      <c r="G21" s="106" t="s">
        <v>202</v>
      </c>
      <c r="H21" s="5">
        <v>2018</v>
      </c>
      <c r="I21" s="104" t="s">
        <v>209</v>
      </c>
      <c r="J21" s="104"/>
    </row>
    <row r="22" spans="1:10" x14ac:dyDescent="0.35">
      <c r="A22" s="104" t="s">
        <v>155</v>
      </c>
      <c r="B22" s="104" t="s">
        <v>156</v>
      </c>
      <c r="C22" s="5">
        <v>21</v>
      </c>
      <c r="D22" s="16" t="s">
        <v>177</v>
      </c>
      <c r="E22" s="5" t="s">
        <v>211</v>
      </c>
      <c r="F22" s="104" t="s">
        <v>16</v>
      </c>
      <c r="G22" s="106" t="s">
        <v>202</v>
      </c>
      <c r="H22" s="5">
        <v>2018</v>
      </c>
      <c r="I22" s="104" t="s">
        <v>209</v>
      </c>
      <c r="J22" s="104"/>
    </row>
    <row r="23" spans="1:10" x14ac:dyDescent="0.35">
      <c r="A23" s="104" t="s">
        <v>155</v>
      </c>
      <c r="B23" s="104" t="s">
        <v>156</v>
      </c>
      <c r="C23" s="5">
        <v>22</v>
      </c>
      <c r="D23" s="16" t="s">
        <v>178</v>
      </c>
      <c r="E23" s="159">
        <v>0.5</v>
      </c>
      <c r="F23" s="16" t="s">
        <v>198</v>
      </c>
      <c r="G23" s="105" t="s">
        <v>203</v>
      </c>
      <c r="I23" s="104" t="s">
        <v>207</v>
      </c>
      <c r="J23" s="104"/>
    </row>
    <row r="24" spans="1:10" x14ac:dyDescent="0.35">
      <c r="A24" s="104" t="s">
        <v>155</v>
      </c>
      <c r="B24" s="104" t="s">
        <v>156</v>
      </c>
      <c r="C24" s="5">
        <v>23</v>
      </c>
      <c r="D24" s="16" t="s">
        <v>179</v>
      </c>
      <c r="E24" s="159">
        <v>0</v>
      </c>
      <c r="F24" s="16" t="s">
        <v>198</v>
      </c>
      <c r="G24" s="105" t="s">
        <v>203</v>
      </c>
      <c r="I24" s="104" t="s">
        <v>207</v>
      </c>
      <c r="J24" s="104"/>
    </row>
    <row r="25" spans="1:10" x14ac:dyDescent="0.35">
      <c r="A25" s="104" t="s">
        <v>155</v>
      </c>
      <c r="B25" s="104" t="s">
        <v>156</v>
      </c>
      <c r="C25" s="5">
        <v>24</v>
      </c>
      <c r="D25" s="16" t="s">
        <v>180</v>
      </c>
      <c r="E25" s="159">
        <v>0</v>
      </c>
      <c r="F25" s="16" t="s">
        <v>198</v>
      </c>
      <c r="G25" s="105" t="s">
        <v>203</v>
      </c>
      <c r="I25" s="104" t="s">
        <v>207</v>
      </c>
      <c r="J25" s="104"/>
    </row>
    <row r="26" spans="1:10" x14ac:dyDescent="0.35">
      <c r="A26" s="104" t="s">
        <v>155</v>
      </c>
      <c r="B26" s="104" t="s">
        <v>156</v>
      </c>
      <c r="C26" s="5">
        <v>25</v>
      </c>
      <c r="D26" s="16" t="s">
        <v>181</v>
      </c>
      <c r="E26" s="159">
        <v>0.5</v>
      </c>
      <c r="F26" s="16" t="s">
        <v>198</v>
      </c>
      <c r="G26" s="105" t="s">
        <v>203</v>
      </c>
      <c r="I26" s="104" t="s">
        <v>207</v>
      </c>
      <c r="J26" s="104"/>
    </row>
    <row r="27" spans="1:10" x14ac:dyDescent="0.35">
      <c r="A27" s="104" t="s">
        <v>155</v>
      </c>
      <c r="B27" s="104" t="s">
        <v>156</v>
      </c>
      <c r="C27" s="5">
        <v>26</v>
      </c>
      <c r="D27" s="16" t="s">
        <v>182</v>
      </c>
      <c r="E27" s="159">
        <v>0.5</v>
      </c>
      <c r="F27" s="16" t="s">
        <v>198</v>
      </c>
      <c r="G27" s="105" t="s">
        <v>203</v>
      </c>
      <c r="I27" s="104" t="s">
        <v>207</v>
      </c>
      <c r="J27" s="104"/>
    </row>
    <row r="28" spans="1:10" x14ac:dyDescent="0.35">
      <c r="A28" s="104" t="s">
        <v>155</v>
      </c>
      <c r="B28" s="104" t="s">
        <v>156</v>
      </c>
      <c r="C28" s="5">
        <v>27</v>
      </c>
      <c r="D28" s="16" t="s">
        <v>183</v>
      </c>
      <c r="E28" s="159">
        <v>1</v>
      </c>
      <c r="F28" s="16" t="s">
        <v>198</v>
      </c>
      <c r="G28" s="105" t="s">
        <v>203</v>
      </c>
      <c r="I28" s="104" t="s">
        <v>207</v>
      </c>
      <c r="J28" s="104"/>
    </row>
    <row r="29" spans="1:10" x14ac:dyDescent="0.35">
      <c r="A29" s="104" t="s">
        <v>155</v>
      </c>
      <c r="B29" s="104" t="s">
        <v>156</v>
      </c>
      <c r="C29" s="5">
        <v>28</v>
      </c>
      <c r="D29" s="16" t="s">
        <v>184</v>
      </c>
      <c r="E29" s="159">
        <v>0.98099998474121097</v>
      </c>
      <c r="F29" s="16" t="s">
        <v>198</v>
      </c>
      <c r="G29" s="105" t="s">
        <v>203</v>
      </c>
      <c r="I29" s="104" t="s">
        <v>210</v>
      </c>
      <c r="J29" s="104"/>
    </row>
    <row r="30" spans="1:10" x14ac:dyDescent="0.35">
      <c r="A30" s="104" t="s">
        <v>155</v>
      </c>
      <c r="B30" s="104" t="s">
        <v>156</v>
      </c>
      <c r="C30" s="5">
        <v>29</v>
      </c>
      <c r="D30" s="16" t="s">
        <v>185</v>
      </c>
      <c r="E30" s="161">
        <v>9.6264944076538086</v>
      </c>
      <c r="F30" s="104" t="s">
        <v>200</v>
      </c>
      <c r="G30" s="107" t="s">
        <v>5</v>
      </c>
      <c r="I30" s="104" t="s">
        <v>208</v>
      </c>
      <c r="J30" s="104"/>
    </row>
    <row r="31" spans="1:10" x14ac:dyDescent="0.35">
      <c r="A31" s="104" t="s">
        <v>155</v>
      </c>
      <c r="B31" s="104" t="s">
        <v>156</v>
      </c>
      <c r="C31" s="5">
        <v>30</v>
      </c>
      <c r="D31" s="16" t="s">
        <v>186</v>
      </c>
      <c r="E31" s="161">
        <v>1.9450407028198242</v>
      </c>
      <c r="F31" s="104" t="s">
        <v>200</v>
      </c>
      <c r="G31" s="107" t="s">
        <v>5</v>
      </c>
      <c r="I31" s="104" t="s">
        <v>208</v>
      </c>
      <c r="J31" s="104"/>
    </row>
    <row r="32" spans="1:10" x14ac:dyDescent="0.35">
      <c r="A32" s="104" t="s">
        <v>155</v>
      </c>
      <c r="B32" s="104" t="s">
        <v>156</v>
      </c>
      <c r="C32" s="5">
        <v>31</v>
      </c>
      <c r="D32" s="16" t="s">
        <v>187</v>
      </c>
      <c r="E32" s="161">
        <v>1.9450407028198242</v>
      </c>
      <c r="F32" s="104" t="s">
        <v>200</v>
      </c>
      <c r="G32" s="107" t="s">
        <v>5</v>
      </c>
      <c r="I32" s="104" t="s">
        <v>208</v>
      </c>
      <c r="J32" s="104"/>
    </row>
    <row r="33" spans="1:10" x14ac:dyDescent="0.35">
      <c r="A33" s="104" t="s">
        <v>155</v>
      </c>
      <c r="B33" s="104" t="s">
        <v>156</v>
      </c>
      <c r="C33" s="5">
        <v>32</v>
      </c>
      <c r="D33" s="16" t="s">
        <v>188</v>
      </c>
      <c r="E33" s="161">
        <v>13.516575813293457</v>
      </c>
      <c r="F33" s="104" t="s">
        <v>200</v>
      </c>
      <c r="G33" s="107" t="s">
        <v>5</v>
      </c>
      <c r="I33" s="104" t="s">
        <v>208</v>
      </c>
      <c r="J33" s="104"/>
    </row>
    <row r="34" spans="1:10" x14ac:dyDescent="0.35">
      <c r="A34" s="104" t="s">
        <v>155</v>
      </c>
      <c r="B34" s="104" t="s">
        <v>156</v>
      </c>
      <c r="C34" s="5">
        <v>33</v>
      </c>
      <c r="D34" s="16" t="s">
        <v>189</v>
      </c>
      <c r="E34" s="161">
        <v>9.4435911178588867</v>
      </c>
      <c r="F34" s="104" t="s">
        <v>200</v>
      </c>
      <c r="G34" s="107" t="s">
        <v>5</v>
      </c>
      <c r="I34" s="104" t="s">
        <v>208</v>
      </c>
      <c r="J34" s="104"/>
    </row>
    <row r="35" spans="1:10" x14ac:dyDescent="0.35">
      <c r="A35" s="104" t="s">
        <v>155</v>
      </c>
      <c r="B35" s="104" t="s">
        <v>156</v>
      </c>
      <c r="C35" s="5">
        <v>34</v>
      </c>
      <c r="D35" s="16" t="s">
        <v>190</v>
      </c>
      <c r="E35" s="161">
        <v>1.9080848693847656</v>
      </c>
      <c r="F35" s="104" t="s">
        <v>200</v>
      </c>
      <c r="G35" s="107" t="s">
        <v>5</v>
      </c>
      <c r="I35" s="104" t="s">
        <v>208</v>
      </c>
      <c r="J35" s="104"/>
    </row>
    <row r="36" spans="1:10" x14ac:dyDescent="0.35">
      <c r="A36" s="104" t="s">
        <v>155</v>
      </c>
      <c r="B36" s="104" t="s">
        <v>156</v>
      </c>
      <c r="C36" s="5">
        <v>35</v>
      </c>
      <c r="D36" s="16" t="s">
        <v>191</v>
      </c>
      <c r="E36" s="161">
        <v>1.9450407028198242</v>
      </c>
      <c r="F36" s="104" t="s">
        <v>200</v>
      </c>
      <c r="G36" s="107" t="s">
        <v>5</v>
      </c>
      <c r="I36" s="104" t="s">
        <v>208</v>
      </c>
      <c r="J36" s="104"/>
    </row>
    <row r="37" spans="1:10" x14ac:dyDescent="0.35">
      <c r="A37" s="104" t="s">
        <v>155</v>
      </c>
      <c r="B37" s="104" t="s">
        <v>156</v>
      </c>
      <c r="C37" s="5">
        <v>36</v>
      </c>
      <c r="D37" s="16" t="s">
        <v>192</v>
      </c>
      <c r="E37" s="161">
        <v>13.296716690063477</v>
      </c>
      <c r="F37" s="104" t="s">
        <v>200</v>
      </c>
      <c r="G37" s="107" t="s">
        <v>5</v>
      </c>
      <c r="I37" s="104" t="s">
        <v>208</v>
      </c>
      <c r="J37" s="104"/>
    </row>
    <row r="38" spans="1:10" x14ac:dyDescent="0.35">
      <c r="A38" s="104" t="s">
        <v>155</v>
      </c>
      <c r="B38" s="104" t="s">
        <v>156</v>
      </c>
      <c r="C38" s="5">
        <v>37</v>
      </c>
      <c r="D38" s="16" t="s">
        <v>193</v>
      </c>
      <c r="E38" s="159">
        <v>0.4985645294189453</v>
      </c>
      <c r="F38" s="16" t="s">
        <v>198</v>
      </c>
      <c r="G38" s="107" t="s">
        <v>5</v>
      </c>
      <c r="I38" s="104" t="s">
        <v>208</v>
      </c>
      <c r="J38" s="104"/>
    </row>
    <row r="39" spans="1:10" x14ac:dyDescent="0.35">
      <c r="A39" s="104" t="s">
        <v>155</v>
      </c>
      <c r="B39" s="104" t="s">
        <v>156</v>
      </c>
      <c r="C39" s="5">
        <v>38</v>
      </c>
      <c r="D39" s="16" t="s">
        <v>194</v>
      </c>
      <c r="E39" s="159">
        <v>0.10073534965515137</v>
      </c>
      <c r="F39" s="16" t="s">
        <v>198</v>
      </c>
      <c r="G39" s="107" t="s">
        <v>5</v>
      </c>
      <c r="I39" s="104" t="s">
        <v>208</v>
      </c>
      <c r="J39" s="104"/>
    </row>
    <row r="40" spans="1:10" x14ac:dyDescent="0.35">
      <c r="A40" s="104" t="s">
        <v>155</v>
      </c>
      <c r="B40" s="104" t="s">
        <v>156</v>
      </c>
      <c r="C40" s="5">
        <v>39</v>
      </c>
      <c r="D40" s="16" t="s">
        <v>195</v>
      </c>
      <c r="E40" s="159">
        <v>0.10268639564514161</v>
      </c>
      <c r="F40" s="16" t="s">
        <v>198</v>
      </c>
      <c r="G40" s="107" t="s">
        <v>5</v>
      </c>
      <c r="I40" s="104" t="s">
        <v>208</v>
      </c>
      <c r="J40" s="104"/>
    </row>
    <row r="41" spans="1:10" x14ac:dyDescent="0.35">
      <c r="A41" s="104" t="s">
        <v>155</v>
      </c>
      <c r="B41" s="104" t="s">
        <v>156</v>
      </c>
      <c r="C41" s="5">
        <v>40</v>
      </c>
      <c r="D41" s="16" t="s">
        <v>196</v>
      </c>
      <c r="E41" s="159">
        <v>0.70198623657226566</v>
      </c>
      <c r="F41" s="16" t="s">
        <v>198</v>
      </c>
      <c r="G41" s="107" t="s">
        <v>5</v>
      </c>
      <c r="I41" s="104" t="s">
        <v>208</v>
      </c>
      <c r="J41" s="104"/>
    </row>
  </sheetData>
  <phoneticPr fontId="7" type="noConversion"/>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M43"/>
  <sheetViews>
    <sheetView zoomScaleNormal="100" workbookViewId="0">
      <pane xSplit="2" ySplit="1" topLeftCell="C2" activePane="bottomRight" state="frozen"/>
      <selection pane="topRight" activeCell="C1" sqref="C1"/>
      <selection pane="bottomLeft" activeCell="A2" sqref="A2"/>
      <selection pane="bottomRight"/>
    </sheetView>
  </sheetViews>
  <sheetFormatPr defaultColWidth="11.53515625" defaultRowHeight="15.5" x14ac:dyDescent="0.35"/>
  <cols>
    <col min="1" max="1" width="9" customWidth="1"/>
    <col min="2" max="2" width="18.69140625" bestFit="1" customWidth="1"/>
    <col min="3" max="3" width="58.07421875" style="26" customWidth="1"/>
    <col min="4" max="4" width="9.69140625" bestFit="1" customWidth="1"/>
    <col min="5" max="5" width="11.84375" bestFit="1" customWidth="1"/>
    <col min="6" max="6" width="15.3046875" customWidth="1"/>
    <col min="7" max="7" width="8.53515625" bestFit="1" customWidth="1"/>
    <col min="8" max="8" width="5" style="15" bestFit="1" customWidth="1"/>
    <col min="9" max="9" width="106.3046875" bestFit="1" customWidth="1"/>
    <col min="10" max="10" width="91" customWidth="1"/>
    <col min="11" max="11" width="41.3046875" customWidth="1"/>
  </cols>
  <sheetData>
    <row r="1" spans="1:13" s="15" customFormat="1" x14ac:dyDescent="0.35">
      <c r="A1" s="44" t="s">
        <v>29</v>
      </c>
      <c r="B1" s="44" t="s">
        <v>30</v>
      </c>
      <c r="C1" s="44" t="s">
        <v>32</v>
      </c>
      <c r="D1" s="44" t="s">
        <v>31</v>
      </c>
      <c r="E1" s="44" t="s">
        <v>17</v>
      </c>
      <c r="F1" s="15" t="s">
        <v>11</v>
      </c>
      <c r="G1" s="15" t="s">
        <v>18</v>
      </c>
      <c r="H1" s="15" t="s">
        <v>19</v>
      </c>
      <c r="I1" s="15" t="s">
        <v>20</v>
      </c>
      <c r="J1" s="15" t="s">
        <v>21</v>
      </c>
    </row>
    <row r="2" spans="1:13" x14ac:dyDescent="0.35">
      <c r="A2" s="8" t="s">
        <v>155</v>
      </c>
      <c r="B2" s="8" t="s">
        <v>156</v>
      </c>
      <c r="C2" s="141" t="s">
        <v>212</v>
      </c>
      <c r="D2" s="8" t="s">
        <v>221</v>
      </c>
      <c r="E2">
        <v>237.72727272727269</v>
      </c>
      <c r="F2" s="8" t="s">
        <v>199</v>
      </c>
      <c r="G2" s="44" t="s">
        <v>202</v>
      </c>
      <c r="H2" s="15">
        <v>2015</v>
      </c>
      <c r="I2" s="8" t="s">
        <v>206</v>
      </c>
      <c r="J2" s="8" t="s">
        <v>227</v>
      </c>
      <c r="K2" s="8"/>
      <c r="L2" s="8"/>
      <c r="M2" s="5"/>
    </row>
    <row r="3" spans="1:13" x14ac:dyDescent="0.35">
      <c r="A3" s="8" t="s">
        <v>155</v>
      </c>
      <c r="B3" s="8" t="s">
        <v>156</v>
      </c>
      <c r="C3" s="141" t="s">
        <v>213</v>
      </c>
      <c r="D3" s="8" t="s">
        <v>222</v>
      </c>
      <c r="E3">
        <v>98.1</v>
      </c>
      <c r="F3" s="8" t="s">
        <v>224</v>
      </c>
      <c r="G3" s="44" t="s">
        <v>202</v>
      </c>
      <c r="H3" s="15">
        <v>2018</v>
      </c>
      <c r="I3" s="8" t="s">
        <v>209</v>
      </c>
      <c r="J3" s="8" t="s">
        <v>228</v>
      </c>
      <c r="K3" s="8"/>
      <c r="L3" s="8"/>
      <c r="M3" s="5"/>
    </row>
    <row r="4" spans="1:13" x14ac:dyDescent="0.35">
      <c r="A4" s="8" t="s">
        <v>155</v>
      </c>
      <c r="B4" s="8" t="s">
        <v>156</v>
      </c>
      <c r="C4" s="141" t="s">
        <v>214</v>
      </c>
      <c r="D4" s="8" t="s">
        <v>223</v>
      </c>
      <c r="E4">
        <v>45.2</v>
      </c>
      <c r="F4" s="8" t="s">
        <v>224</v>
      </c>
      <c r="G4" s="44" t="s">
        <v>208</v>
      </c>
      <c r="H4" s="15">
        <v>2017</v>
      </c>
      <c r="I4" s="8" t="s">
        <v>226</v>
      </c>
      <c r="J4" s="8" t="s">
        <v>208</v>
      </c>
      <c r="K4" s="8"/>
      <c r="L4" s="8"/>
      <c r="M4" s="5"/>
    </row>
    <row r="5" spans="1:13" x14ac:dyDescent="0.35">
      <c r="A5" s="8" t="s">
        <v>155</v>
      </c>
      <c r="B5" s="8" t="s">
        <v>156</v>
      </c>
      <c r="C5" s="141" t="s">
        <v>215</v>
      </c>
      <c r="D5" s="8" t="s">
        <v>223</v>
      </c>
      <c r="E5">
        <v>39.200000000000003</v>
      </c>
      <c r="F5" s="8" t="s">
        <v>224</v>
      </c>
      <c r="G5" s="44" t="s">
        <v>208</v>
      </c>
      <c r="H5" s="15">
        <v>2017</v>
      </c>
      <c r="I5" s="8" t="s">
        <v>226</v>
      </c>
      <c r="J5" s="8" t="s">
        <v>208</v>
      </c>
      <c r="K5" s="8"/>
      <c r="L5" s="8"/>
      <c r="M5" s="5"/>
    </row>
    <row r="6" spans="1:13" x14ac:dyDescent="0.35">
      <c r="A6" s="8" t="s">
        <v>155</v>
      </c>
      <c r="B6" s="8" t="s">
        <v>156</v>
      </c>
      <c r="C6" s="141" t="s">
        <v>216</v>
      </c>
      <c r="D6" s="8" t="s">
        <v>223</v>
      </c>
      <c r="E6">
        <v>26729</v>
      </c>
      <c r="F6" s="8" t="s">
        <v>225</v>
      </c>
      <c r="G6" s="44" t="s">
        <v>208</v>
      </c>
      <c r="H6" s="15">
        <v>2018</v>
      </c>
      <c r="I6" s="8" t="s">
        <v>209</v>
      </c>
      <c r="J6" s="8" t="s">
        <v>208</v>
      </c>
      <c r="K6" s="8"/>
      <c r="L6" s="8"/>
      <c r="M6" s="5"/>
    </row>
    <row r="7" spans="1:13" x14ac:dyDescent="0.35">
      <c r="A7" s="8" t="s">
        <v>155</v>
      </c>
      <c r="B7" s="8" t="s">
        <v>156</v>
      </c>
      <c r="C7" s="141" t="s">
        <v>217</v>
      </c>
      <c r="D7" s="8" t="s">
        <v>223</v>
      </c>
      <c r="E7">
        <v>500</v>
      </c>
      <c r="F7" s="8" t="s">
        <v>225</v>
      </c>
      <c r="G7" s="44" t="s">
        <v>208</v>
      </c>
      <c r="H7" s="15">
        <v>2018</v>
      </c>
      <c r="I7" s="8" t="s">
        <v>209</v>
      </c>
      <c r="J7" s="8" t="s">
        <v>208</v>
      </c>
      <c r="K7" s="8"/>
      <c r="L7" s="8"/>
      <c r="M7" s="5"/>
    </row>
    <row r="8" spans="1:13" x14ac:dyDescent="0.35">
      <c r="A8" s="8" t="s">
        <v>155</v>
      </c>
      <c r="B8" s="8" t="s">
        <v>156</v>
      </c>
      <c r="C8" s="141" t="s">
        <v>218</v>
      </c>
      <c r="D8" s="8" t="s">
        <v>223</v>
      </c>
      <c r="E8">
        <v>26229</v>
      </c>
      <c r="F8" s="8" t="s">
        <v>225</v>
      </c>
      <c r="G8" s="44" t="s">
        <v>208</v>
      </c>
      <c r="H8" s="15">
        <v>2018</v>
      </c>
      <c r="I8" s="8" t="s">
        <v>209</v>
      </c>
      <c r="J8" s="8" t="s">
        <v>208</v>
      </c>
      <c r="K8" s="8"/>
      <c r="L8" s="8"/>
      <c r="M8" s="5"/>
    </row>
    <row r="9" spans="1:13" x14ac:dyDescent="0.35">
      <c r="A9" s="8" t="s">
        <v>155</v>
      </c>
      <c r="B9" s="8" t="s">
        <v>156</v>
      </c>
      <c r="C9" s="141" t="s">
        <v>219</v>
      </c>
      <c r="D9" s="8" t="s">
        <v>223</v>
      </c>
      <c r="E9">
        <v>26229</v>
      </c>
      <c r="F9" s="8" t="s">
        <v>225</v>
      </c>
      <c r="G9" s="44" t="s">
        <v>208</v>
      </c>
      <c r="H9" s="15">
        <v>2018</v>
      </c>
      <c r="I9" s="8" t="s">
        <v>209</v>
      </c>
      <c r="J9" s="8" t="s">
        <v>208</v>
      </c>
      <c r="K9" s="8"/>
      <c r="L9" s="8"/>
      <c r="M9" s="5"/>
    </row>
    <row r="10" spans="1:13" x14ac:dyDescent="0.35">
      <c r="A10" s="8" t="s">
        <v>155</v>
      </c>
      <c r="B10" s="8" t="s">
        <v>156</v>
      </c>
      <c r="C10" s="141" t="s">
        <v>220</v>
      </c>
      <c r="D10" s="8" t="s">
        <v>223</v>
      </c>
      <c r="E10">
        <v>0</v>
      </c>
      <c r="F10" s="8" t="s">
        <v>225</v>
      </c>
      <c r="G10" s="44" t="s">
        <v>208</v>
      </c>
      <c r="H10" s="15">
        <v>2018</v>
      </c>
      <c r="I10" s="8" t="s">
        <v>209</v>
      </c>
      <c r="J10" s="8" t="s">
        <v>208</v>
      </c>
      <c r="K10" s="8"/>
      <c r="L10" s="8"/>
      <c r="M10" s="5"/>
    </row>
    <row r="11" spans="1:13" x14ac:dyDescent="0.35">
      <c r="A11" s="8"/>
      <c r="B11" s="8"/>
      <c r="C11" s="141"/>
      <c r="D11" s="8"/>
      <c r="F11" s="8"/>
      <c r="G11" s="44"/>
      <c r="H11"/>
      <c r="I11" s="8"/>
      <c r="J11" s="8"/>
      <c r="K11" s="8"/>
      <c r="L11" s="8"/>
      <c r="M11" s="5"/>
    </row>
    <row r="12" spans="1:13" x14ac:dyDescent="0.35">
      <c r="A12" s="8"/>
      <c r="B12" s="8"/>
      <c r="C12" s="141"/>
      <c r="D12" s="8"/>
      <c r="F12" s="8"/>
      <c r="G12" s="44"/>
      <c r="H12"/>
      <c r="I12" s="8"/>
      <c r="J12" s="8"/>
      <c r="K12" s="8"/>
      <c r="L12" s="8"/>
      <c r="M12" s="5"/>
    </row>
    <row r="13" spans="1:13" x14ac:dyDescent="0.35">
      <c r="A13" s="8"/>
      <c r="B13" s="8"/>
      <c r="C13" s="141"/>
      <c r="D13" s="8"/>
      <c r="F13" s="8"/>
      <c r="G13" s="44"/>
      <c r="H13"/>
      <c r="I13" s="8"/>
      <c r="J13" s="8"/>
      <c r="K13" s="8"/>
      <c r="L13" s="8"/>
      <c r="M13" s="5"/>
    </row>
    <row r="14" spans="1:13" x14ac:dyDescent="0.35">
      <c r="A14" s="8"/>
      <c r="B14" s="8"/>
      <c r="C14" s="141"/>
      <c r="D14" s="8"/>
      <c r="F14" s="8"/>
      <c r="G14" s="44"/>
      <c r="H14"/>
      <c r="I14" s="8"/>
      <c r="J14" s="8"/>
      <c r="K14" s="8"/>
      <c r="L14" s="8"/>
      <c r="M14" s="5"/>
    </row>
    <row r="15" spans="1:13" x14ac:dyDescent="0.35">
      <c r="A15" s="8"/>
      <c r="B15" s="8"/>
      <c r="C15" s="141"/>
      <c r="D15" s="8"/>
      <c r="F15" s="8"/>
      <c r="G15" s="44"/>
      <c r="H15"/>
      <c r="I15" s="8"/>
      <c r="J15" s="8"/>
      <c r="K15" s="8"/>
      <c r="L15" s="8"/>
      <c r="M15" s="5"/>
    </row>
    <row r="16" spans="1:13" x14ac:dyDescent="0.35">
      <c r="A16" s="8"/>
      <c r="B16" s="8"/>
      <c r="C16" s="141"/>
      <c r="D16" s="8"/>
      <c r="F16" s="8"/>
      <c r="G16" s="44"/>
      <c r="H16"/>
      <c r="I16" s="8"/>
      <c r="J16" s="8"/>
      <c r="K16" s="8"/>
      <c r="L16" s="8"/>
      <c r="M16" s="5"/>
    </row>
    <row r="17" spans="1:13" x14ac:dyDescent="0.35">
      <c r="A17" s="8"/>
      <c r="B17" s="8"/>
      <c r="C17" s="141"/>
      <c r="D17" s="8"/>
      <c r="F17" s="8"/>
      <c r="G17" s="44"/>
      <c r="H17"/>
      <c r="I17" s="8"/>
      <c r="J17" s="8"/>
      <c r="K17" s="8"/>
      <c r="L17" s="8"/>
      <c r="M17" s="5"/>
    </row>
    <row r="18" spans="1:13" x14ac:dyDescent="0.35">
      <c r="A18" s="8"/>
      <c r="B18" s="8"/>
      <c r="C18" s="141"/>
      <c r="D18" s="8"/>
      <c r="F18" s="8"/>
      <c r="G18" s="44"/>
      <c r="H18"/>
      <c r="I18" s="8"/>
      <c r="J18" s="8"/>
      <c r="K18" s="8"/>
      <c r="L18" s="8"/>
      <c r="M18" s="5"/>
    </row>
    <row r="19" spans="1:13" x14ac:dyDescent="0.35">
      <c r="A19" s="8"/>
      <c r="B19" s="8"/>
      <c r="C19" s="141"/>
      <c r="D19" s="8"/>
      <c r="F19" s="8"/>
      <c r="G19" s="44"/>
      <c r="H19"/>
      <c r="I19" s="8"/>
      <c r="J19" s="8"/>
      <c r="K19" s="8"/>
      <c r="L19" s="8"/>
      <c r="M19" s="5"/>
    </row>
    <row r="20" spans="1:13" x14ac:dyDescent="0.35">
      <c r="A20" s="8"/>
      <c r="B20" s="8"/>
      <c r="C20" s="141"/>
      <c r="D20" s="8"/>
      <c r="F20" s="8"/>
      <c r="G20" s="44"/>
      <c r="H20"/>
      <c r="I20" s="8"/>
      <c r="J20" s="8"/>
      <c r="K20" s="8"/>
      <c r="L20" s="8"/>
      <c r="M20" s="5"/>
    </row>
    <row r="21" spans="1:13" x14ac:dyDescent="0.35">
      <c r="A21" s="8"/>
      <c r="B21" s="8"/>
      <c r="C21" s="141"/>
      <c r="D21" s="8"/>
      <c r="F21" s="8"/>
      <c r="G21" s="44"/>
      <c r="H21"/>
      <c r="I21" s="8"/>
      <c r="J21" s="8"/>
      <c r="K21" s="8"/>
      <c r="L21" s="8"/>
      <c r="M21" s="5"/>
    </row>
    <row r="22" spans="1:13" x14ac:dyDescent="0.35">
      <c r="A22" s="8"/>
      <c r="B22" s="8"/>
      <c r="C22" s="21"/>
      <c r="D22" s="8"/>
      <c r="F22" s="8"/>
      <c r="G22" s="44"/>
      <c r="H22"/>
      <c r="I22" s="8"/>
      <c r="J22" s="8"/>
      <c r="K22" s="8"/>
      <c r="L22" s="8"/>
      <c r="M22" s="5"/>
    </row>
    <row r="23" spans="1:13" x14ac:dyDescent="0.35">
      <c r="A23" s="8"/>
      <c r="B23" s="8"/>
      <c r="C23" s="21"/>
      <c r="D23" s="8"/>
      <c r="F23" s="8"/>
      <c r="G23" s="44"/>
      <c r="H23"/>
      <c r="I23" s="8"/>
      <c r="J23" s="8"/>
      <c r="K23" s="8"/>
      <c r="L23" s="8"/>
      <c r="M23" s="5"/>
    </row>
    <row r="24" spans="1:13" x14ac:dyDescent="0.35">
      <c r="A24" s="8"/>
      <c r="B24" s="8"/>
      <c r="C24" s="21"/>
      <c r="D24" s="8"/>
      <c r="F24" s="8"/>
      <c r="G24" s="44"/>
      <c r="H24"/>
      <c r="I24" s="8"/>
      <c r="J24" s="8"/>
      <c r="K24" s="8"/>
      <c r="L24" s="8"/>
      <c r="M24" s="5"/>
    </row>
    <row r="25" spans="1:13" x14ac:dyDescent="0.35">
      <c r="A25" s="8"/>
      <c r="B25" s="8"/>
      <c r="C25" s="141"/>
      <c r="D25" s="8"/>
      <c r="F25" s="8"/>
      <c r="G25" s="43"/>
      <c r="H25"/>
      <c r="I25" s="8"/>
      <c r="J25" s="8"/>
      <c r="K25" s="8"/>
      <c r="L25" s="8"/>
      <c r="M25" s="5"/>
    </row>
    <row r="26" spans="1:13" x14ac:dyDescent="0.35">
      <c r="A26" s="8"/>
      <c r="B26" s="8"/>
      <c r="C26" s="141"/>
      <c r="D26" s="8"/>
      <c r="F26" s="8"/>
      <c r="G26" s="43"/>
      <c r="H26"/>
      <c r="I26" s="8"/>
      <c r="J26" s="8"/>
      <c r="K26" s="8"/>
      <c r="L26" s="8"/>
      <c r="M26" s="5"/>
    </row>
    <row r="27" spans="1:13" x14ac:dyDescent="0.35">
      <c r="A27" s="8"/>
      <c r="B27" s="8"/>
      <c r="C27" s="141"/>
      <c r="D27" s="8"/>
      <c r="F27" s="8"/>
      <c r="G27" s="43"/>
      <c r="H27"/>
      <c r="I27" s="8"/>
      <c r="J27" s="8"/>
      <c r="K27" s="8"/>
      <c r="L27" s="8"/>
      <c r="M27" s="5"/>
    </row>
    <row r="28" spans="1:13" x14ac:dyDescent="0.35">
      <c r="A28" s="8"/>
      <c r="B28" s="8"/>
      <c r="C28" s="141"/>
      <c r="D28" s="8"/>
      <c r="E28" s="142"/>
      <c r="F28" s="8"/>
      <c r="G28" s="43"/>
      <c r="H28" s="44"/>
      <c r="I28" s="8"/>
      <c r="J28" s="8"/>
      <c r="K28" s="8"/>
      <c r="L28" s="8"/>
      <c r="M28" s="5"/>
    </row>
    <row r="29" spans="1:13" x14ac:dyDescent="0.35">
      <c r="A29" s="8"/>
      <c r="B29" s="8"/>
      <c r="C29" s="141"/>
      <c r="D29" s="8"/>
      <c r="E29" s="142"/>
      <c r="F29" s="8"/>
      <c r="G29" s="43"/>
      <c r="H29" s="44"/>
      <c r="I29" s="8"/>
      <c r="J29" s="8"/>
      <c r="K29" s="8"/>
      <c r="L29" s="8"/>
      <c r="M29" s="5"/>
    </row>
    <row r="30" spans="1:13" x14ac:dyDescent="0.35">
      <c r="A30" s="8"/>
      <c r="B30" s="8"/>
      <c r="C30" s="141"/>
      <c r="D30" s="8"/>
      <c r="E30" s="142"/>
      <c r="F30" s="8"/>
      <c r="G30" s="43"/>
      <c r="H30" s="44"/>
      <c r="I30" s="8"/>
      <c r="J30" s="8"/>
      <c r="K30" s="8"/>
      <c r="L30" s="8"/>
      <c r="M30" s="5"/>
    </row>
    <row r="31" spans="1:13" x14ac:dyDescent="0.35">
      <c r="A31" s="8"/>
      <c r="B31" s="8"/>
      <c r="C31" s="141"/>
      <c r="D31" s="8"/>
      <c r="E31" s="142"/>
      <c r="F31" s="8"/>
      <c r="G31" s="43"/>
      <c r="H31" s="44"/>
      <c r="I31" s="8"/>
      <c r="J31" s="8"/>
      <c r="K31" s="8"/>
      <c r="L31" s="8"/>
      <c r="M31" s="5"/>
    </row>
    <row r="32" spans="1:13" x14ac:dyDescent="0.35">
      <c r="A32" s="8"/>
      <c r="B32" s="8"/>
      <c r="C32" s="141"/>
      <c r="D32" s="8"/>
      <c r="E32" s="142"/>
      <c r="F32" s="8"/>
      <c r="G32" s="43"/>
      <c r="H32" s="44"/>
      <c r="I32" s="8"/>
      <c r="J32" s="8"/>
      <c r="K32" s="8"/>
      <c r="L32" s="8"/>
      <c r="M32" s="5"/>
    </row>
    <row r="33" spans="1:13" x14ac:dyDescent="0.35">
      <c r="A33" s="8"/>
      <c r="B33" s="8"/>
      <c r="C33" s="141"/>
      <c r="D33" s="8"/>
      <c r="E33" s="142"/>
      <c r="F33" s="8"/>
      <c r="G33" s="43"/>
      <c r="H33" s="44"/>
      <c r="I33" s="8"/>
      <c r="J33" s="8"/>
      <c r="K33" s="8"/>
      <c r="L33" s="8"/>
      <c r="M33" s="5"/>
    </row>
    <row r="34" spans="1:13" x14ac:dyDescent="0.35">
      <c r="A34" s="8"/>
      <c r="B34" s="8"/>
      <c r="C34" s="141"/>
      <c r="D34" s="8"/>
      <c r="E34" s="142"/>
      <c r="F34" s="8"/>
      <c r="G34" s="43"/>
      <c r="H34" s="44"/>
      <c r="I34" s="8"/>
      <c r="J34" s="8"/>
      <c r="K34" s="8"/>
      <c r="L34" s="8"/>
      <c r="M34" s="5"/>
    </row>
    <row r="35" spans="1:13" x14ac:dyDescent="0.35">
      <c r="A35" s="8"/>
      <c r="B35" s="8"/>
      <c r="C35" s="141"/>
      <c r="D35" s="8"/>
      <c r="E35" s="142"/>
      <c r="F35" s="8"/>
      <c r="G35" s="43"/>
      <c r="H35" s="44"/>
      <c r="I35" s="8"/>
      <c r="J35" s="8"/>
      <c r="K35" s="8"/>
      <c r="L35" s="8"/>
      <c r="M35" s="5"/>
    </row>
    <row r="36" spans="1:13" x14ac:dyDescent="0.35">
      <c r="A36" s="5"/>
      <c r="B36" s="5"/>
      <c r="C36" s="69"/>
      <c r="D36" s="8"/>
      <c r="E36" s="24"/>
      <c r="F36" s="8"/>
      <c r="G36" s="43"/>
      <c r="I36" s="5"/>
      <c r="J36" s="5"/>
      <c r="K36" s="5"/>
      <c r="L36" s="5"/>
      <c r="M36" s="5"/>
    </row>
    <row r="37" spans="1:13" x14ac:dyDescent="0.35">
      <c r="A37" s="5"/>
      <c r="B37" s="5"/>
      <c r="C37" s="69"/>
      <c r="D37" s="8"/>
      <c r="E37" s="24"/>
      <c r="F37" s="8"/>
      <c r="G37" s="43"/>
      <c r="I37" s="5"/>
      <c r="J37" s="5"/>
      <c r="K37" s="5"/>
      <c r="L37" s="5"/>
      <c r="M37" s="5"/>
    </row>
    <row r="38" spans="1:13" x14ac:dyDescent="0.35">
      <c r="A38" s="5"/>
      <c r="B38" s="5"/>
      <c r="C38" s="69"/>
      <c r="D38" s="8"/>
      <c r="E38" s="24"/>
      <c r="F38" s="8"/>
      <c r="G38" s="43"/>
      <c r="I38" s="5"/>
      <c r="J38" s="5"/>
      <c r="K38" s="5"/>
      <c r="L38" s="5"/>
      <c r="M38" s="5"/>
    </row>
    <row r="39" spans="1:13" x14ac:dyDescent="0.35">
      <c r="A39" s="5"/>
      <c r="B39" s="5"/>
      <c r="C39" s="69"/>
      <c r="D39" s="8"/>
      <c r="E39" s="25"/>
      <c r="F39" s="8"/>
      <c r="G39" s="43"/>
      <c r="I39" s="5"/>
      <c r="J39" s="5"/>
      <c r="K39" s="5"/>
      <c r="L39" s="5"/>
      <c r="M39" s="5"/>
    </row>
    <row r="40" spans="1:13" x14ac:dyDescent="0.35">
      <c r="A40" s="5"/>
      <c r="B40" s="5"/>
      <c r="C40" s="69"/>
      <c r="D40" s="8"/>
      <c r="E40" s="25"/>
      <c r="F40" s="8"/>
      <c r="G40" s="43"/>
      <c r="I40" s="5"/>
      <c r="J40" s="5"/>
      <c r="K40" s="5"/>
      <c r="L40" s="5"/>
      <c r="M40" s="5"/>
    </row>
    <row r="41" spans="1:13" x14ac:dyDescent="0.35">
      <c r="A41" s="5"/>
      <c r="B41" s="5"/>
      <c r="C41" s="69"/>
      <c r="D41" s="8"/>
      <c r="E41" s="25"/>
      <c r="F41" s="8"/>
      <c r="G41" s="43"/>
      <c r="I41" s="5"/>
      <c r="J41" s="5"/>
      <c r="K41" s="5"/>
      <c r="L41" s="5"/>
      <c r="M41" s="5"/>
    </row>
    <row r="42" spans="1:13" x14ac:dyDescent="0.35">
      <c r="A42" s="5"/>
      <c r="B42" s="5"/>
      <c r="C42" s="69"/>
      <c r="D42" s="8"/>
      <c r="E42" s="25"/>
      <c r="F42" s="8"/>
      <c r="G42" s="43"/>
      <c r="I42" s="5"/>
      <c r="J42" s="5"/>
      <c r="K42" s="5"/>
      <c r="L42" s="5"/>
      <c r="M42" s="5"/>
    </row>
    <row r="43" spans="1:13" x14ac:dyDescent="0.35">
      <c r="A43" s="5"/>
      <c r="B43" s="5"/>
      <c r="D43" s="5"/>
      <c r="E43" s="5"/>
      <c r="F43" s="5"/>
      <c r="G43" s="15"/>
      <c r="H43" s="5"/>
      <c r="I43" s="5"/>
      <c r="J43" s="5"/>
      <c r="K43" s="5"/>
      <c r="L43" s="5"/>
      <c r="M43" s="5"/>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41</vt:i4>
      </vt:variant>
    </vt:vector>
  </HeadingPairs>
  <TitlesOfParts>
    <vt:vector size="49" baseType="lpstr">
      <vt:lpstr>Introduction</vt:lpstr>
      <vt:lpstr>Guidance</vt:lpstr>
      <vt:lpstr>A- Total generated</vt:lpstr>
      <vt:lpstr>B- Generated by san facility</vt:lpstr>
      <vt:lpstr>C- WW management chain</vt:lpstr>
      <vt:lpstr>D- Country estimates</vt:lpstr>
      <vt:lpstr>Data summary</vt:lpstr>
      <vt:lpstr>Additional data</vt:lpstr>
      <vt:lpstr>v1_</vt:lpstr>
      <vt:lpstr>v10_</vt:lpstr>
      <vt:lpstr>v11_</vt:lpstr>
      <vt:lpstr>v12_</vt:lpstr>
      <vt:lpstr>v13_</vt:lpstr>
      <vt:lpstr>v14_</vt:lpstr>
      <vt:lpstr>v15_</vt:lpstr>
      <vt:lpstr>v16_</vt:lpstr>
      <vt:lpstr>v17_</vt:lpstr>
      <vt:lpstr>v18_</vt:lpstr>
      <vt:lpstr>v19_</vt:lpstr>
      <vt:lpstr>v2_</vt:lpstr>
      <vt:lpstr>v20_</vt:lpstr>
      <vt:lpstr>v21_</vt:lpstr>
      <vt:lpstr>v22_</vt:lpstr>
      <vt:lpstr>v23_</vt:lpstr>
      <vt:lpstr>v24_</vt:lpstr>
      <vt:lpstr>v25_</vt:lpstr>
      <vt:lpstr>v26_</vt:lpstr>
      <vt:lpstr>v27_</vt:lpstr>
      <vt:lpstr>v28_</vt:lpstr>
      <vt:lpstr>v29_</vt:lpstr>
      <vt:lpstr>v3_</vt:lpstr>
      <vt:lpstr>v30_</vt:lpstr>
      <vt:lpstr>v31_</vt:lpstr>
      <vt:lpstr>v32_</vt:lpstr>
      <vt:lpstr>v33_</vt:lpstr>
      <vt:lpstr>v34_</vt:lpstr>
      <vt:lpstr>v35_</vt:lpstr>
      <vt:lpstr>v36_</vt:lpstr>
      <vt:lpstr>v37_</vt:lpstr>
      <vt:lpstr>v38_</vt:lpstr>
      <vt:lpstr>v39_</vt:lpstr>
      <vt:lpstr>v4_</vt:lpstr>
      <vt:lpstr>v40_</vt:lpstr>
      <vt:lpstr>v5_</vt:lpstr>
      <vt:lpstr>v6_</vt:lpstr>
      <vt:lpstr>v7_</vt:lpstr>
      <vt:lpstr>v8_</vt:lpstr>
      <vt:lpstr>v9_</vt:lpstr>
      <vt:lpstr>v99_</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larnsce</dc:creator>
  <cp:lastModifiedBy>Mousumi Rahman</cp:lastModifiedBy>
  <dcterms:created xsi:type="dcterms:W3CDTF">2018-09-12T10:20:28Z</dcterms:created>
  <dcterms:modified xsi:type="dcterms:W3CDTF">2021-08-06T08:41:04Z</dcterms:modified>
</cp:coreProperties>
</file>