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2" i="6"/>
  <c r="G12" i="6"/>
  <c r="F12" i="6"/>
  <c r="D12" i="6"/>
  <c r="C12" i="6"/>
  <c r="G11" i="6"/>
  <c r="F11" i="6"/>
  <c r="D11" i="6"/>
  <c r="C11" i="6"/>
  <c r="I11" i="6" s="1"/>
  <c r="D10" i="6"/>
  <c r="C10" i="6"/>
  <c r="F10" i="6" s="1"/>
  <c r="D9" i="6"/>
  <c r="C9" i="6"/>
  <c r="F9" i="6" s="1"/>
  <c r="D8" i="6"/>
  <c r="C8" i="6"/>
  <c r="I8" i="6" s="1"/>
  <c r="D7" i="6"/>
  <c r="C7" i="6"/>
  <c r="F7" i="6" s="1"/>
  <c r="D6" i="6"/>
  <c r="C6" i="6"/>
  <c r="D5" i="6"/>
  <c r="C5" i="6"/>
  <c r="I5" i="6" s="1"/>
  <c r="I4" i="6"/>
  <c r="D4" i="6"/>
  <c r="C4" i="6"/>
  <c r="F4"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E7" i="9"/>
  <c r="C7" i="9"/>
  <c r="B7" i="9"/>
  <c r="H6" i="9"/>
  <c r="F6" i="9"/>
  <c r="E6" i="9"/>
  <c r="C6" i="9"/>
  <c r="B6" i="9"/>
  <c r="H5" i="9"/>
  <c r="F5" i="9"/>
  <c r="C5" i="9"/>
  <c r="B5" i="9"/>
  <c r="H4" i="9"/>
  <c r="H9" i="9" s="1"/>
  <c r="F4" i="9"/>
  <c r="E4" i="9" s="1"/>
  <c r="C4" i="9"/>
  <c r="B4" i="9"/>
  <c r="D12" i="3"/>
  <c r="W4" i="3"/>
  <c r="T4" i="3"/>
  <c r="S4" i="3"/>
  <c r="Q4" i="3"/>
  <c r="N4" i="3"/>
  <c r="M4" i="3"/>
  <c r="K4" i="3"/>
  <c r="J4" i="3"/>
  <c r="H4" i="3"/>
  <c r="G4" i="3"/>
  <c r="E4" i="3"/>
  <c r="D4" i="3"/>
  <c r="B4" i="3"/>
  <c r="A4" i="3"/>
  <c r="P4" i="3" s="1"/>
  <c r="V4" i="3" s="1"/>
  <c r="V3" i="3"/>
  <c r="A1" i="3"/>
  <c r="C3" i="1"/>
  <c r="A1" i="9" s="1"/>
  <c r="C5" i="1" l="1"/>
  <c r="C15" i="6"/>
  <c r="F14" i="6" s="1"/>
  <c r="E5" i="9"/>
  <c r="E9" i="9" s="1"/>
  <c r="F3" i="6"/>
  <c r="F5" i="6"/>
  <c r="I7" i="6"/>
  <c r="I9" i="6"/>
  <c r="F8" i="6"/>
  <c r="I13" i="6"/>
  <c r="F6" i="6" l="1"/>
</calcChain>
</file>

<file path=xl/sharedStrings.xml><?xml version="1.0" encoding="utf-8"?>
<sst xmlns="http://schemas.openxmlformats.org/spreadsheetml/2006/main" count="540" uniqueCount="228">
  <si>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</si>
  <si>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</si>
  <si>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</si>
  <si>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</si>
  <si>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</si>
  <si>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</si>
  <si>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</si>
  <si>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</si>
  <si>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</si>
  <si>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</si>
  <si>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</si>
  <si>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</si>
  <si>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</si>
  <si>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</si>
  <si>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</si>
  <si>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</si>
  <si>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</si>
  <si>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</si>
  <si>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</si>
  <si>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</si>
  <si>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</si>
  <si>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</si>
  <si>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</si>
  <si>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</si>
  <si>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</si>
  <si>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</si>
  <si>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</si>
  <si>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</si>
  <si>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</si>
  <si>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</si>
  <si>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</si>
  <si>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</si>
  <si>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</si>
  <si>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</si>
  <si>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</si>
  <si>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</si>
  <si>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</si>
  <si>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</si>
  <si>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</si>
  <si>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</si>
  <si>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</si>
  <si>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</si>
  <si>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</si>
  <si>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</si>
  <si>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</si>
  <si>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</si>
  <si>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</si>
  <si>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</si>
  <si>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</si>
  <si>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</si>
  <si>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</si>
  <si>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</si>
  <si>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</si>
  <si>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</si>
  <si>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</si>
  <si>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</si>
  <si>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</si>
  <si>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</si>
  <si>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</si>
  <si>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</si>
  <si>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</si>
  <si>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</si>
  <si>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</si>
  <si>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</si>
  <si>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</si>
  <si>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</si>
  <si>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</si>
  <si>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</si>
  <si>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</si>
  <si>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</si>
  <si>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</si>
  <si>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</si>
  <si>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</si>
  <si>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</si>
  <si>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</si>
  <si>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</si>
  <si>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</si>
  <si>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</si>
  <si>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</si>
  <si>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</si>
  <si>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</si>
  <si>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</si>
  <si>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</si>
  <si>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</si>
  <si>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</si>
  <si>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</si>
  <si>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</si>
  <si>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</si>
  <si>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</si>
  <si>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</si>
  <si>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</si>
  <si>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</si>
  <si>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</si>
  <si>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</si>
  <si>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</si>
  <si>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</si>
  <si>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</si>
  <si>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</si>
  <si>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</si>
  <si>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</si>
  <si>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</si>
  <si>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</si>
  <si>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</si>
  <si>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</si>
  <si>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</si>
  <si>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</si>
  <si>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</si>
  <si>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</si>
  <si>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</si>
  <si>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</si>
  <si>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</si>
  <si>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</si>
  <si>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</si>
  <si>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</si>
  <si>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</si>
  <si>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</si>
  <si>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</si>
  <si>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</si>
  <si>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</si>
  <si>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</si>
  <si>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</si>
  <si>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</si>
  <si>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</si>
  <si>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</si>
  <si>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</si>
  <si>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</si>
  <si>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</si>
  <si>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</si>
  <si>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</si>
  <si>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</si>
  <si>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</si>
  <si>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</si>
  <si>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</si>
  <si>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</si>
  <si>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</si>
  <si>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</si>
  <si>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</si>
  <si>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</si>
  <si>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</si>
  <si>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</si>
  <si>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</si>
  <si>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</si>
  <si>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</si>
  <si>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</si>
  <si>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</si>
  <si>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</si>
  <si>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</si>
  <si>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</si>
  <si>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</si>
  <si>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</si>
  <si>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</si>
  <si>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</si>
  <si>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</si>
  <si>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</si>
  <si>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</si>
  <si>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NZL</t>
  </si>
  <si>
    <t>New Zealand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</si>
  <si>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</si>
  <si>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</si>
  <si>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</si>
  <si>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</si>
  <si>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</si>
  <si>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</si>
  <si>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</si>
  <si>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</si>
  <si>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</si>
  <si>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</si>
  <si>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</si>
  <si>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</si>
  <si>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</si>
  <si>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</si>
  <si>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</si>
  <si>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</si>
  <si>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</si>
  <si>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</si>
  <si>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</si>
  <si>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</si>
  <si>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</si>
  <si>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</si>
  <si>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</si>
  <si>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</si>
  <si>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</si>
  <si>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</si>
  <si>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</si>
  <si>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</si>
  <si>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</si>
  <si>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</si>
  <si>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</si>
  <si>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</si>
  <si>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</si>
  <si>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</si>
  <si>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</si>
  <si>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</si>
  <si>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</si>
  <si>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</si>
  <si>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</si>
  <si>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</si>
  <si>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</si>
  <si>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</si>
  <si>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</si>
  <si>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</si>
  <si>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</si>
  <si>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</si>
  <si>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</si>
  <si>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</si>
  <si>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jmp_2021_nzl_new_zealand.xlsx</t>
  </si>
  <si>
    <t>The New Zealand Water &amp; Wastes Association - National Performance Review 2018-2019</t>
  </si>
  <si>
    <t>Default assumption</t>
  </si>
  <si>
    <t/>
  </si>
  <si>
    <t>Water New Zealand - New Zealand Wastewater Treatment Plant Inventory</t>
  </si>
  <si>
    <t>Assuming that performance of septic tank wastewater treatment is the same as that for sewer wastewater treatment</t>
  </si>
  <si>
    <t>Technology</t>
  </si>
  <si>
    <t>National household water consumption</t>
  </si>
  <si>
    <t>Proportion of wastewater (by volume) delivered to treatment systems with at least secondary treatment</t>
  </si>
  <si>
    <t>Household water consumption for users of on-site water supply only</t>
  </si>
  <si>
    <t>Proportion of population with sewer connections</t>
  </si>
  <si>
    <t>Proportion of wastewater (by volume) delivered to treatment systems with primary treatment</t>
  </si>
  <si>
    <t>Proportion of wastewater (by volume) delivered to treatment systems with secondary treatment</t>
  </si>
  <si>
    <t>Proportion of wastewater (by volume) delivered to treatment systems with tertiary treatment</t>
  </si>
  <si>
    <t>4</t>
  </si>
  <si>
    <t>20</t>
  </si>
  <si>
    <t>Not used</t>
  </si>
  <si>
    <t>%</t>
  </si>
  <si>
    <t>IBNET / https://database.ib-net.org/Country_Profile?ctry=104</t>
  </si>
  <si>
    <t>pg. 64</t>
  </si>
  <si>
    <t>As derived by JMP 2021; Calculated based on proportion connected to wastewater treatment of primary (8.4%), secondary (14.5%), and tertiary (77%) treatment levels; [(14.5+77)/(8.4+14.5+77)]; Not stated whether proportions are by population or by volume.</t>
  </si>
  <si>
    <t>As derived by JMP 2021; Sum of primary (1.8%), at least primary (2%), and unspecified/unknown (4.6%)</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</si>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</sst>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New Zealand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85%</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(New Zealand,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4822.23291015625</v>
      </c>
      <c r="B4" s="32" t="str">
        <f>'Data summary'!G2</f>
        <v>E</v>
      </c>
      <c r="C4" s="33" t="s">
        <v>137</v>
      </c>
      <c r="D4" s="56">
        <f>v2_</f>
        <v>1.0000000126570321</v>
      </c>
      <c r="E4" s="32" t="str">
        <f>'Data summary'!G3</f>
        <v>E</v>
      </c>
      <c r="F4" s="34" t="s">
        <v>138</v>
      </c>
      <c r="G4" s="57">
        <f>v3_</f>
        <v>-1.2657031902563175E-8</v>
      </c>
      <c r="H4" s="32" t="str">
        <f>'Data summary'!G4</f>
        <v>E</v>
      </c>
      <c r="I4" s="34" t="s">
        <v>139</v>
      </c>
      <c r="J4" s="35">
        <f>v4_</f>
        <v>263</v>
      </c>
      <c r="K4" s="32" t="str">
        <f>'Data summary'!G5</f>
        <v>R</v>
      </c>
      <c r="L4" s="34" t="s">
        <v>140</v>
      </c>
      <c r="M4" s="35">
        <f>v5_</f>
        <v>20</v>
      </c>
      <c r="N4" s="36" t="str">
        <f>'Data summary'!G6</f>
        <v>A</v>
      </c>
      <c r="O4" s="34" t="s">
        <v>141</v>
      </c>
      <c r="P4" s="72">
        <f>A4*D4*J4*365/1000000 + A4*G4*M4*365/1000000</f>
        <v>462.91025362396243</v>
      </c>
      <c r="Q4" s="36" t="str">
        <f>'Data summary'!G7</f>
        <v>C</v>
      </c>
      <c r="R4" s="34" t="s">
        <v>142</v>
      </c>
      <c r="S4" s="55">
        <f>v7_</f>
        <v>0.8</v>
      </c>
      <c r="T4" s="36" t="str">
        <f>'Data summary'!G8</f>
        <v>A</v>
      </c>
      <c r="U4" s="54" t="s">
        <v>143</v>
      </c>
      <c r="V4" s="73">
        <f>IF('B- Generated by san facility'!F4="R", 'B- Generated by san facility'!E9,IF(W4="R",v8_,P4*S4))</f>
        <v>370.32820289916998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(New Zealand,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0.85224170675224853</v>
      </c>
      <c r="C4" s="29" t="str">
        <f>'Data summary'!G10</f>
        <v>E</v>
      </c>
      <c r="D4" s="152" t="s">
        <v>145</v>
      </c>
      <c r="E4" s="76">
        <f>IF($F$4="R",v14_,IF('A- Total generated'!W4="R",'A- Total generated'!$V$4*'B- Generated by san facility'!B4,IF(B4&lt;=v2_,v1_*v4_*B4*v7_,IF(B4&gt;v2_,v1_*v4_*v2_*v7_+v1_*v5_*(B4-v2_)*v7_))/1000000*365))</f>
        <v>315.60913600638418</v>
      </c>
      <c r="F4" s="77" t="str">
        <f>'Data summary'!G15</f>
        <v>C</v>
      </c>
      <c r="G4" s="156" t="s">
        <v>60</v>
      </c>
      <c r="H4" s="78">
        <f>v14_ / v8_</f>
        <v>0.85224173641538636</v>
      </c>
      <c r="I4" s="77" t="s">
        <v>5</v>
      </c>
      <c r="J4" s="79" t="s">
        <v>37</v>
      </c>
    </row>
    <row r="5" spans="1:12" x14ac:dyDescent="0.35">
      <c r="A5" s="51" t="s">
        <v>54</v>
      </c>
      <c r="B5" s="63">
        <f>v10_</f>
        <v>0.1477583059047835</v>
      </c>
      <c r="C5" s="29" t="str">
        <f>'Data summary'!G11</f>
        <v>E</v>
      </c>
      <c r="D5" s="152" t="s">
        <v>146</v>
      </c>
      <c r="E5" s="76">
        <f>IF($F$4="R",E4*B5/B4,IF('A- Total generated'!W4="R",'A- Total generated'!$V$4*'B- Generated by san facility'!B5,IF(SUM(B4:B5)&lt;=v2_,v1_*v4_*B5*v7_,IF(B4&gt;v2_,v1_*v5_*B5*v7_,v1_*v4_*SUM(v2_-B4)*v7_+v1_*v5_*(B5+B4-v2_)*v7_))/1000000*365))</f>
        <v>54.719067249231053</v>
      </c>
      <c r="F5" s="77" t="str">
        <f>'Data summary'!G16</f>
        <v>C</v>
      </c>
      <c r="G5" s="156" t="s">
        <v>61</v>
      </c>
      <c r="H5" s="78">
        <f>v15_ / v8_</f>
        <v>0.14775830934820114</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370.32820325561522</v>
      </c>
      <c r="F9" s="83" t="str">
        <f>'Data summary'!G9</f>
        <v>C</v>
      </c>
      <c r="G9" s="157" t="s">
        <v>144</v>
      </c>
      <c r="H9" s="84">
        <f>SUM(H4:H8)</f>
        <v>1.0000000457635876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(New Zealand,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315.60913600638423</v>
      </c>
      <c r="C4" s="77" t="str">
        <f>v99_</f>
        <v>C</v>
      </c>
      <c r="D4" s="109" t="s">
        <v>60</v>
      </c>
      <c r="E4" s="78">
        <f>v14_ / v8_</f>
        <v>0.85224173641538636</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0.91599999999999993</v>
      </c>
      <c r="AA4" s="40" t="str">
        <f>'Data summary'!G21</f>
        <v>R</v>
      </c>
      <c r="AB4" s="158" t="s">
        <v>154</v>
      </c>
    </row>
    <row r="5" spans="1:28" x14ac:dyDescent="0.35">
      <c r="A5" s="111" t="s">
        <v>72</v>
      </c>
      <c r="B5" s="112">
        <f>v15_</f>
        <v>54.719066619873047</v>
      </c>
      <c r="C5" s="108" t="str">
        <f>'Data summary'!G16</f>
        <v>C</v>
      </c>
      <c r="D5" s="113" t="s">
        <v>61</v>
      </c>
      <c r="E5" s="80">
        <f>v15_ / v8_</f>
        <v>0.14775830934820114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0.91599998474121092</v>
      </c>
      <c r="AA5" s="119" t="str">
        <f>'Data summary'!G29</f>
        <v>A</v>
      </c>
      <c r="AB5" s="120" t="s">
        <v>69</v>
      </c>
    </row>
    <row r="6" spans="1:28" ht="16" thickBot="1" x14ac:dyDescent="0.4">
      <c r="A6" s="103" t="s">
        <v>73</v>
      </c>
      <c r="B6" s="100">
        <f>v15_</f>
        <v>54.719066619873047</v>
      </c>
      <c r="C6" s="92" t="str">
        <f>'Data summary'!G16</f>
        <v>C</v>
      </c>
      <c r="D6" s="110" t="s">
        <v>61</v>
      </c>
      <c r="E6" s="101">
        <f>v15_ / v8_</f>
        <v>0.14775830934820114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(New Zealand,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315.60913600638423</v>
      </c>
      <c r="D3" s="89" t="str">
        <f>'Data summary'!G15</f>
        <v>C</v>
      </c>
      <c r="E3" s="140" t="s">
        <v>60</v>
      </c>
      <c r="F3" s="90">
        <f>C3/$C$6</f>
        <v>0.85224173641538636</v>
      </c>
      <c r="G3" s="125" t="s">
        <v>5</v>
      </c>
      <c r="H3" s="94" t="s">
        <v>37</v>
      </c>
      <c r="I3" s="90">
        <f>C3/C3</f>
        <v>1</v>
      </c>
      <c r="J3" s="125" t="s">
        <v>5</v>
      </c>
      <c r="K3" s="94" t="s">
        <v>108</v>
      </c>
    </row>
    <row r="4" spans="1:12" ht="31" x14ac:dyDescent="0.35">
      <c r="A4" s="190"/>
      <c r="B4" s="133" t="s">
        <v>59</v>
      </c>
      <c r="C4" s="136">
        <f>v15_</f>
        <v>54.719066619873047</v>
      </c>
      <c r="D4" s="77" t="str">
        <f>'Data summary'!G16</f>
        <v>C</v>
      </c>
      <c r="E4" s="139" t="s">
        <v>61</v>
      </c>
      <c r="F4" s="91">
        <f>C4/$C$6</f>
        <v>0.14775830934820114</v>
      </c>
      <c r="G4" s="126" t="s">
        <v>5</v>
      </c>
      <c r="H4" s="95" t="s">
        <v>38</v>
      </c>
      <c r="I4" s="91">
        <f>C4/C4</f>
        <v>1</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370.32818567871095</v>
      </c>
      <c r="D6" s="108" t="str">
        <f>'Data summary'!G9</f>
        <v>C</v>
      </c>
      <c r="E6" s="131" t="s">
        <v>107</v>
      </c>
      <c r="F6" s="98">
        <f>SUM(F3:F5)</f>
        <v>1.0000000457635876</v>
      </c>
      <c r="G6" s="127" t="s">
        <v>5</v>
      </c>
      <c r="H6" s="96" t="s">
        <v>111</v>
      </c>
      <c r="I6" s="98" t="s">
        <v>16</v>
      </c>
      <c r="J6" s="127"/>
      <c r="K6" s="96" t="s">
        <v>16</v>
      </c>
    </row>
    <row r="7" spans="1:12" ht="74.25" customHeight="1" x14ac:dyDescent="0.35">
      <c r="A7" s="187" t="s">
        <v>46</v>
      </c>
      <c r="B7" s="132" t="s">
        <v>128</v>
      </c>
      <c r="C7" s="135">
        <f>v14_*v19_</f>
        <v>315.60913600638423</v>
      </c>
      <c r="D7" s="89" t="str">
        <f>'Data summary'!G30</f>
        <v>C</v>
      </c>
      <c r="E7" s="140" t="s">
        <v>113</v>
      </c>
      <c r="F7" s="90">
        <f>C7/C6</f>
        <v>0.85224173641538636</v>
      </c>
      <c r="G7" s="125" t="s">
        <v>5</v>
      </c>
      <c r="H7" s="94" t="s">
        <v>93</v>
      </c>
      <c r="I7" s="90">
        <f>C7/C3</f>
        <v>1</v>
      </c>
      <c r="J7" s="125" t="s">
        <v>5</v>
      </c>
      <c r="K7" s="94" t="s">
        <v>96</v>
      </c>
    </row>
    <row r="8" spans="1:12" ht="74.25" customHeight="1" x14ac:dyDescent="0.35">
      <c r="A8" s="190"/>
      <c r="B8" s="133" t="s">
        <v>114</v>
      </c>
      <c r="C8" s="136">
        <f>v15_*v22_*v25_*v27_</f>
        <v>13.679766654968262</v>
      </c>
      <c r="D8" s="77" t="str">
        <f>'Data summary'!G31</f>
        <v>C</v>
      </c>
      <c r="E8" s="139" t="s">
        <v>115</v>
      </c>
      <c r="F8" s="91">
        <f>C8/C6</f>
        <v>3.6939577337050285E-2</v>
      </c>
      <c r="G8" s="126" t="s">
        <v>5</v>
      </c>
      <c r="H8" s="95" t="s">
        <v>94</v>
      </c>
      <c r="I8" s="91">
        <f>C8/C4</f>
        <v>0.25</v>
      </c>
      <c r="J8" s="126" t="s">
        <v>5</v>
      </c>
      <c r="K8" s="95" t="s">
        <v>97</v>
      </c>
    </row>
    <row r="9" spans="1:12" ht="74.25" customHeight="1" x14ac:dyDescent="0.35">
      <c r="A9" s="190"/>
      <c r="B9" s="133" t="s">
        <v>124</v>
      </c>
      <c r="C9" s="136">
        <f>v15_*v22_*(v23_+v26_)</f>
        <v>13.679766654968262</v>
      </c>
      <c r="D9" s="77" t="str">
        <f>'Data summary'!G32</f>
        <v>C</v>
      </c>
      <c r="E9" s="139" t="s">
        <v>116</v>
      </c>
      <c r="F9" s="91">
        <f>C9/C6</f>
        <v>3.6939577337050285E-2</v>
      </c>
      <c r="G9" s="126" t="s">
        <v>5</v>
      </c>
      <c r="H9" s="97" t="s">
        <v>95</v>
      </c>
      <c r="I9" s="91">
        <f>C9/C4</f>
        <v>0.25</v>
      </c>
      <c r="J9" s="126" t="s">
        <v>5</v>
      </c>
      <c r="K9" s="97" t="s">
        <v>98</v>
      </c>
    </row>
    <row r="10" spans="1:12" ht="40" customHeight="1" thickBot="1" x14ac:dyDescent="0.4">
      <c r="A10" s="191"/>
      <c r="B10" s="134" t="s">
        <v>117</v>
      </c>
      <c r="C10" s="137">
        <f>v32_</f>
        <v>342.96865844726563</v>
      </c>
      <c r="D10" s="108" t="str">
        <f>'Data summary'!G33</f>
        <v>C</v>
      </c>
      <c r="E10" s="131" t="s">
        <v>118</v>
      </c>
      <c r="F10" s="98">
        <f>C10/C6</f>
        <v>0.92612086173969521</v>
      </c>
      <c r="G10" s="127" t="s">
        <v>5</v>
      </c>
      <c r="H10" s="96" t="s">
        <v>49</v>
      </c>
      <c r="I10" s="130" t="s">
        <v>16</v>
      </c>
      <c r="J10" s="127"/>
      <c r="K10" s="96" t="s">
        <v>16</v>
      </c>
    </row>
    <row r="11" spans="1:12" ht="50.25" customHeight="1" x14ac:dyDescent="0.35">
      <c r="A11" s="179" t="s">
        <v>47</v>
      </c>
      <c r="B11" s="132" t="s">
        <v>125</v>
      </c>
      <c r="C11" s="146">
        <f>v29_*v20_</f>
        <v>289.0979638671875</v>
      </c>
      <c r="D11" s="59" t="str">
        <f>'Data summary'!G34</f>
        <v>C</v>
      </c>
      <c r="E11" s="150" t="s">
        <v>119</v>
      </c>
      <c r="F11" s="61">
        <f>v33_/v8_</f>
        <v>0.78065341123291287</v>
      </c>
      <c r="G11" s="59" t="str">
        <f>'Data summary'!G38</f>
        <v>C</v>
      </c>
      <c r="H11" s="41" t="s">
        <v>103</v>
      </c>
      <c r="I11" s="128">
        <f>C11/C3</f>
        <v>0.9159999850617111</v>
      </c>
      <c r="J11" s="147" t="s">
        <v>5</v>
      </c>
      <c r="K11" s="93" t="s">
        <v>99</v>
      </c>
    </row>
    <row r="12" spans="1:12" ht="46.5" x14ac:dyDescent="0.35">
      <c r="A12" s="192"/>
      <c r="B12" s="133" t="s">
        <v>126</v>
      </c>
      <c r="C12" s="138">
        <f>v30_*v28_</f>
        <v>12.530666047214254</v>
      </c>
      <c r="D12" s="143" t="str">
        <f>'Data summary'!G35</f>
        <v>C</v>
      </c>
      <c r="E12" s="151" t="s">
        <v>120</v>
      </c>
      <c r="F12" s="62">
        <f>v34_/v8_</f>
        <v>3.3836653098259457E-2</v>
      </c>
      <c r="G12" s="143" t="str">
        <f>'Data summary'!G39</f>
        <v>C</v>
      </c>
      <c r="H12" s="152" t="s">
        <v>104</v>
      </c>
      <c r="I12" s="129">
        <f>C12/C4</f>
        <v>0.22899999618530273</v>
      </c>
      <c r="J12" s="144" t="s">
        <v>5</v>
      </c>
      <c r="K12" s="148" t="s">
        <v>100</v>
      </c>
    </row>
    <row r="13" spans="1:12" ht="46.5" x14ac:dyDescent="0.35">
      <c r="A13" s="192"/>
      <c r="B13" s="133" t="s">
        <v>127</v>
      </c>
      <c r="C13" s="138">
        <f>v31_*100%</f>
        <v>13.679766654968262</v>
      </c>
      <c r="D13" s="143" t="str">
        <f>'Data summary'!G36</f>
        <v>C</v>
      </c>
      <c r="E13" s="151" t="s">
        <v>121</v>
      </c>
      <c r="F13" s="62">
        <f>v35_/v8_</f>
        <v>3.6939577337050285E-2</v>
      </c>
      <c r="G13" s="143" t="str">
        <f>'Data summary'!G40</f>
        <v>C</v>
      </c>
      <c r="H13" s="152" t="s">
        <v>105</v>
      </c>
      <c r="I13" s="129">
        <f>C13/C4</f>
        <v>0.25</v>
      </c>
      <c r="J13" s="144" t="s">
        <v>5</v>
      </c>
      <c r="K13" s="97" t="s">
        <v>91</v>
      </c>
    </row>
    <row r="14" spans="1:12" ht="105" customHeight="1" x14ac:dyDescent="0.35">
      <c r="A14" s="192"/>
      <c r="B14" s="153" t="s">
        <v>122</v>
      </c>
      <c r="C14" s="149">
        <f>v36_</f>
        <v>315.30838012695313</v>
      </c>
      <c r="D14" s="145" t="str">
        <f>'Data summary'!G37</f>
        <v>C</v>
      </c>
      <c r="E14" s="151" t="s">
        <v>123</v>
      </c>
      <c r="F14" s="155" t="str">
        <f>IF(LEFT(C15,2)="No","Insufficient data","COUNTRY ESTIMATE (SDG 6.3.1): "&amp;TEXT(SUM(F11:F13),"0.0%"))</f>
        <v>COUNTRY ESTIMATE (SDG 6.3.1): 85.1%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4822.23291015625</v>
      </c>
      <c r="F2" s="104" t="s">
        <v>197</v>
      </c>
      <c r="G2" s="105" t="s">
        <v>201</v>
      </c>
      <c r="H2" s="5">
        <v>2020</v>
      </c>
      <c r="I2" s="104" t="s">
        <v>204</v>
      </c>
      <c r="J2" s="104"/>
    </row>
    <row r="3" spans="1:10" x14ac:dyDescent="0.35">
      <c r="A3" s="104" t="s">
        <v>155</v>
      </c>
      <c r="B3" s="104" t="s">
        <v>156</v>
      </c>
      <c r="C3" s="5">
        <v>2</v>
      </c>
      <c r="D3" s="16" t="s">
        <v>158</v>
      </c>
      <c r="E3" s="159">
        <v>1.0000000126570321</v>
      </c>
      <c r="F3" s="16" t="s">
        <v>198</v>
      </c>
      <c r="G3" s="105" t="s">
        <v>201</v>
      </c>
      <c r="H3" s="5">
        <v>2020</v>
      </c>
      <c r="I3" s="104" t="s">
        <v>205</v>
      </c>
      <c r="J3" s="104"/>
    </row>
    <row r="4" spans="1:10" x14ac:dyDescent="0.35">
      <c r="A4" s="104" t="s">
        <v>155</v>
      </c>
      <c r="B4" s="104" t="s">
        <v>156</v>
      </c>
      <c r="C4" s="5">
        <v>3</v>
      </c>
      <c r="D4" s="16" t="s">
        <v>159</v>
      </c>
      <c r="E4" s="159">
        <v>-1.2657031902563175E-8</v>
      </c>
      <c r="F4" s="16" t="s">
        <v>198</v>
      </c>
      <c r="G4" s="105" t="s">
        <v>201</v>
      </c>
      <c r="H4" s="5">
        <v>2020</v>
      </c>
      <c r="I4" s="104" t="s">
        <v>205</v>
      </c>
      <c r="J4" s="104"/>
    </row>
    <row r="5" spans="1:10" x14ac:dyDescent="0.35">
      <c r="A5" s="104" t="s">
        <v>155</v>
      </c>
      <c r="B5" s="104" t="s">
        <v>156</v>
      </c>
      <c r="C5" s="5">
        <v>4</v>
      </c>
      <c r="D5" s="16" t="s">
        <v>160</v>
      </c>
      <c r="E5" s="5">
        <v>263</v>
      </c>
      <c r="F5" s="104" t="s">
        <v>199</v>
      </c>
      <c r="G5" s="105" t="s">
        <v>202</v>
      </c>
      <c r="H5" s="5">
        <v>2019</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462.91024780273438</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370.32818567871095</v>
      </c>
      <c r="F9" s="104" t="s">
        <v>200</v>
      </c>
      <c r="G9" s="106" t="s">
        <v>5</v>
      </c>
      <c r="I9" s="104" t="s">
        <v>208</v>
      </c>
      <c r="J9" s="104"/>
    </row>
    <row r="10" spans="1:10" x14ac:dyDescent="0.35">
      <c r="A10" s="104" t="s">
        <v>155</v>
      </c>
      <c r="B10" s="104" t="s">
        <v>156</v>
      </c>
      <c r="C10" s="5">
        <v>9</v>
      </c>
      <c r="D10" s="16" t="s">
        <v>165</v>
      </c>
      <c r="E10" s="159">
        <v>0.85224170675224853</v>
      </c>
      <c r="F10" s="16" t="s">
        <v>198</v>
      </c>
      <c r="G10" s="105" t="s">
        <v>201</v>
      </c>
      <c r="H10" s="5">
        <v>2020</v>
      </c>
      <c r="I10" s="104" t="s">
        <v>205</v>
      </c>
      <c r="J10" s="104"/>
    </row>
    <row r="11" spans="1:10" x14ac:dyDescent="0.35">
      <c r="A11" s="104" t="s">
        <v>155</v>
      </c>
      <c r="B11" s="104" t="s">
        <v>156</v>
      </c>
      <c r="C11" s="5">
        <v>10</v>
      </c>
      <c r="D11" s="16" t="s">
        <v>166</v>
      </c>
      <c r="E11" s="159">
        <v>0.1477583059047835</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315.60913600638423</v>
      </c>
      <c r="F15" s="104" t="s">
        <v>200</v>
      </c>
      <c r="G15" s="107" t="s">
        <v>5</v>
      </c>
      <c r="I15" s="104" t="s">
        <v>208</v>
      </c>
      <c r="J15" s="104"/>
    </row>
    <row r="16" spans="1:10" x14ac:dyDescent="0.35">
      <c r="A16" s="104" t="s">
        <v>155</v>
      </c>
      <c r="B16" s="104" t="s">
        <v>156</v>
      </c>
      <c r="C16" s="5">
        <v>15</v>
      </c>
      <c r="D16" s="16" t="s">
        <v>171</v>
      </c>
      <c r="E16" s="161">
        <v>54.719066619873047</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0.91599999999999993</v>
      </c>
      <c r="F21" s="16" t="s">
        <v>198</v>
      </c>
      <c r="G21" s="106" t="s">
        <v>202</v>
      </c>
      <c r="H21" s="5">
        <v>2018</v>
      </c>
      <c r="I21" s="104" t="s">
        <v>209</v>
      </c>
      <c r="J21" s="104"/>
    </row>
    <row r="22" spans="1:10" x14ac:dyDescent="0.35">
      <c r="A22" s="104" t="s">
        <v>155</v>
      </c>
      <c r="B22" s="104" t="s">
        <v>156</v>
      </c>
      <c r="C22" s="5">
        <v>21</v>
      </c>
      <c r="D22" s="16" t="s">
        <v>177</v>
      </c>
      <c r="E22" s="5" t="s">
        <v>211</v>
      </c>
      <c r="F22" s="104" t="s">
        <v>16</v>
      </c>
      <c r="G22" s="106" t="s">
        <v>202</v>
      </c>
      <c r="H22" s="5">
        <v>2018</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0.91599998474121092</v>
      </c>
      <c r="F29" s="16" t="s">
        <v>198</v>
      </c>
      <c r="G29" s="105" t="s">
        <v>203</v>
      </c>
      <c r="I29" s="104" t="s">
        <v>210</v>
      </c>
      <c r="J29" s="104"/>
    </row>
    <row r="30" spans="1:10" x14ac:dyDescent="0.35">
      <c r="A30" s="104" t="s">
        <v>155</v>
      </c>
      <c r="B30" s="104" t="s">
        <v>156</v>
      </c>
      <c r="C30" s="5">
        <v>29</v>
      </c>
      <c r="D30" s="16" t="s">
        <v>185</v>
      </c>
      <c r="E30" s="161">
        <v>315.609130859375</v>
      </c>
      <c r="F30" s="104" t="s">
        <v>200</v>
      </c>
      <c r="G30" s="107" t="s">
        <v>5</v>
      </c>
      <c r="I30" s="104" t="s">
        <v>208</v>
      </c>
      <c r="J30" s="104"/>
    </row>
    <row r="31" spans="1:10" x14ac:dyDescent="0.35">
      <c r="A31" s="104" t="s">
        <v>155</v>
      </c>
      <c r="B31" s="104" t="s">
        <v>156</v>
      </c>
      <c r="C31" s="5">
        <v>30</v>
      </c>
      <c r="D31" s="16" t="s">
        <v>186</v>
      </c>
      <c r="E31" s="161">
        <v>13.679766654968262</v>
      </c>
      <c r="F31" s="104" t="s">
        <v>200</v>
      </c>
      <c r="G31" s="107" t="s">
        <v>5</v>
      </c>
      <c r="I31" s="104" t="s">
        <v>208</v>
      </c>
      <c r="J31" s="104"/>
    </row>
    <row r="32" spans="1:10" x14ac:dyDescent="0.35">
      <c r="A32" s="104" t="s">
        <v>155</v>
      </c>
      <c r="B32" s="104" t="s">
        <v>156</v>
      </c>
      <c r="C32" s="5">
        <v>31</v>
      </c>
      <c r="D32" s="16" t="s">
        <v>187</v>
      </c>
      <c r="E32" s="161">
        <v>13.679766654968262</v>
      </c>
      <c r="F32" s="104" t="s">
        <v>200</v>
      </c>
      <c r="G32" s="107" t="s">
        <v>5</v>
      </c>
      <c r="I32" s="104" t="s">
        <v>208</v>
      </c>
      <c r="J32" s="104"/>
    </row>
    <row r="33" spans="1:10" x14ac:dyDescent="0.35">
      <c r="A33" s="104" t="s">
        <v>155</v>
      </c>
      <c r="B33" s="104" t="s">
        <v>156</v>
      </c>
      <c r="C33" s="5">
        <v>32</v>
      </c>
      <c r="D33" s="16" t="s">
        <v>188</v>
      </c>
      <c r="E33" s="161">
        <v>342.96865844726563</v>
      </c>
      <c r="F33" s="104" t="s">
        <v>200</v>
      </c>
      <c r="G33" s="107" t="s">
        <v>5</v>
      </c>
      <c r="I33" s="104" t="s">
        <v>208</v>
      </c>
      <c r="J33" s="104"/>
    </row>
    <row r="34" spans="1:10" x14ac:dyDescent="0.35">
      <c r="A34" s="104" t="s">
        <v>155</v>
      </c>
      <c r="B34" s="104" t="s">
        <v>156</v>
      </c>
      <c r="C34" s="5">
        <v>33</v>
      </c>
      <c r="D34" s="16" t="s">
        <v>189</v>
      </c>
      <c r="E34" s="161">
        <v>289.09796142578125</v>
      </c>
      <c r="F34" s="104" t="s">
        <v>200</v>
      </c>
      <c r="G34" s="107" t="s">
        <v>5</v>
      </c>
      <c r="I34" s="104" t="s">
        <v>208</v>
      </c>
      <c r="J34" s="104"/>
    </row>
    <row r="35" spans="1:10" x14ac:dyDescent="0.35">
      <c r="A35" s="104" t="s">
        <v>155</v>
      </c>
      <c r="B35" s="104" t="s">
        <v>156</v>
      </c>
      <c r="C35" s="5">
        <v>34</v>
      </c>
      <c r="D35" s="16" t="s">
        <v>190</v>
      </c>
      <c r="E35" s="161">
        <v>12.530666351318359</v>
      </c>
      <c r="F35" s="104" t="s">
        <v>200</v>
      </c>
      <c r="G35" s="107" t="s">
        <v>5</v>
      </c>
      <c r="I35" s="104" t="s">
        <v>208</v>
      </c>
      <c r="J35" s="104"/>
    </row>
    <row r="36" spans="1:10" x14ac:dyDescent="0.35">
      <c r="A36" s="104" t="s">
        <v>155</v>
      </c>
      <c r="B36" s="104" t="s">
        <v>156</v>
      </c>
      <c r="C36" s="5">
        <v>35</v>
      </c>
      <c r="D36" s="16" t="s">
        <v>191</v>
      </c>
      <c r="E36" s="161">
        <v>13.679766654968262</v>
      </c>
      <c r="F36" s="104" t="s">
        <v>200</v>
      </c>
      <c r="G36" s="107" t="s">
        <v>5</v>
      </c>
      <c r="I36" s="104" t="s">
        <v>208</v>
      </c>
      <c r="J36" s="104"/>
    </row>
    <row r="37" spans="1:10" x14ac:dyDescent="0.35">
      <c r="A37" s="104" t="s">
        <v>155</v>
      </c>
      <c r="B37" s="104" t="s">
        <v>156</v>
      </c>
      <c r="C37" s="5">
        <v>36</v>
      </c>
      <c r="D37" s="16" t="s">
        <v>192</v>
      </c>
      <c r="E37" s="161">
        <v>315.30838012695313</v>
      </c>
      <c r="F37" s="104" t="s">
        <v>200</v>
      </c>
      <c r="G37" s="107" t="s">
        <v>5</v>
      </c>
      <c r="I37" s="104" t="s">
        <v>208</v>
      </c>
      <c r="J37" s="104"/>
    </row>
    <row r="38" spans="1:10" x14ac:dyDescent="0.35">
      <c r="A38" s="104" t="s">
        <v>155</v>
      </c>
      <c r="B38" s="104" t="s">
        <v>156</v>
      </c>
      <c r="C38" s="5">
        <v>37</v>
      </c>
      <c r="D38" s="16" t="s">
        <v>193</v>
      </c>
      <c r="E38" s="159">
        <v>0.78065338134765627</v>
      </c>
      <c r="F38" s="16" t="s">
        <v>198</v>
      </c>
      <c r="G38" s="107" t="s">
        <v>5</v>
      </c>
      <c r="I38" s="104" t="s">
        <v>208</v>
      </c>
      <c r="J38" s="104"/>
    </row>
    <row r="39" spans="1:10" x14ac:dyDescent="0.35">
      <c r="A39" s="104" t="s">
        <v>155</v>
      </c>
      <c r="B39" s="104" t="s">
        <v>156</v>
      </c>
      <c r="C39" s="5">
        <v>38</v>
      </c>
      <c r="D39" s="16" t="s">
        <v>194</v>
      </c>
      <c r="E39" s="159">
        <v>3.3836653232574461E-2</v>
      </c>
      <c r="F39" s="16" t="s">
        <v>198</v>
      </c>
      <c r="G39" s="107" t="s">
        <v>5</v>
      </c>
      <c r="I39" s="104" t="s">
        <v>208</v>
      </c>
      <c r="J39" s="104"/>
    </row>
    <row r="40" spans="1:10" x14ac:dyDescent="0.35">
      <c r="A40" s="104" t="s">
        <v>155</v>
      </c>
      <c r="B40" s="104" t="s">
        <v>156</v>
      </c>
      <c r="C40" s="5">
        <v>39</v>
      </c>
      <c r="D40" s="16" t="s">
        <v>195</v>
      </c>
      <c r="E40" s="159">
        <v>3.6939578056335451E-2</v>
      </c>
      <c r="F40" s="16" t="s">
        <v>198</v>
      </c>
      <c r="G40" s="107" t="s">
        <v>5</v>
      </c>
      <c r="I40" s="104" t="s">
        <v>208</v>
      </c>
      <c r="J40" s="104"/>
    </row>
    <row r="41" spans="1:10" x14ac:dyDescent="0.35">
      <c r="A41" s="104" t="s">
        <v>155</v>
      </c>
      <c r="B41" s="104" t="s">
        <v>156</v>
      </c>
      <c r="C41" s="5">
        <v>40</v>
      </c>
      <c r="D41" s="16" t="s">
        <v>196</v>
      </c>
      <c r="E41" s="159">
        <v>0.85142959594726564</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219</v>
      </c>
      <c r="E2">
        <v>263</v>
      </c>
      <c r="F2" s="8" t="s">
        <v>199</v>
      </c>
      <c r="G2" s="44" t="s">
        <v>202</v>
      </c>
      <c r="H2" s="15">
        <v>2019</v>
      </c>
      <c r="I2" s="8" t="s">
        <v>206</v>
      </c>
      <c r="J2" s="8" t="s">
        <v>224</v>
      </c>
      <c r="K2" s="8"/>
      <c r="L2" s="8"/>
      <c r="M2" s="5"/>
    </row>
    <row r="3" spans="1:13" x14ac:dyDescent="0.35">
      <c r="A3" s="8" t="s">
        <v>155</v>
      </c>
      <c r="B3" s="8" t="s">
        <v>156</v>
      </c>
      <c r="C3" s="141" t="s">
        <v>213</v>
      </c>
      <c r="D3" s="8" t="s">
        <v>220</v>
      </c>
      <c r="E3">
        <v>91.6</v>
      </c>
      <c r="F3" s="8" t="s">
        <v>222</v>
      </c>
      <c r="G3" s="44" t="s">
        <v>202</v>
      </c>
      <c r="H3" s="15">
        <v>2018</v>
      </c>
      <c r="I3" s="8" t="s">
        <v>209</v>
      </c>
      <c r="J3" s="8" t="s">
        <v>225</v>
      </c>
      <c r="K3" s="8"/>
      <c r="L3" s="8"/>
      <c r="M3" s="5"/>
    </row>
    <row r="4" spans="1:13" x14ac:dyDescent="0.35">
      <c r="A4" s="8" t="s">
        <v>155</v>
      </c>
      <c r="B4" s="8" t="s">
        <v>156</v>
      </c>
      <c r="C4" s="141" t="s">
        <v>214</v>
      </c>
      <c r="D4" s="8" t="s">
        <v>221</v>
      </c>
      <c r="E4">
        <v>215.69</v>
      </c>
      <c r="F4" s="8" t="s">
        <v>199</v>
      </c>
      <c r="G4" s="44" t="s">
        <v>208</v>
      </c>
      <c r="H4" s="15">
        <v>2018</v>
      </c>
      <c r="I4" s="8" t="s">
        <v>223</v>
      </c>
      <c r="J4" s="8" t="s">
        <v>208</v>
      </c>
      <c r="K4" s="8"/>
      <c r="L4" s="8"/>
      <c r="M4" s="5"/>
    </row>
    <row r="5" spans="1:13" x14ac:dyDescent="0.35">
      <c r="A5" s="8" t="s">
        <v>155</v>
      </c>
      <c r="B5" s="8" t="s">
        <v>156</v>
      </c>
      <c r="C5" s="141" t="s">
        <v>215</v>
      </c>
      <c r="D5" s="8" t="s">
        <v>221</v>
      </c>
      <c r="E5">
        <v>79</v>
      </c>
      <c r="F5" s="8" t="s">
        <v>222</v>
      </c>
      <c r="G5" s="44" t="s">
        <v>208</v>
      </c>
      <c r="H5" s="15">
        <v>2019</v>
      </c>
      <c r="I5" s="8" t="s">
        <v>206</v>
      </c>
      <c r="J5" s="8" t="s">
        <v>208</v>
      </c>
      <c r="K5" s="8"/>
      <c r="L5" s="8"/>
      <c r="M5" s="5"/>
    </row>
    <row r="6" spans="1:13" x14ac:dyDescent="0.35">
      <c r="A6" s="8" t="s">
        <v>155</v>
      </c>
      <c r="B6" s="8" t="s">
        <v>156</v>
      </c>
      <c r="C6" s="141" t="s">
        <v>216</v>
      </c>
      <c r="D6" s="8" t="s">
        <v>221</v>
      </c>
      <c r="E6">
        <v>5.36</v>
      </c>
      <c r="F6" s="8" t="s">
        <v>222</v>
      </c>
      <c r="G6" s="44" t="s">
        <v>208</v>
      </c>
      <c r="H6" s="15">
        <v>2018</v>
      </c>
      <c r="I6" s="8" t="s">
        <v>223</v>
      </c>
      <c r="J6" s="8" t="s">
        <v>208</v>
      </c>
      <c r="K6" s="8"/>
      <c r="L6" s="8"/>
      <c r="M6" s="5"/>
    </row>
    <row r="7" spans="1:13" x14ac:dyDescent="0.35">
      <c r="A7" s="8" t="s">
        <v>155</v>
      </c>
      <c r="B7" s="8" t="s">
        <v>156</v>
      </c>
      <c r="C7" s="141" t="s">
        <v>216</v>
      </c>
      <c r="D7" s="8" t="s">
        <v>221</v>
      </c>
      <c r="E7">
        <v>8.4</v>
      </c>
      <c r="F7" s="8" t="s">
        <v>222</v>
      </c>
      <c r="G7" s="44" t="s">
        <v>208</v>
      </c>
      <c r="H7" s="15">
        <v>2018</v>
      </c>
      <c r="I7" s="8" t="s">
        <v>209</v>
      </c>
      <c r="J7" s="8" t="s">
        <v>226</v>
      </c>
      <c r="K7" s="8"/>
      <c r="L7" s="8"/>
      <c r="M7" s="5"/>
    </row>
    <row r="8" spans="1:13" x14ac:dyDescent="0.35">
      <c r="A8" s="8" t="s">
        <v>155</v>
      </c>
      <c r="B8" s="8" t="s">
        <v>156</v>
      </c>
      <c r="C8" s="141" t="s">
        <v>217</v>
      </c>
      <c r="D8" s="8" t="s">
        <v>221</v>
      </c>
      <c r="E8">
        <v>14.5</v>
      </c>
      <c r="F8" s="8" t="s">
        <v>222</v>
      </c>
      <c r="G8" s="44" t="s">
        <v>208</v>
      </c>
      <c r="H8" s="15">
        <v>2018</v>
      </c>
      <c r="I8" s="8" t="s">
        <v>209</v>
      </c>
      <c r="J8" s="8" t="s">
        <v>227</v>
      </c>
      <c r="K8" s="8"/>
      <c r="L8" s="8"/>
      <c r="M8" s="5"/>
    </row>
    <row r="9" spans="1:13" x14ac:dyDescent="0.35">
      <c r="A9" s="8" t="s">
        <v>155</v>
      </c>
      <c r="B9" s="8" t="s">
        <v>156</v>
      </c>
      <c r="C9" s="141" t="s">
        <v>213</v>
      </c>
      <c r="D9" s="8" t="s">
        <v>221</v>
      </c>
      <c r="E9">
        <v>88.42</v>
      </c>
      <c r="F9" s="8" t="s">
        <v>222</v>
      </c>
      <c r="G9" s="44" t="s">
        <v>208</v>
      </c>
      <c r="H9" s="15">
        <v>2018</v>
      </c>
      <c r="I9" s="8" t="s">
        <v>223</v>
      </c>
      <c r="J9" s="8" t="s">
        <v>208</v>
      </c>
      <c r="K9" s="8"/>
      <c r="L9" s="8"/>
      <c r="M9" s="5"/>
    </row>
    <row r="10" spans="1:13" x14ac:dyDescent="0.35">
      <c r="A10" s="8" t="s">
        <v>155</v>
      </c>
      <c r="B10" s="8" t="s">
        <v>156</v>
      </c>
      <c r="C10" s="141" t="s">
        <v>218</v>
      </c>
      <c r="D10" s="8" t="s">
        <v>221</v>
      </c>
      <c r="E10">
        <v>77</v>
      </c>
      <c r="F10" s="8" t="s">
        <v>222</v>
      </c>
      <c r="G10" s="44" t="s">
        <v>208</v>
      </c>
      <c r="H10" s="15">
        <v>2018</v>
      </c>
      <c r="I10" s="8" t="s">
        <v>209</v>
      </c>
      <c r="J10" s="8" t="s">
        <v>227</v>
      </c>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2021-08-06T08:42:40Z</dcterms:modified>
</cp:coreProperties>
</file>