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mc:AlternateContent xmlns:mc="http://schemas.openxmlformats.org/markup-compatibility/2006">
    <mc:Choice Requires="x15">
      <x15ac:absPath xmlns:x15ac="http://schemas.microsoft.com/office/spreadsheetml/2010/11/ac" url="https://d.docs.live.net/71b9f040fa7f7774/WSH/2023/country files/"/>
    </mc:Choice>
  </mc:AlternateContent>
  <xr:revisionPtr revIDLastSave="0" documentId="13_ncr:1_{5FE370CB-0D5B-5640-B722-B62DEB9680B0}" xr6:coauthVersionLast="47" xr6:coauthVersionMax="47" xr10:uidLastSave="{00000000-0000-0000-0000-000000000000}"/>
  <bookViews>
    <workbookView xWindow="29580" yWindow="720" windowWidth="21450" windowHeight="15480" tabRatio="765" xr2:uid="{00000000-000D-0000-FFFF-FFFF00000000}"/>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1">'_Data inputs (reported)'!#REF!</definedName>
    <definedName name="_xlnm._FilterDatabase" localSheetId="2">'Data inputs (all)'!$A$1:$M$41</definedName>
    <definedName name="_xlnm._FilterDatabase" localSheetId="3" hidden="1">'Data inputs (reported)'!$A$1:$N$1</definedName>
    <definedName name="_xlnm._FilterDatabase" localSheetId="0" hidden="1">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7" i="16" l="1"/>
  <c r="E16" i="16"/>
  <c r="E15" i="16"/>
  <c r="E14" i="16"/>
  <c r="E13" i="16"/>
  <c r="E12" i="16"/>
  <c r="E11" i="16"/>
  <c r="E10" i="16"/>
  <c r="E9" i="16"/>
  <c r="F9" i="16" s="1"/>
  <c r="E8" i="16"/>
  <c r="E7" i="16"/>
  <c r="E6" i="16"/>
  <c r="E5" i="16"/>
  <c r="F4" i="16"/>
  <c r="E3" i="16"/>
  <c r="E2" i="16"/>
  <c r="B14" i="18"/>
  <c r="B13" i="18"/>
  <c r="B12" i="18"/>
  <c r="B11" i="18"/>
  <c r="B10" i="18"/>
  <c r="A10" i="18"/>
  <c r="A8" i="18"/>
  <c r="F7" i="18"/>
  <c r="C7" i="18"/>
  <c r="A7" i="18"/>
  <c r="F6" i="18"/>
  <c r="C6" i="18"/>
  <c r="A6" i="18"/>
  <c r="F5" i="18"/>
  <c r="C5" i="18"/>
  <c r="A5" i="18"/>
  <c r="F4" i="18"/>
  <c r="C4" i="18"/>
  <c r="A4" i="18"/>
  <c r="H3" i="18"/>
  <c r="E3" i="18"/>
  <c r="B3" i="18"/>
  <c r="A3" i="18"/>
  <c r="A2" i="18"/>
  <c r="B13" i="17"/>
  <c r="B12" i="17"/>
  <c r="B11" i="17"/>
  <c r="B10" i="17"/>
  <c r="B9" i="17"/>
  <c r="A9" i="17"/>
  <c r="C7" i="17"/>
  <c r="A7" i="17"/>
  <c r="C6" i="17"/>
  <c r="A6" i="17"/>
  <c r="C5" i="17"/>
  <c r="A5" i="17"/>
  <c r="C4" i="17"/>
  <c r="A4" i="17"/>
  <c r="H3" i="17"/>
  <c r="E3" i="17"/>
  <c r="B3" i="17"/>
  <c r="A3" i="17"/>
  <c r="A2" i="17"/>
  <c r="B30" i="15"/>
  <c r="B29" i="15"/>
  <c r="B28" i="15"/>
  <c r="B27" i="15"/>
  <c r="B26" i="15"/>
  <c r="A26" i="15"/>
  <c r="A23" i="15"/>
  <c r="F21" i="15"/>
  <c r="E21" i="15"/>
  <c r="B21" i="15"/>
  <c r="F20" i="15"/>
  <c r="E20" i="15"/>
  <c r="B20" i="15"/>
  <c r="A19" i="15"/>
  <c r="F18" i="15"/>
  <c r="E18" i="15"/>
  <c r="B18" i="15"/>
  <c r="F17" i="15"/>
  <c r="E17" i="15"/>
  <c r="B17" i="15"/>
  <c r="F16" i="15"/>
  <c r="E16" i="15"/>
  <c r="B16" i="15"/>
  <c r="F15" i="15"/>
  <c r="E15" i="15"/>
  <c r="B15" i="15"/>
  <c r="A14" i="15"/>
  <c r="F13" i="15"/>
  <c r="E13" i="15"/>
  <c r="B13" i="15"/>
  <c r="E12" i="15"/>
  <c r="B12" i="15"/>
  <c r="F11" i="15"/>
  <c r="E11" i="15"/>
  <c r="B11" i="15"/>
  <c r="A10" i="15"/>
  <c r="F9" i="15"/>
  <c r="E9" i="15"/>
  <c r="B9" i="15"/>
  <c r="F8" i="15"/>
  <c r="F22" i="15" s="1"/>
  <c r="E8" i="15"/>
  <c r="B8" i="15"/>
  <c r="F7" i="15"/>
  <c r="E7" i="15"/>
  <c r="B7" i="15"/>
  <c r="E6" i="15"/>
  <c r="B6" i="15"/>
  <c r="E5" i="15"/>
  <c r="B5" i="15"/>
  <c r="A4" i="15"/>
  <c r="G3" i="15"/>
  <c r="F3" i="15"/>
  <c r="E3" i="15"/>
  <c r="D3" i="15"/>
  <c r="C3" i="15"/>
  <c r="A3" i="15"/>
  <c r="A2" i="15"/>
  <c r="C21" i="9"/>
  <c r="C20" i="9"/>
  <c r="C19" i="9"/>
  <c r="C18" i="9"/>
  <c r="C17" i="9"/>
  <c r="A17" i="9"/>
  <c r="M14" i="9"/>
  <c r="L14" i="9"/>
  <c r="K14" i="9"/>
  <c r="J14" i="9"/>
  <c r="I14" i="9"/>
  <c r="H14" i="9"/>
  <c r="G14" i="9"/>
  <c r="F14" i="9"/>
  <c r="E14" i="9"/>
  <c r="D14" i="9"/>
  <c r="C14" i="9"/>
  <c r="B14" i="9"/>
  <c r="A14" i="9"/>
  <c r="M13" i="9"/>
  <c r="L13" i="9"/>
  <c r="K13" i="9"/>
  <c r="J13" i="9"/>
  <c r="I13" i="9"/>
  <c r="H13" i="9"/>
  <c r="G13" i="9"/>
  <c r="F13" i="9"/>
  <c r="E13" i="9"/>
  <c r="D13" i="9"/>
  <c r="C13" i="9"/>
  <c r="B13" i="9"/>
  <c r="A12" i="9"/>
  <c r="G10" i="9"/>
  <c r="D10" i="9"/>
  <c r="G9" i="9"/>
  <c r="D9" i="9"/>
  <c r="A9" i="9"/>
  <c r="G8" i="9"/>
  <c r="D8" i="9"/>
  <c r="A8" i="9"/>
  <c r="G7" i="9"/>
  <c r="D7" i="9"/>
  <c r="A7" i="9"/>
  <c r="G6" i="9"/>
  <c r="D6" i="9"/>
  <c r="A6" i="9"/>
  <c r="G5" i="9"/>
  <c r="D5" i="9"/>
  <c r="A5" i="9"/>
  <c r="H4" i="9"/>
  <c r="E4" i="9"/>
  <c r="D4" i="9"/>
  <c r="C4" i="9"/>
  <c r="B4" i="9"/>
  <c r="A4" i="9"/>
  <c r="E3" i="9"/>
  <c r="A3" i="9"/>
  <c r="M2" i="9"/>
  <c r="L2" i="9"/>
  <c r="K2" i="9"/>
  <c r="J2" i="9"/>
  <c r="I2" i="9"/>
  <c r="H2" i="9"/>
  <c r="G2" i="9"/>
  <c r="F2" i="9"/>
  <c r="E2" i="9"/>
  <c r="D2" i="9"/>
  <c r="C2" i="9"/>
  <c r="B2" i="9"/>
  <c r="A2" i="9"/>
  <c r="B22" i="14"/>
  <c r="B21" i="14"/>
  <c r="B20" i="14"/>
  <c r="B19" i="14"/>
  <c r="B18" i="14"/>
  <c r="B17" i="14"/>
  <c r="A17" i="14"/>
  <c r="F15" i="14"/>
  <c r="G15" i="14" s="1"/>
  <c r="E15" i="14"/>
  <c r="B15" i="14"/>
  <c r="F14" i="14"/>
  <c r="E14" i="14"/>
  <c r="B14" i="14"/>
  <c r="A13" i="14"/>
  <c r="F12" i="14"/>
  <c r="E12" i="14"/>
  <c r="B12" i="14"/>
  <c r="F11" i="14"/>
  <c r="E11" i="14"/>
  <c r="B11" i="14"/>
  <c r="F10" i="14"/>
  <c r="E10" i="14"/>
  <c r="B10" i="14"/>
  <c r="A9" i="14"/>
  <c r="F8" i="14"/>
  <c r="E8" i="14"/>
  <c r="B8" i="14"/>
  <c r="F7" i="14"/>
  <c r="E7" i="14"/>
  <c r="B7" i="14"/>
  <c r="A6" i="14"/>
  <c r="F5" i="14"/>
  <c r="E5" i="14"/>
  <c r="A5" i="14"/>
  <c r="G4" i="14"/>
  <c r="F4" i="14"/>
  <c r="E4" i="14"/>
  <c r="D4" i="14"/>
  <c r="C4" i="14"/>
  <c r="A4" i="14"/>
  <c r="A2" i="14"/>
  <c r="C250" i="20"/>
  <c r="C249" i="20"/>
  <c r="C248" i="20"/>
  <c r="C247" i="20"/>
  <c r="C246" i="20"/>
  <c r="C245" i="20"/>
  <c r="C244" i="20"/>
  <c r="C243" i="20"/>
  <c r="C242" i="20"/>
  <c r="C241" i="20"/>
  <c r="C240" i="20"/>
  <c r="C239" i="20"/>
  <c r="C238" i="20"/>
  <c r="C237" i="20"/>
  <c r="C236" i="20"/>
  <c r="C235" i="20"/>
  <c r="C234" i="20"/>
  <c r="C233" i="20"/>
  <c r="C232" i="20"/>
  <c r="C231" i="20"/>
  <c r="C230" i="20"/>
  <c r="C229" i="20"/>
  <c r="C228" i="20"/>
  <c r="C227" i="20"/>
  <c r="C226" i="20"/>
  <c r="C225" i="20"/>
  <c r="C224" i="20"/>
  <c r="C223" i="20"/>
  <c r="C222" i="20"/>
  <c r="C221" i="20"/>
  <c r="C220" i="20"/>
  <c r="C219" i="20"/>
  <c r="C218" i="20"/>
  <c r="C217" i="20"/>
  <c r="C216" i="20"/>
  <c r="C215" i="20"/>
  <c r="C214" i="20"/>
  <c r="C213" i="20"/>
  <c r="C212" i="20"/>
  <c r="C211" i="20"/>
  <c r="C210" i="20"/>
  <c r="C209" i="20"/>
  <c r="C208" i="20"/>
  <c r="C207" i="20"/>
  <c r="C206" i="20"/>
  <c r="C205" i="20"/>
  <c r="C204" i="20"/>
  <c r="C203" i="20"/>
  <c r="C202" i="20"/>
  <c r="C201" i="20"/>
  <c r="C200" i="20"/>
  <c r="C199" i="20"/>
  <c r="C198" i="20"/>
  <c r="C197" i="20"/>
  <c r="C196" i="20"/>
  <c r="C195" i="20"/>
  <c r="C194" i="20"/>
  <c r="C193" i="20"/>
  <c r="C192" i="20"/>
  <c r="C191" i="20"/>
  <c r="C190" i="20"/>
  <c r="C189" i="20"/>
  <c r="C188" i="20"/>
  <c r="C187" i="20"/>
  <c r="C186" i="20"/>
  <c r="C185" i="20"/>
  <c r="C184" i="20"/>
  <c r="C183" i="20"/>
  <c r="C182" i="20"/>
  <c r="C181" i="20"/>
  <c r="C180" i="20"/>
  <c r="C179" i="20"/>
  <c r="C178" i="20"/>
  <c r="C177" i="20"/>
  <c r="C176" i="20"/>
  <c r="C175" i="20"/>
  <c r="C174" i="20"/>
  <c r="C173" i="20"/>
  <c r="C172" i="20"/>
  <c r="C171" i="20"/>
  <c r="C170" i="20"/>
  <c r="C169" i="20"/>
  <c r="C168" i="20"/>
  <c r="C167" i="20"/>
  <c r="C166" i="20"/>
  <c r="C165" i="20"/>
  <c r="C164" i="20"/>
  <c r="C163" i="20"/>
  <c r="C162" i="20"/>
  <c r="C161" i="20"/>
  <c r="C160" i="20"/>
  <c r="C159" i="20"/>
  <c r="C158" i="20"/>
  <c r="C157" i="20"/>
  <c r="C156" i="20"/>
  <c r="C155" i="20"/>
  <c r="C154" i="20"/>
  <c r="C153" i="20"/>
  <c r="C152" i="20"/>
  <c r="C151" i="20"/>
  <c r="N150" i="20"/>
  <c r="M150" i="20"/>
  <c r="L150" i="20"/>
  <c r="K150" i="20"/>
  <c r="J150" i="20"/>
  <c r="I150" i="20"/>
  <c r="H150" i="20"/>
  <c r="G150" i="20"/>
  <c r="F150" i="20"/>
  <c r="E150" i="20"/>
  <c r="D150" i="20"/>
  <c r="C150" i="20"/>
  <c r="B150" i="20"/>
  <c r="A150" i="20"/>
  <c r="N149" i="20"/>
  <c r="M149" i="20"/>
  <c r="L149" i="20"/>
  <c r="K149" i="20"/>
  <c r="J149" i="20"/>
  <c r="I149" i="20"/>
  <c r="H149" i="20"/>
  <c r="G149" i="20"/>
  <c r="F149" i="20"/>
  <c r="E149" i="20"/>
  <c r="D149" i="20"/>
  <c r="C149" i="20"/>
  <c r="B149" i="20"/>
  <c r="A149" i="20"/>
  <c r="N148" i="20"/>
  <c r="M148" i="20"/>
  <c r="L148" i="20"/>
  <c r="K148" i="20"/>
  <c r="J148" i="20"/>
  <c r="I148" i="20"/>
  <c r="H148" i="20"/>
  <c r="G148" i="20"/>
  <c r="F148" i="20"/>
  <c r="E148" i="20"/>
  <c r="D148" i="20"/>
  <c r="C148" i="20"/>
  <c r="B148" i="20"/>
  <c r="A148" i="20"/>
  <c r="N147" i="20"/>
  <c r="M147" i="20"/>
  <c r="L147" i="20"/>
  <c r="K147" i="20"/>
  <c r="J147" i="20"/>
  <c r="I147" i="20"/>
  <c r="H147" i="20"/>
  <c r="G147" i="20"/>
  <c r="F147" i="20"/>
  <c r="E147" i="20"/>
  <c r="D147" i="20"/>
  <c r="C147" i="20"/>
  <c r="B147" i="20"/>
  <c r="A147" i="20"/>
  <c r="N146" i="20"/>
  <c r="M146" i="20"/>
  <c r="L146" i="20"/>
  <c r="K146" i="20"/>
  <c r="J146" i="20"/>
  <c r="I146" i="20"/>
  <c r="H146" i="20"/>
  <c r="G146" i="20"/>
  <c r="F146" i="20"/>
  <c r="E146" i="20"/>
  <c r="D146" i="20"/>
  <c r="C146" i="20"/>
  <c r="B146" i="20"/>
  <c r="A146" i="20"/>
  <c r="N145" i="20"/>
  <c r="M145" i="20"/>
  <c r="L145" i="20"/>
  <c r="K145" i="20"/>
  <c r="J145" i="20"/>
  <c r="I145" i="20"/>
  <c r="H145" i="20"/>
  <c r="G145" i="20"/>
  <c r="F145" i="20"/>
  <c r="E145" i="20"/>
  <c r="D145" i="20"/>
  <c r="C145" i="20"/>
  <c r="B145" i="20"/>
  <c r="A145" i="20"/>
  <c r="N144" i="20"/>
  <c r="M144" i="20"/>
  <c r="L144" i="20"/>
  <c r="K144" i="20"/>
  <c r="J144" i="20"/>
  <c r="I144" i="20"/>
  <c r="H144" i="20"/>
  <c r="G144" i="20"/>
  <c r="F144" i="20"/>
  <c r="E144" i="20"/>
  <c r="D144" i="20"/>
  <c r="C144" i="20"/>
  <c r="B144" i="20"/>
  <c r="A144" i="20"/>
  <c r="N143" i="20"/>
  <c r="M143" i="20"/>
  <c r="L143" i="20"/>
  <c r="K143" i="20"/>
  <c r="J143" i="20"/>
  <c r="I143" i="20"/>
  <c r="H143" i="20"/>
  <c r="G143" i="20"/>
  <c r="F143" i="20"/>
  <c r="E143" i="20"/>
  <c r="D143" i="20"/>
  <c r="C143" i="20"/>
  <c r="B143" i="20"/>
  <c r="A143" i="20"/>
  <c r="N142" i="20"/>
  <c r="M142" i="20"/>
  <c r="L142" i="20"/>
  <c r="K142" i="20"/>
  <c r="J142" i="20"/>
  <c r="I142" i="20"/>
  <c r="H142" i="20"/>
  <c r="G142" i="20"/>
  <c r="F142" i="20"/>
  <c r="E142" i="20"/>
  <c r="D142" i="20"/>
  <c r="C142" i="20"/>
  <c r="B142" i="20"/>
  <c r="A142" i="20"/>
  <c r="N141" i="20"/>
  <c r="M141" i="20"/>
  <c r="L141" i="20"/>
  <c r="K141" i="20"/>
  <c r="J141" i="20"/>
  <c r="I141" i="20"/>
  <c r="H141" i="20"/>
  <c r="G141" i="20"/>
  <c r="F141" i="20"/>
  <c r="E141" i="20"/>
  <c r="D141" i="20"/>
  <c r="C141" i="20"/>
  <c r="B141" i="20"/>
  <c r="A141" i="20"/>
  <c r="N140" i="20"/>
  <c r="M140" i="20"/>
  <c r="L140" i="20"/>
  <c r="K140" i="20"/>
  <c r="J140" i="20"/>
  <c r="I140" i="20"/>
  <c r="H140" i="20"/>
  <c r="G140" i="20"/>
  <c r="F140" i="20"/>
  <c r="E140" i="20"/>
  <c r="D140" i="20"/>
  <c r="C140" i="20"/>
  <c r="B140" i="20"/>
  <c r="A140" i="20"/>
  <c r="N139" i="20"/>
  <c r="M139" i="20"/>
  <c r="L139" i="20"/>
  <c r="K139" i="20"/>
  <c r="J139" i="20"/>
  <c r="I139" i="20"/>
  <c r="H139" i="20"/>
  <c r="G139" i="20"/>
  <c r="F139" i="20"/>
  <c r="E139" i="20"/>
  <c r="D139" i="20"/>
  <c r="C139" i="20"/>
  <c r="B139" i="20"/>
  <c r="A139" i="20"/>
  <c r="N138" i="20"/>
  <c r="M138" i="20"/>
  <c r="L138" i="20"/>
  <c r="K138" i="20"/>
  <c r="J138" i="20"/>
  <c r="I138" i="20"/>
  <c r="H138" i="20"/>
  <c r="G138" i="20"/>
  <c r="F138" i="20"/>
  <c r="E138" i="20"/>
  <c r="D138" i="20"/>
  <c r="C138" i="20"/>
  <c r="B138" i="20"/>
  <c r="A138" i="20"/>
  <c r="N137" i="20"/>
  <c r="M137" i="20"/>
  <c r="L137" i="20"/>
  <c r="K137" i="20"/>
  <c r="J137" i="20"/>
  <c r="I137" i="20"/>
  <c r="H137" i="20"/>
  <c r="G137" i="20"/>
  <c r="F137" i="20"/>
  <c r="E137" i="20"/>
  <c r="D137" i="20"/>
  <c r="C137" i="20"/>
  <c r="B137" i="20"/>
  <c r="A137" i="20"/>
  <c r="N136" i="20"/>
  <c r="M136" i="20"/>
  <c r="L136" i="20"/>
  <c r="K136" i="20"/>
  <c r="J136" i="20"/>
  <c r="I136" i="20"/>
  <c r="H136" i="20"/>
  <c r="G136" i="20"/>
  <c r="F136" i="20"/>
  <c r="E136" i="20"/>
  <c r="D136" i="20"/>
  <c r="C136" i="20"/>
  <c r="B136" i="20"/>
  <c r="A136" i="20"/>
  <c r="N135" i="20"/>
  <c r="M135" i="20"/>
  <c r="L135" i="20"/>
  <c r="K135" i="20"/>
  <c r="J135" i="20"/>
  <c r="I135" i="20"/>
  <c r="H135" i="20"/>
  <c r="G135" i="20"/>
  <c r="F135" i="20"/>
  <c r="E135" i="20"/>
  <c r="D135" i="20"/>
  <c r="C135" i="20"/>
  <c r="B135" i="20"/>
  <c r="A135" i="20"/>
  <c r="N134" i="20"/>
  <c r="M134" i="20"/>
  <c r="L134" i="20"/>
  <c r="K134" i="20"/>
  <c r="J134" i="20"/>
  <c r="I134" i="20"/>
  <c r="H134" i="20"/>
  <c r="G134" i="20"/>
  <c r="F134" i="20"/>
  <c r="E134" i="20"/>
  <c r="D134" i="20"/>
  <c r="C134" i="20"/>
  <c r="B134" i="20"/>
  <c r="A134" i="20"/>
  <c r="N133" i="20"/>
  <c r="M133" i="20"/>
  <c r="L133" i="20"/>
  <c r="K133" i="20"/>
  <c r="J133" i="20"/>
  <c r="I133" i="20"/>
  <c r="H133" i="20"/>
  <c r="G133" i="20"/>
  <c r="F133" i="20"/>
  <c r="E133" i="20"/>
  <c r="D133" i="20"/>
  <c r="C133" i="20"/>
  <c r="B133" i="20"/>
  <c r="A133" i="20"/>
  <c r="N132" i="20"/>
  <c r="M132" i="20"/>
  <c r="L132" i="20"/>
  <c r="K132" i="20"/>
  <c r="J132" i="20"/>
  <c r="I132" i="20"/>
  <c r="H132" i="20"/>
  <c r="G132" i="20"/>
  <c r="F132" i="20"/>
  <c r="E132" i="20"/>
  <c r="D132" i="20"/>
  <c r="C132" i="20"/>
  <c r="B132" i="20"/>
  <c r="A132" i="20"/>
  <c r="N131" i="20"/>
  <c r="M131" i="20"/>
  <c r="L131" i="20"/>
  <c r="K131" i="20"/>
  <c r="J131" i="20"/>
  <c r="I131" i="20"/>
  <c r="H131" i="20"/>
  <c r="G131" i="20"/>
  <c r="F131" i="20"/>
  <c r="E131" i="20"/>
  <c r="D131" i="20"/>
  <c r="C131" i="20"/>
  <c r="B131" i="20"/>
  <c r="A131" i="20"/>
  <c r="N130" i="20"/>
  <c r="M130" i="20"/>
  <c r="L130" i="20"/>
  <c r="K130" i="20"/>
  <c r="J130" i="20"/>
  <c r="I130" i="20"/>
  <c r="H130" i="20"/>
  <c r="G130" i="20"/>
  <c r="F130" i="20"/>
  <c r="E130" i="20"/>
  <c r="D130" i="20"/>
  <c r="C130" i="20"/>
  <c r="B130" i="20"/>
  <c r="A130" i="20"/>
  <c r="N129" i="20"/>
  <c r="M129" i="20"/>
  <c r="L129" i="20"/>
  <c r="K129" i="20"/>
  <c r="J129" i="20"/>
  <c r="I129" i="20"/>
  <c r="H129" i="20"/>
  <c r="G129" i="20"/>
  <c r="F129" i="20"/>
  <c r="E129" i="20"/>
  <c r="D129" i="20"/>
  <c r="C129" i="20"/>
  <c r="B129" i="20"/>
  <c r="A129" i="20"/>
  <c r="N128" i="20"/>
  <c r="M128" i="20"/>
  <c r="L128" i="20"/>
  <c r="K128" i="20"/>
  <c r="J128" i="20"/>
  <c r="I128" i="20"/>
  <c r="H128" i="20"/>
  <c r="G128" i="20"/>
  <c r="F128" i="20"/>
  <c r="E128" i="20"/>
  <c r="D128" i="20"/>
  <c r="C128" i="20"/>
  <c r="B128" i="20"/>
  <c r="A128" i="20"/>
  <c r="N127" i="20"/>
  <c r="M127" i="20"/>
  <c r="L127" i="20"/>
  <c r="K127" i="20"/>
  <c r="J127" i="20"/>
  <c r="I127" i="20"/>
  <c r="H127" i="20"/>
  <c r="G127" i="20"/>
  <c r="F127" i="20"/>
  <c r="E127" i="20"/>
  <c r="D127" i="20"/>
  <c r="C127" i="20"/>
  <c r="B127" i="20"/>
  <c r="A127" i="20"/>
  <c r="N126" i="20"/>
  <c r="M126" i="20"/>
  <c r="L126" i="20"/>
  <c r="K126" i="20"/>
  <c r="J126" i="20"/>
  <c r="I126" i="20"/>
  <c r="H126" i="20"/>
  <c r="G126" i="20"/>
  <c r="F126" i="20"/>
  <c r="E126" i="20"/>
  <c r="D126" i="20"/>
  <c r="C126" i="20"/>
  <c r="B126" i="20"/>
  <c r="A126" i="20"/>
  <c r="N125" i="20"/>
  <c r="M125" i="20"/>
  <c r="L125" i="20"/>
  <c r="K125" i="20"/>
  <c r="J125" i="20"/>
  <c r="I125" i="20"/>
  <c r="H125" i="20"/>
  <c r="G125" i="20"/>
  <c r="F125" i="20"/>
  <c r="E125" i="20"/>
  <c r="D125" i="20"/>
  <c r="C125" i="20"/>
  <c r="B125" i="20"/>
  <c r="A125" i="20"/>
  <c r="N124" i="20"/>
  <c r="M124" i="20"/>
  <c r="L124" i="20"/>
  <c r="K124" i="20"/>
  <c r="J124" i="20"/>
  <c r="I124" i="20"/>
  <c r="H124" i="20"/>
  <c r="G124" i="20"/>
  <c r="F124" i="20"/>
  <c r="E124" i="20"/>
  <c r="D124" i="20"/>
  <c r="C124" i="20"/>
  <c r="B124" i="20"/>
  <c r="A124" i="20"/>
  <c r="N123" i="20"/>
  <c r="M123" i="20"/>
  <c r="L123" i="20"/>
  <c r="K123" i="20"/>
  <c r="J123" i="20"/>
  <c r="I123" i="20"/>
  <c r="H123" i="20"/>
  <c r="G123" i="20"/>
  <c r="F123" i="20"/>
  <c r="E123" i="20"/>
  <c r="D123" i="20"/>
  <c r="C123" i="20"/>
  <c r="B123" i="20"/>
  <c r="A123" i="20"/>
  <c r="N122" i="20"/>
  <c r="M122" i="20"/>
  <c r="L122" i="20"/>
  <c r="K122" i="20"/>
  <c r="J122" i="20"/>
  <c r="I122" i="20"/>
  <c r="H122" i="20"/>
  <c r="G122" i="20"/>
  <c r="F122" i="20"/>
  <c r="E122" i="20"/>
  <c r="D122" i="20"/>
  <c r="C122" i="20"/>
  <c r="B122" i="20"/>
  <c r="A122" i="20"/>
  <c r="N121" i="20"/>
  <c r="M121" i="20"/>
  <c r="L121" i="20"/>
  <c r="K121" i="20"/>
  <c r="J121" i="20"/>
  <c r="I121" i="20"/>
  <c r="H121" i="20"/>
  <c r="G121" i="20"/>
  <c r="F121" i="20"/>
  <c r="E121" i="20"/>
  <c r="D121" i="20"/>
  <c r="C121" i="20"/>
  <c r="B121" i="20"/>
  <c r="A121" i="20"/>
  <c r="N120" i="20"/>
  <c r="M120" i="20"/>
  <c r="L120" i="20"/>
  <c r="K120" i="20"/>
  <c r="J120" i="20"/>
  <c r="I120" i="20"/>
  <c r="H120" i="20"/>
  <c r="G120" i="20"/>
  <c r="F120" i="20"/>
  <c r="E120" i="20"/>
  <c r="D120" i="20"/>
  <c r="C120" i="20"/>
  <c r="B120" i="20"/>
  <c r="A120" i="20"/>
  <c r="N119" i="20"/>
  <c r="M119" i="20"/>
  <c r="L119" i="20"/>
  <c r="K119" i="20"/>
  <c r="J119" i="20"/>
  <c r="I119" i="20"/>
  <c r="H119" i="20"/>
  <c r="G119" i="20"/>
  <c r="F119" i="20"/>
  <c r="E119" i="20"/>
  <c r="D119" i="20"/>
  <c r="C119" i="20"/>
  <c r="B119" i="20"/>
  <c r="A119" i="20"/>
  <c r="N118" i="20"/>
  <c r="M118" i="20"/>
  <c r="L118" i="20"/>
  <c r="K118" i="20"/>
  <c r="J118" i="20"/>
  <c r="I118" i="20"/>
  <c r="H118" i="20"/>
  <c r="G118" i="20"/>
  <c r="F118" i="20"/>
  <c r="E118" i="20"/>
  <c r="D118" i="20"/>
  <c r="C118" i="20"/>
  <c r="B118" i="20"/>
  <c r="A118" i="20"/>
  <c r="N117" i="20"/>
  <c r="M117" i="20"/>
  <c r="L117" i="20"/>
  <c r="K117" i="20"/>
  <c r="J117" i="20"/>
  <c r="I117" i="20"/>
  <c r="H117" i="20"/>
  <c r="G117" i="20"/>
  <c r="F117" i="20"/>
  <c r="E117" i="20"/>
  <c r="D117" i="20"/>
  <c r="C117" i="20"/>
  <c r="B117" i="20"/>
  <c r="A117" i="20"/>
  <c r="N116" i="20"/>
  <c r="M116" i="20"/>
  <c r="L116" i="20"/>
  <c r="K116" i="20"/>
  <c r="J116" i="20"/>
  <c r="I116" i="20"/>
  <c r="H116" i="20"/>
  <c r="G116" i="20"/>
  <c r="F116" i="20"/>
  <c r="E116" i="20"/>
  <c r="D116" i="20"/>
  <c r="C116" i="20"/>
  <c r="B116" i="20"/>
  <c r="A116" i="20"/>
  <c r="N115" i="20"/>
  <c r="M115" i="20"/>
  <c r="L115" i="20"/>
  <c r="K115" i="20"/>
  <c r="J115" i="20"/>
  <c r="I115" i="20"/>
  <c r="H115" i="20"/>
  <c r="G115" i="20"/>
  <c r="F115" i="20"/>
  <c r="E115" i="20"/>
  <c r="D115" i="20"/>
  <c r="C115" i="20"/>
  <c r="B115" i="20"/>
  <c r="A115" i="20"/>
  <c r="N114" i="20"/>
  <c r="M114" i="20"/>
  <c r="L114" i="20"/>
  <c r="K114" i="20"/>
  <c r="J114" i="20"/>
  <c r="I114" i="20"/>
  <c r="H114" i="20"/>
  <c r="G114" i="20"/>
  <c r="F114" i="20"/>
  <c r="E114" i="20"/>
  <c r="D114" i="20"/>
  <c r="C114" i="20"/>
  <c r="B114" i="20"/>
  <c r="A114" i="20"/>
  <c r="N113" i="20"/>
  <c r="M113" i="20"/>
  <c r="L113" i="20"/>
  <c r="K113" i="20"/>
  <c r="J113" i="20"/>
  <c r="I113" i="20"/>
  <c r="H113" i="20"/>
  <c r="G113" i="20"/>
  <c r="F113" i="20"/>
  <c r="E113" i="20"/>
  <c r="D113" i="20"/>
  <c r="C113" i="20"/>
  <c r="B113" i="20"/>
  <c r="A113" i="20"/>
  <c r="N112" i="20"/>
  <c r="M112" i="20"/>
  <c r="L112" i="20"/>
  <c r="K112" i="20"/>
  <c r="J112" i="20"/>
  <c r="I112" i="20"/>
  <c r="H112" i="20"/>
  <c r="G112" i="20"/>
  <c r="F112" i="20"/>
  <c r="E112" i="20"/>
  <c r="D112" i="20"/>
  <c r="C112" i="20"/>
  <c r="B112" i="20"/>
  <c r="A112" i="20"/>
  <c r="N111" i="20"/>
  <c r="M111" i="20"/>
  <c r="L111" i="20"/>
  <c r="K111" i="20"/>
  <c r="J111" i="20"/>
  <c r="I111" i="20"/>
  <c r="H111" i="20"/>
  <c r="G111" i="20"/>
  <c r="F111" i="20"/>
  <c r="E111" i="20"/>
  <c r="D111" i="20"/>
  <c r="C111" i="20"/>
  <c r="B111" i="20"/>
  <c r="A111" i="20"/>
  <c r="N110" i="20"/>
  <c r="M110" i="20"/>
  <c r="L110" i="20"/>
  <c r="K110" i="20"/>
  <c r="J110" i="20"/>
  <c r="I110" i="20"/>
  <c r="H110" i="20"/>
  <c r="G110" i="20"/>
  <c r="F110" i="20"/>
  <c r="E110" i="20"/>
  <c r="D110" i="20"/>
  <c r="C110" i="20"/>
  <c r="B110" i="20"/>
  <c r="A110" i="20"/>
  <c r="N109" i="20"/>
  <c r="M109" i="20"/>
  <c r="L109" i="20"/>
  <c r="K109" i="20"/>
  <c r="J109" i="20"/>
  <c r="I109" i="20"/>
  <c r="H109" i="20"/>
  <c r="G109" i="20"/>
  <c r="F109" i="20"/>
  <c r="E109" i="20"/>
  <c r="D109" i="20"/>
  <c r="C109" i="20"/>
  <c r="B109" i="20"/>
  <c r="A109" i="20"/>
  <c r="N108" i="20"/>
  <c r="M108" i="20"/>
  <c r="L108" i="20"/>
  <c r="K108" i="20"/>
  <c r="J108" i="20"/>
  <c r="I108" i="20"/>
  <c r="H108" i="20"/>
  <c r="G108" i="20"/>
  <c r="F108" i="20"/>
  <c r="E108" i="20"/>
  <c r="D108" i="20"/>
  <c r="C108" i="20"/>
  <c r="B108" i="20"/>
  <c r="A108" i="20"/>
  <c r="N107" i="20"/>
  <c r="M107" i="20"/>
  <c r="L107" i="20"/>
  <c r="K107" i="20"/>
  <c r="J107" i="20"/>
  <c r="I107" i="20"/>
  <c r="H107" i="20"/>
  <c r="G107" i="20"/>
  <c r="F107" i="20"/>
  <c r="E107" i="20"/>
  <c r="D107" i="20"/>
  <c r="C107" i="20"/>
  <c r="B107" i="20"/>
  <c r="A107" i="20"/>
  <c r="N106" i="20"/>
  <c r="M106" i="20"/>
  <c r="L106" i="20"/>
  <c r="K106" i="20"/>
  <c r="J106" i="20"/>
  <c r="I106" i="20"/>
  <c r="H106" i="20"/>
  <c r="G106" i="20"/>
  <c r="F106" i="20"/>
  <c r="E106" i="20"/>
  <c r="D106" i="20"/>
  <c r="C106" i="20"/>
  <c r="B106" i="20"/>
  <c r="A106" i="20"/>
  <c r="N105" i="20"/>
  <c r="M105" i="20"/>
  <c r="L105" i="20"/>
  <c r="K105" i="20"/>
  <c r="J105" i="20"/>
  <c r="I105" i="20"/>
  <c r="H105" i="20"/>
  <c r="G105" i="20"/>
  <c r="F105" i="20"/>
  <c r="E105" i="20"/>
  <c r="D105" i="20"/>
  <c r="C105" i="20"/>
  <c r="B105" i="20"/>
  <c r="A105" i="20"/>
  <c r="N104" i="20"/>
  <c r="M104" i="20"/>
  <c r="L104" i="20"/>
  <c r="K104" i="20"/>
  <c r="J104" i="20"/>
  <c r="I104" i="20"/>
  <c r="H104" i="20"/>
  <c r="G104" i="20"/>
  <c r="F104" i="20"/>
  <c r="E104" i="20"/>
  <c r="D104" i="20"/>
  <c r="C104" i="20"/>
  <c r="B104" i="20"/>
  <c r="A104" i="20"/>
  <c r="N103" i="20"/>
  <c r="M103" i="20"/>
  <c r="L103" i="20"/>
  <c r="K103" i="20"/>
  <c r="J103" i="20"/>
  <c r="I103" i="20"/>
  <c r="H103" i="20"/>
  <c r="G103" i="20"/>
  <c r="F103" i="20"/>
  <c r="E103" i="20"/>
  <c r="D103" i="20"/>
  <c r="C103" i="20"/>
  <c r="B103" i="20"/>
  <c r="A103" i="20"/>
  <c r="N102" i="20"/>
  <c r="M102" i="20"/>
  <c r="L102" i="20"/>
  <c r="K102" i="20"/>
  <c r="J102" i="20"/>
  <c r="I102" i="20"/>
  <c r="H102" i="20"/>
  <c r="G102" i="20"/>
  <c r="F102" i="20"/>
  <c r="E102" i="20"/>
  <c r="D102" i="20"/>
  <c r="C102" i="20"/>
  <c r="B102" i="20"/>
  <c r="A102" i="20"/>
  <c r="N101" i="20"/>
  <c r="M101" i="20"/>
  <c r="L101" i="20"/>
  <c r="K101" i="20"/>
  <c r="J101" i="20"/>
  <c r="I101" i="20"/>
  <c r="H101" i="20"/>
  <c r="G101" i="20"/>
  <c r="F101" i="20"/>
  <c r="E101" i="20"/>
  <c r="D101" i="20"/>
  <c r="C101" i="20"/>
  <c r="B101" i="20"/>
  <c r="A101" i="20"/>
  <c r="N100" i="20"/>
  <c r="M100" i="20"/>
  <c r="L100" i="20"/>
  <c r="K100" i="20"/>
  <c r="J100" i="20"/>
  <c r="I100" i="20"/>
  <c r="H100" i="20"/>
  <c r="G100" i="20"/>
  <c r="F100" i="20"/>
  <c r="E100" i="20"/>
  <c r="D100" i="20"/>
  <c r="C100" i="20"/>
  <c r="B100" i="20"/>
  <c r="A100" i="20"/>
  <c r="N99" i="20"/>
  <c r="M99" i="20"/>
  <c r="L99" i="20"/>
  <c r="K99" i="20"/>
  <c r="J99" i="20"/>
  <c r="I99" i="20"/>
  <c r="H99" i="20"/>
  <c r="G99" i="20"/>
  <c r="F99" i="20"/>
  <c r="E99" i="20"/>
  <c r="D99" i="20"/>
  <c r="C99" i="20"/>
  <c r="B99" i="20"/>
  <c r="A99" i="20"/>
  <c r="N98" i="20"/>
  <c r="M98" i="20"/>
  <c r="L98" i="20"/>
  <c r="K98" i="20"/>
  <c r="J98" i="20"/>
  <c r="I98" i="20"/>
  <c r="H98" i="20"/>
  <c r="G98" i="20"/>
  <c r="F98" i="20"/>
  <c r="E98" i="20"/>
  <c r="D98" i="20"/>
  <c r="C98" i="20"/>
  <c r="B98" i="20"/>
  <c r="A98" i="20"/>
  <c r="N97" i="20"/>
  <c r="M97" i="20"/>
  <c r="L97" i="20"/>
  <c r="K97" i="20"/>
  <c r="J97" i="20"/>
  <c r="I97" i="20"/>
  <c r="H97" i="20"/>
  <c r="G97" i="20"/>
  <c r="F97" i="20"/>
  <c r="E97" i="20"/>
  <c r="D97" i="20"/>
  <c r="C97" i="20"/>
  <c r="B97" i="20"/>
  <c r="A97" i="20"/>
  <c r="N96" i="20"/>
  <c r="M96" i="20"/>
  <c r="L96" i="20"/>
  <c r="K96" i="20"/>
  <c r="J96" i="20"/>
  <c r="I96" i="20"/>
  <c r="H96" i="20"/>
  <c r="G96" i="20"/>
  <c r="F96" i="20"/>
  <c r="E96" i="20"/>
  <c r="D96" i="20"/>
  <c r="C96" i="20"/>
  <c r="B96" i="20"/>
  <c r="A96" i="20"/>
  <c r="N95" i="20"/>
  <c r="M95" i="20"/>
  <c r="L95" i="20"/>
  <c r="K95" i="20"/>
  <c r="J95" i="20"/>
  <c r="I95" i="20"/>
  <c r="H95" i="20"/>
  <c r="G95" i="20"/>
  <c r="F95" i="20"/>
  <c r="E95" i="20"/>
  <c r="D95" i="20"/>
  <c r="C95" i="20"/>
  <c r="B95" i="20"/>
  <c r="A95" i="20"/>
  <c r="N94" i="20"/>
  <c r="M94" i="20"/>
  <c r="L94" i="20"/>
  <c r="K94" i="20"/>
  <c r="J94" i="20"/>
  <c r="I94" i="20"/>
  <c r="H94" i="20"/>
  <c r="G94" i="20"/>
  <c r="F94" i="20"/>
  <c r="E94" i="20"/>
  <c r="D94" i="20"/>
  <c r="C94" i="20"/>
  <c r="B94" i="20"/>
  <c r="A94" i="20"/>
  <c r="N93" i="20"/>
  <c r="M93" i="20"/>
  <c r="L93" i="20"/>
  <c r="K93" i="20"/>
  <c r="J93" i="20"/>
  <c r="I93" i="20"/>
  <c r="H93" i="20"/>
  <c r="G93" i="20"/>
  <c r="F93" i="20"/>
  <c r="E93" i="20"/>
  <c r="D93" i="20"/>
  <c r="C93" i="20"/>
  <c r="B93" i="20"/>
  <c r="A93" i="20"/>
  <c r="N92" i="20"/>
  <c r="M92" i="20"/>
  <c r="L92" i="20"/>
  <c r="K92" i="20"/>
  <c r="J92" i="20"/>
  <c r="I92" i="20"/>
  <c r="H92" i="20"/>
  <c r="G92" i="20"/>
  <c r="F92" i="20"/>
  <c r="E92" i="20"/>
  <c r="D92" i="20"/>
  <c r="C92" i="20"/>
  <c r="B92" i="20"/>
  <c r="A92" i="20"/>
  <c r="N91" i="20"/>
  <c r="M91" i="20"/>
  <c r="L91" i="20"/>
  <c r="K91" i="20"/>
  <c r="J91" i="20"/>
  <c r="I91" i="20"/>
  <c r="H91" i="20"/>
  <c r="G91" i="20"/>
  <c r="F91" i="20"/>
  <c r="E91" i="20"/>
  <c r="D91" i="20"/>
  <c r="C91" i="20"/>
  <c r="B91" i="20"/>
  <c r="A91" i="20"/>
  <c r="N90" i="20"/>
  <c r="M90" i="20"/>
  <c r="L90" i="20"/>
  <c r="K90" i="20"/>
  <c r="J90" i="20"/>
  <c r="I90" i="20"/>
  <c r="H90" i="20"/>
  <c r="G90" i="20"/>
  <c r="F90" i="20"/>
  <c r="E90" i="20"/>
  <c r="D90" i="20"/>
  <c r="C90" i="20"/>
  <c r="B90" i="20"/>
  <c r="A90" i="20"/>
  <c r="N89" i="20"/>
  <c r="M89" i="20"/>
  <c r="L89" i="20"/>
  <c r="K89" i="20"/>
  <c r="J89" i="20"/>
  <c r="I89" i="20"/>
  <c r="H89" i="20"/>
  <c r="G89" i="20"/>
  <c r="F89" i="20"/>
  <c r="E89" i="20"/>
  <c r="D89" i="20"/>
  <c r="C89" i="20"/>
  <c r="B89" i="20"/>
  <c r="A89" i="20"/>
  <c r="N88" i="20"/>
  <c r="M88" i="20"/>
  <c r="L88" i="20"/>
  <c r="K88" i="20"/>
  <c r="J88" i="20"/>
  <c r="I88" i="20"/>
  <c r="H88" i="20"/>
  <c r="G88" i="20"/>
  <c r="F88" i="20"/>
  <c r="E88" i="20"/>
  <c r="D88" i="20"/>
  <c r="C88" i="20"/>
  <c r="B88" i="20"/>
  <c r="A88" i="20"/>
  <c r="N87" i="20"/>
  <c r="M87" i="20"/>
  <c r="L87" i="20"/>
  <c r="K87" i="20"/>
  <c r="J87" i="20"/>
  <c r="I87" i="20"/>
  <c r="H87" i="20"/>
  <c r="G87" i="20"/>
  <c r="F87" i="20"/>
  <c r="E87" i="20"/>
  <c r="D87" i="20"/>
  <c r="C87" i="20"/>
  <c r="B87" i="20"/>
  <c r="A87" i="20"/>
  <c r="N86" i="20"/>
  <c r="M86" i="20"/>
  <c r="L86" i="20"/>
  <c r="K86" i="20"/>
  <c r="J86" i="20"/>
  <c r="I86" i="20"/>
  <c r="H86" i="20"/>
  <c r="G86" i="20"/>
  <c r="F86" i="20"/>
  <c r="E86" i="20"/>
  <c r="D86" i="20"/>
  <c r="C86" i="20"/>
  <c r="B86" i="20"/>
  <c r="A86" i="20"/>
  <c r="N85" i="20"/>
  <c r="M85" i="20"/>
  <c r="L85" i="20"/>
  <c r="K85" i="20"/>
  <c r="J85" i="20"/>
  <c r="I85" i="20"/>
  <c r="H85" i="20"/>
  <c r="G85" i="20"/>
  <c r="F85" i="20"/>
  <c r="E85" i="20"/>
  <c r="D85" i="20"/>
  <c r="C85" i="20"/>
  <c r="B85" i="20"/>
  <c r="A85" i="20"/>
  <c r="N84" i="20"/>
  <c r="M84" i="20"/>
  <c r="L84" i="20"/>
  <c r="K84" i="20"/>
  <c r="J84" i="20"/>
  <c r="I84" i="20"/>
  <c r="H84" i="20"/>
  <c r="G84" i="20"/>
  <c r="F84" i="20"/>
  <c r="E84" i="20"/>
  <c r="D84" i="20"/>
  <c r="C84" i="20"/>
  <c r="B84" i="20"/>
  <c r="A84" i="20"/>
  <c r="N83" i="20"/>
  <c r="M83" i="20"/>
  <c r="L83" i="20"/>
  <c r="K83" i="20"/>
  <c r="J83" i="20"/>
  <c r="I83" i="20"/>
  <c r="H83" i="20"/>
  <c r="G83" i="20"/>
  <c r="F83" i="20"/>
  <c r="E83" i="20"/>
  <c r="D83" i="20"/>
  <c r="C83" i="20"/>
  <c r="B83" i="20"/>
  <c r="A83" i="20"/>
  <c r="N82" i="20"/>
  <c r="M82" i="20"/>
  <c r="L82" i="20"/>
  <c r="K82" i="20"/>
  <c r="J82" i="20"/>
  <c r="I82" i="20"/>
  <c r="H82" i="20"/>
  <c r="G82" i="20"/>
  <c r="F82" i="20"/>
  <c r="E82" i="20"/>
  <c r="D82" i="20"/>
  <c r="C82" i="20"/>
  <c r="B82" i="20"/>
  <c r="A82" i="20"/>
  <c r="N81" i="20"/>
  <c r="M81" i="20"/>
  <c r="L81" i="20"/>
  <c r="K81" i="20"/>
  <c r="J81" i="20"/>
  <c r="I81" i="20"/>
  <c r="H81" i="20"/>
  <c r="G81" i="20"/>
  <c r="F81" i="20"/>
  <c r="E81" i="20"/>
  <c r="D81" i="20"/>
  <c r="C81" i="20"/>
  <c r="B81" i="20"/>
  <c r="A81" i="20"/>
  <c r="N80" i="20"/>
  <c r="M80" i="20"/>
  <c r="L80" i="20"/>
  <c r="K80" i="20"/>
  <c r="J80" i="20"/>
  <c r="I80" i="20"/>
  <c r="H80" i="20"/>
  <c r="G80" i="20"/>
  <c r="F80" i="20"/>
  <c r="E80" i="20"/>
  <c r="D80" i="20"/>
  <c r="C80" i="20"/>
  <c r="B80" i="20"/>
  <c r="A80" i="20"/>
  <c r="N79" i="20"/>
  <c r="M79" i="20"/>
  <c r="L79" i="20"/>
  <c r="K79" i="20"/>
  <c r="J79" i="20"/>
  <c r="I79" i="20"/>
  <c r="H79" i="20"/>
  <c r="G79" i="20"/>
  <c r="F79" i="20"/>
  <c r="E79" i="20"/>
  <c r="D79" i="20"/>
  <c r="C79" i="20"/>
  <c r="B79" i="20"/>
  <c r="A79" i="20"/>
  <c r="N78" i="20"/>
  <c r="M78" i="20"/>
  <c r="L78" i="20"/>
  <c r="K78" i="20"/>
  <c r="J78" i="20"/>
  <c r="I78" i="20"/>
  <c r="H78" i="20"/>
  <c r="G78" i="20"/>
  <c r="F78" i="20"/>
  <c r="E78" i="20"/>
  <c r="D78" i="20"/>
  <c r="C78" i="20"/>
  <c r="B78" i="20"/>
  <c r="A78" i="20"/>
  <c r="N77" i="20"/>
  <c r="M77" i="20"/>
  <c r="L77" i="20"/>
  <c r="K77" i="20"/>
  <c r="J77" i="20"/>
  <c r="I77" i="20"/>
  <c r="H77" i="20"/>
  <c r="G77" i="20"/>
  <c r="F77" i="20"/>
  <c r="E77" i="20"/>
  <c r="D77" i="20"/>
  <c r="C77" i="20"/>
  <c r="B77" i="20"/>
  <c r="A77" i="20"/>
  <c r="N76" i="20"/>
  <c r="M76" i="20"/>
  <c r="L76" i="20"/>
  <c r="K76" i="20"/>
  <c r="J76" i="20"/>
  <c r="I76" i="20"/>
  <c r="H76" i="20"/>
  <c r="G76" i="20"/>
  <c r="F76" i="20"/>
  <c r="E76" i="20"/>
  <c r="D76" i="20"/>
  <c r="C76" i="20"/>
  <c r="B76" i="20"/>
  <c r="A76" i="20"/>
  <c r="N75" i="20"/>
  <c r="M75" i="20"/>
  <c r="L75" i="20"/>
  <c r="K75" i="20"/>
  <c r="J75" i="20"/>
  <c r="I75" i="20"/>
  <c r="H75" i="20"/>
  <c r="G75" i="20"/>
  <c r="F75" i="20"/>
  <c r="E75" i="20"/>
  <c r="D75" i="20"/>
  <c r="C75" i="20"/>
  <c r="B75" i="20"/>
  <c r="A75" i="20"/>
  <c r="N74" i="20"/>
  <c r="M74" i="20"/>
  <c r="L74" i="20"/>
  <c r="K74" i="20"/>
  <c r="J74" i="20"/>
  <c r="I74" i="20"/>
  <c r="H74" i="20"/>
  <c r="G74" i="20"/>
  <c r="F74" i="20"/>
  <c r="E74" i="20"/>
  <c r="D74" i="20"/>
  <c r="C74" i="20"/>
  <c r="B74" i="20"/>
  <c r="A74" i="20"/>
  <c r="N73" i="20"/>
  <c r="M73" i="20"/>
  <c r="L73" i="20"/>
  <c r="K73" i="20"/>
  <c r="J73" i="20"/>
  <c r="I73" i="20"/>
  <c r="H73" i="20"/>
  <c r="G73" i="20"/>
  <c r="F73" i="20"/>
  <c r="E73" i="20"/>
  <c r="D73" i="20"/>
  <c r="C73" i="20"/>
  <c r="B73" i="20"/>
  <c r="A73" i="20"/>
  <c r="N72" i="20"/>
  <c r="M72" i="20"/>
  <c r="L72" i="20"/>
  <c r="K72" i="20"/>
  <c r="J72" i="20"/>
  <c r="I72" i="20"/>
  <c r="H72" i="20"/>
  <c r="G72" i="20"/>
  <c r="F72" i="20"/>
  <c r="E72" i="20"/>
  <c r="D72" i="20"/>
  <c r="C72" i="20"/>
  <c r="B72" i="20"/>
  <c r="A72" i="20"/>
  <c r="N71" i="20"/>
  <c r="M71" i="20"/>
  <c r="L71" i="20"/>
  <c r="K71" i="20"/>
  <c r="J71" i="20"/>
  <c r="I71" i="20"/>
  <c r="H71" i="20"/>
  <c r="G71" i="20"/>
  <c r="F71" i="20"/>
  <c r="E71" i="20"/>
  <c r="D71" i="20"/>
  <c r="C71" i="20"/>
  <c r="B71" i="20"/>
  <c r="A71" i="20"/>
  <c r="N70" i="20"/>
  <c r="M70" i="20"/>
  <c r="L70" i="20"/>
  <c r="K70" i="20"/>
  <c r="J70" i="20"/>
  <c r="I70" i="20"/>
  <c r="H70" i="20"/>
  <c r="G70" i="20"/>
  <c r="F70" i="20"/>
  <c r="E70" i="20"/>
  <c r="D70" i="20"/>
  <c r="C70" i="20"/>
  <c r="B70" i="20"/>
  <c r="A70" i="20"/>
  <c r="N69" i="20"/>
  <c r="M69" i="20"/>
  <c r="L69" i="20"/>
  <c r="K69" i="20"/>
  <c r="J69" i="20"/>
  <c r="I69" i="20"/>
  <c r="H69" i="20"/>
  <c r="G69" i="20"/>
  <c r="F69" i="20"/>
  <c r="E69" i="20"/>
  <c r="D69" i="20"/>
  <c r="C69" i="20"/>
  <c r="B69" i="20"/>
  <c r="A69" i="20"/>
  <c r="N68" i="20"/>
  <c r="M68" i="20"/>
  <c r="L68" i="20"/>
  <c r="K68" i="20"/>
  <c r="J68" i="20"/>
  <c r="I68" i="20"/>
  <c r="H68" i="20"/>
  <c r="G68" i="20"/>
  <c r="F68" i="20"/>
  <c r="E68" i="20"/>
  <c r="D68" i="20"/>
  <c r="C68" i="20"/>
  <c r="B68" i="20"/>
  <c r="A68" i="20"/>
  <c r="N67" i="20"/>
  <c r="M67" i="20"/>
  <c r="L67" i="20"/>
  <c r="K67" i="20"/>
  <c r="J67" i="20"/>
  <c r="I67" i="20"/>
  <c r="H67" i="20"/>
  <c r="G67" i="20"/>
  <c r="F67" i="20"/>
  <c r="E67" i="20"/>
  <c r="D67" i="20"/>
  <c r="C67" i="20"/>
  <c r="B67" i="20"/>
  <c r="A67" i="20"/>
  <c r="N66" i="20"/>
  <c r="M66" i="20"/>
  <c r="L66" i="20"/>
  <c r="K66" i="20"/>
  <c r="J66" i="20"/>
  <c r="I66" i="20"/>
  <c r="H66" i="20"/>
  <c r="G66" i="20"/>
  <c r="F66" i="20"/>
  <c r="E66" i="20"/>
  <c r="D66" i="20"/>
  <c r="C66" i="20"/>
  <c r="B66" i="20"/>
  <c r="A66" i="20"/>
  <c r="N65" i="20"/>
  <c r="M65" i="20"/>
  <c r="L65" i="20"/>
  <c r="K65" i="20"/>
  <c r="J65" i="20"/>
  <c r="I65" i="20"/>
  <c r="H65" i="20"/>
  <c r="G65" i="20"/>
  <c r="F65" i="20"/>
  <c r="E65" i="20"/>
  <c r="D65" i="20"/>
  <c r="C65" i="20"/>
  <c r="B65" i="20"/>
  <c r="A65" i="20"/>
  <c r="N64" i="20"/>
  <c r="M64" i="20"/>
  <c r="L64" i="20"/>
  <c r="K64" i="20"/>
  <c r="J64" i="20"/>
  <c r="I64" i="20"/>
  <c r="H64" i="20"/>
  <c r="G64" i="20"/>
  <c r="F64" i="20"/>
  <c r="E64" i="20"/>
  <c r="D64" i="20"/>
  <c r="C64" i="20"/>
  <c r="B64" i="20"/>
  <c r="A64" i="20"/>
  <c r="N63" i="20"/>
  <c r="M63" i="20"/>
  <c r="L63" i="20"/>
  <c r="K63" i="20"/>
  <c r="J63" i="20"/>
  <c r="I63" i="20"/>
  <c r="H63" i="20"/>
  <c r="G63" i="20"/>
  <c r="F63" i="20"/>
  <c r="E63" i="20"/>
  <c r="D63" i="20"/>
  <c r="C63" i="20"/>
  <c r="B63" i="20"/>
  <c r="A63" i="20"/>
  <c r="N62" i="20"/>
  <c r="M62" i="20"/>
  <c r="L62" i="20"/>
  <c r="K62" i="20"/>
  <c r="J62" i="20"/>
  <c r="I62" i="20"/>
  <c r="H62" i="20"/>
  <c r="G62" i="20"/>
  <c r="F62" i="20"/>
  <c r="E62" i="20"/>
  <c r="D62" i="20"/>
  <c r="C62" i="20"/>
  <c r="B62" i="20"/>
  <c r="A62" i="20"/>
  <c r="N61" i="20"/>
  <c r="M61" i="20"/>
  <c r="L61" i="20"/>
  <c r="K61" i="20"/>
  <c r="J61" i="20"/>
  <c r="I61" i="20"/>
  <c r="H61" i="20"/>
  <c r="G61" i="20"/>
  <c r="F61" i="20"/>
  <c r="E61" i="20"/>
  <c r="D61" i="20"/>
  <c r="C61" i="20"/>
  <c r="B61" i="20"/>
  <c r="A61" i="20"/>
  <c r="N60" i="20"/>
  <c r="M60" i="20"/>
  <c r="L60" i="20"/>
  <c r="K60" i="20"/>
  <c r="J60" i="20"/>
  <c r="I60" i="20"/>
  <c r="H60" i="20"/>
  <c r="G60" i="20"/>
  <c r="F60" i="20"/>
  <c r="E60" i="20"/>
  <c r="D60" i="20"/>
  <c r="C60" i="20"/>
  <c r="B60" i="20"/>
  <c r="A60" i="20"/>
  <c r="N59" i="20"/>
  <c r="M59" i="20"/>
  <c r="L59" i="20"/>
  <c r="K59" i="20"/>
  <c r="J59" i="20"/>
  <c r="I59" i="20"/>
  <c r="H59" i="20"/>
  <c r="G59" i="20"/>
  <c r="F59" i="20"/>
  <c r="E59" i="20"/>
  <c r="D59" i="20"/>
  <c r="C59" i="20"/>
  <c r="B59" i="20"/>
  <c r="A59" i="20"/>
  <c r="N58" i="20"/>
  <c r="M58" i="20"/>
  <c r="L58" i="20"/>
  <c r="K58" i="20"/>
  <c r="J58" i="20"/>
  <c r="I58" i="20"/>
  <c r="H58" i="20"/>
  <c r="G58" i="20"/>
  <c r="F58" i="20"/>
  <c r="E58" i="20"/>
  <c r="D58" i="20"/>
  <c r="C58" i="20"/>
  <c r="B58" i="20"/>
  <c r="A58" i="20"/>
  <c r="N57" i="20"/>
  <c r="M57" i="20"/>
  <c r="L57" i="20"/>
  <c r="K57" i="20"/>
  <c r="J57" i="20"/>
  <c r="I57" i="20"/>
  <c r="H57" i="20"/>
  <c r="G57" i="20"/>
  <c r="F57" i="20"/>
  <c r="E57" i="20"/>
  <c r="D57" i="20"/>
  <c r="C57" i="20"/>
  <c r="B57" i="20"/>
  <c r="A57" i="20"/>
  <c r="N56" i="20"/>
  <c r="M56" i="20"/>
  <c r="L56" i="20"/>
  <c r="K56" i="20"/>
  <c r="J56" i="20"/>
  <c r="I56" i="20"/>
  <c r="H56" i="20"/>
  <c r="G56" i="20"/>
  <c r="F56" i="20"/>
  <c r="E56" i="20"/>
  <c r="D56" i="20"/>
  <c r="C56" i="20"/>
  <c r="B56" i="20"/>
  <c r="A56" i="20"/>
  <c r="N55" i="20"/>
  <c r="M55" i="20"/>
  <c r="L55" i="20"/>
  <c r="K55" i="20"/>
  <c r="J55" i="20"/>
  <c r="I55" i="20"/>
  <c r="H55" i="20"/>
  <c r="G55" i="20"/>
  <c r="F55" i="20"/>
  <c r="E55" i="20"/>
  <c r="D55" i="20"/>
  <c r="C55" i="20"/>
  <c r="B55" i="20"/>
  <c r="A55" i="20"/>
  <c r="N54" i="20"/>
  <c r="M54" i="20"/>
  <c r="L54" i="20"/>
  <c r="K54" i="20"/>
  <c r="J54" i="20"/>
  <c r="I54" i="20"/>
  <c r="H54" i="20"/>
  <c r="G54" i="20"/>
  <c r="F54" i="20"/>
  <c r="E54" i="20"/>
  <c r="D54" i="20"/>
  <c r="C54" i="20"/>
  <c r="B54" i="20"/>
  <c r="A54" i="20"/>
  <c r="N53" i="20"/>
  <c r="M53" i="20"/>
  <c r="L53" i="20"/>
  <c r="K53" i="20"/>
  <c r="J53" i="20"/>
  <c r="I53" i="20"/>
  <c r="H53" i="20"/>
  <c r="G53" i="20"/>
  <c r="F53" i="20"/>
  <c r="E53" i="20"/>
  <c r="D53" i="20"/>
  <c r="C53" i="20"/>
  <c r="B53" i="20"/>
  <c r="A53" i="20"/>
  <c r="N52" i="20"/>
  <c r="M52" i="20"/>
  <c r="L52" i="20"/>
  <c r="K52" i="20"/>
  <c r="J52" i="20"/>
  <c r="I52" i="20"/>
  <c r="H52" i="20"/>
  <c r="G52" i="20"/>
  <c r="F52" i="20"/>
  <c r="E52" i="20"/>
  <c r="D52" i="20"/>
  <c r="C52" i="20"/>
  <c r="B52" i="20"/>
  <c r="A52" i="20"/>
  <c r="N51" i="20"/>
  <c r="M51" i="20"/>
  <c r="L51" i="20"/>
  <c r="K51" i="20"/>
  <c r="J51" i="20"/>
  <c r="I51" i="20"/>
  <c r="H51" i="20"/>
  <c r="G51" i="20"/>
  <c r="F51" i="20"/>
  <c r="E51" i="20"/>
  <c r="D51" i="20"/>
  <c r="C51" i="20"/>
  <c r="B51" i="20"/>
  <c r="A51" i="20"/>
  <c r="N50" i="20"/>
  <c r="M50" i="20"/>
  <c r="L50" i="20"/>
  <c r="K50" i="20"/>
  <c r="J50" i="20"/>
  <c r="I50" i="20"/>
  <c r="H50" i="20"/>
  <c r="G50" i="20"/>
  <c r="F50" i="20"/>
  <c r="E50" i="20"/>
  <c r="D50" i="20"/>
  <c r="C50" i="20"/>
  <c r="B50" i="20"/>
  <c r="A50" i="20"/>
  <c r="N49" i="20"/>
  <c r="M49" i="20"/>
  <c r="L49" i="20"/>
  <c r="K49" i="20"/>
  <c r="J49" i="20"/>
  <c r="I49" i="20"/>
  <c r="H49" i="20"/>
  <c r="G49" i="20"/>
  <c r="F49" i="20"/>
  <c r="E49" i="20"/>
  <c r="D49" i="20"/>
  <c r="C49" i="20"/>
  <c r="B49" i="20"/>
  <c r="A49" i="20"/>
  <c r="N48" i="20"/>
  <c r="M48" i="20"/>
  <c r="L48" i="20"/>
  <c r="K48" i="20"/>
  <c r="J48" i="20"/>
  <c r="I48" i="20"/>
  <c r="H48" i="20"/>
  <c r="G48" i="20"/>
  <c r="F48" i="20"/>
  <c r="E48" i="20"/>
  <c r="D48" i="20"/>
  <c r="C48" i="20"/>
  <c r="B48" i="20"/>
  <c r="A48" i="20"/>
  <c r="N47" i="20"/>
  <c r="M47" i="20"/>
  <c r="L47" i="20"/>
  <c r="K47" i="20"/>
  <c r="J47" i="20"/>
  <c r="I47" i="20"/>
  <c r="H47" i="20"/>
  <c r="G47" i="20"/>
  <c r="F47" i="20"/>
  <c r="E47" i="20"/>
  <c r="D47" i="20"/>
  <c r="C47" i="20"/>
  <c r="B47" i="20"/>
  <c r="A47" i="20"/>
  <c r="N46" i="20"/>
  <c r="M46" i="20"/>
  <c r="L46" i="20"/>
  <c r="K46" i="20"/>
  <c r="J46" i="20"/>
  <c r="I46" i="20"/>
  <c r="H46" i="20"/>
  <c r="G46" i="20"/>
  <c r="F46" i="20"/>
  <c r="E46" i="20"/>
  <c r="D46" i="20"/>
  <c r="C46" i="20"/>
  <c r="B46" i="20"/>
  <c r="A46" i="20"/>
  <c r="N45" i="20"/>
  <c r="M45" i="20"/>
  <c r="L45" i="20"/>
  <c r="K45" i="20"/>
  <c r="J45" i="20"/>
  <c r="I45" i="20"/>
  <c r="H45" i="20"/>
  <c r="G45" i="20"/>
  <c r="F45" i="20"/>
  <c r="E45" i="20"/>
  <c r="D45" i="20"/>
  <c r="C45" i="20"/>
  <c r="B45" i="20"/>
  <c r="A45" i="20"/>
  <c r="N44" i="20"/>
  <c r="M44" i="20"/>
  <c r="L44" i="20"/>
  <c r="K44" i="20"/>
  <c r="J44" i="20"/>
  <c r="I44" i="20"/>
  <c r="H44" i="20"/>
  <c r="G44" i="20"/>
  <c r="F44" i="20"/>
  <c r="E44" i="20"/>
  <c r="D44" i="20"/>
  <c r="C44" i="20"/>
  <c r="B44" i="20"/>
  <c r="A44" i="20"/>
  <c r="N43" i="20"/>
  <c r="M43" i="20"/>
  <c r="L43" i="20"/>
  <c r="K43" i="20"/>
  <c r="J43" i="20"/>
  <c r="I43" i="20"/>
  <c r="H43" i="20"/>
  <c r="G43" i="20"/>
  <c r="F43" i="20"/>
  <c r="E43" i="20"/>
  <c r="D43" i="20"/>
  <c r="C43" i="20"/>
  <c r="B43" i="20"/>
  <c r="A43" i="20"/>
  <c r="N42" i="20"/>
  <c r="M42" i="20"/>
  <c r="L42" i="20"/>
  <c r="K42" i="20"/>
  <c r="J42" i="20"/>
  <c r="I42" i="20"/>
  <c r="H42" i="20"/>
  <c r="G42" i="20"/>
  <c r="F42" i="20"/>
  <c r="E42" i="20"/>
  <c r="D42" i="20"/>
  <c r="C42" i="20"/>
  <c r="B42" i="20"/>
  <c r="A42" i="20"/>
  <c r="N41" i="20"/>
  <c r="M41" i="20"/>
  <c r="L41" i="20"/>
  <c r="K41" i="20"/>
  <c r="J41" i="20"/>
  <c r="I41" i="20"/>
  <c r="H41" i="20"/>
  <c r="G41" i="20"/>
  <c r="F41" i="20"/>
  <c r="E41" i="20"/>
  <c r="D41" i="20"/>
  <c r="C41" i="20"/>
  <c r="B41" i="20"/>
  <c r="A41" i="20"/>
  <c r="N40" i="20"/>
  <c r="M40" i="20"/>
  <c r="L40" i="20"/>
  <c r="K40" i="20"/>
  <c r="J40" i="20"/>
  <c r="I40" i="20"/>
  <c r="H40" i="20"/>
  <c r="G40" i="20"/>
  <c r="F40" i="20"/>
  <c r="E40" i="20"/>
  <c r="D40" i="20"/>
  <c r="C40" i="20"/>
  <c r="B40" i="20"/>
  <c r="A40" i="20"/>
  <c r="N39" i="20"/>
  <c r="M39" i="20"/>
  <c r="L39" i="20"/>
  <c r="K39" i="20"/>
  <c r="J39" i="20"/>
  <c r="I39" i="20"/>
  <c r="H39" i="20"/>
  <c r="G39" i="20"/>
  <c r="F39" i="20"/>
  <c r="E39" i="20"/>
  <c r="D39" i="20"/>
  <c r="C39" i="20"/>
  <c r="B39" i="20"/>
  <c r="A39" i="20"/>
  <c r="N38" i="20"/>
  <c r="M38" i="20"/>
  <c r="L38" i="20"/>
  <c r="K38" i="20"/>
  <c r="J38" i="20"/>
  <c r="I38" i="20"/>
  <c r="H38" i="20"/>
  <c r="G38" i="20"/>
  <c r="F38" i="20"/>
  <c r="E38" i="20"/>
  <c r="D38" i="20"/>
  <c r="C38" i="20"/>
  <c r="B38" i="20"/>
  <c r="A38" i="20"/>
  <c r="N37" i="20"/>
  <c r="M37" i="20"/>
  <c r="L37" i="20"/>
  <c r="K37" i="20"/>
  <c r="J37" i="20"/>
  <c r="I37" i="20"/>
  <c r="H37" i="20"/>
  <c r="G37" i="20"/>
  <c r="F37" i="20"/>
  <c r="E37" i="20"/>
  <c r="D37" i="20"/>
  <c r="C37" i="20"/>
  <c r="B37" i="20"/>
  <c r="A37" i="20"/>
  <c r="N36" i="20"/>
  <c r="M36" i="20"/>
  <c r="L36" i="20"/>
  <c r="K36" i="20"/>
  <c r="J36" i="20"/>
  <c r="I36" i="20"/>
  <c r="H36" i="20"/>
  <c r="G36" i="20"/>
  <c r="F36" i="20"/>
  <c r="E36" i="20"/>
  <c r="D36" i="20"/>
  <c r="C36" i="20"/>
  <c r="B36" i="20"/>
  <c r="A36" i="20"/>
  <c r="N35" i="20"/>
  <c r="M35" i="20"/>
  <c r="L35" i="20"/>
  <c r="K35" i="20"/>
  <c r="J35" i="20"/>
  <c r="I35" i="20"/>
  <c r="H35" i="20"/>
  <c r="G35" i="20"/>
  <c r="F35" i="20"/>
  <c r="E35" i="20"/>
  <c r="D35" i="20"/>
  <c r="C35" i="20"/>
  <c r="B35" i="20"/>
  <c r="A35" i="20"/>
  <c r="N34" i="20"/>
  <c r="M34" i="20"/>
  <c r="L34" i="20"/>
  <c r="K34" i="20"/>
  <c r="J34" i="20"/>
  <c r="I34" i="20"/>
  <c r="H34" i="20"/>
  <c r="G34" i="20"/>
  <c r="F34" i="20"/>
  <c r="E34" i="20"/>
  <c r="D34" i="20"/>
  <c r="C34" i="20"/>
  <c r="B34" i="20"/>
  <c r="A34" i="20"/>
  <c r="N33" i="20"/>
  <c r="M33" i="20"/>
  <c r="L33" i="20"/>
  <c r="K33" i="20"/>
  <c r="J33" i="20"/>
  <c r="I33" i="20"/>
  <c r="H33" i="20"/>
  <c r="G33" i="20"/>
  <c r="F33" i="20"/>
  <c r="E33" i="20"/>
  <c r="D33" i="20"/>
  <c r="C33" i="20"/>
  <c r="B33" i="20"/>
  <c r="A33" i="20"/>
  <c r="N32" i="20"/>
  <c r="M32" i="20"/>
  <c r="L32" i="20"/>
  <c r="K32" i="20"/>
  <c r="J32" i="20"/>
  <c r="I32" i="20"/>
  <c r="H32" i="20"/>
  <c r="G32" i="20"/>
  <c r="F32" i="20"/>
  <c r="E32" i="20"/>
  <c r="D32" i="20"/>
  <c r="C32" i="20"/>
  <c r="B32" i="20"/>
  <c r="A32" i="20"/>
  <c r="N31" i="20"/>
  <c r="M31" i="20"/>
  <c r="L31" i="20"/>
  <c r="K31" i="20"/>
  <c r="J31" i="20"/>
  <c r="I31" i="20"/>
  <c r="H31" i="20"/>
  <c r="G31" i="20"/>
  <c r="F31" i="20"/>
  <c r="E31" i="20"/>
  <c r="D31" i="20"/>
  <c r="C31" i="20"/>
  <c r="B31" i="20"/>
  <c r="A31" i="20"/>
  <c r="N30" i="20"/>
  <c r="M30" i="20"/>
  <c r="L30" i="20"/>
  <c r="K30" i="20"/>
  <c r="J30" i="20"/>
  <c r="I30" i="20"/>
  <c r="H30" i="20"/>
  <c r="G30" i="20"/>
  <c r="F30" i="20"/>
  <c r="E30" i="20"/>
  <c r="D30" i="20"/>
  <c r="C30" i="20"/>
  <c r="B30" i="20"/>
  <c r="A30" i="20"/>
  <c r="N29" i="20"/>
  <c r="M29" i="20"/>
  <c r="L29" i="20"/>
  <c r="K29" i="20"/>
  <c r="J29" i="20"/>
  <c r="I29" i="20"/>
  <c r="H29" i="20"/>
  <c r="G29" i="20"/>
  <c r="F29" i="20"/>
  <c r="E29" i="20"/>
  <c r="D29" i="20"/>
  <c r="C29" i="20"/>
  <c r="B29" i="20"/>
  <c r="A29" i="20"/>
  <c r="N28" i="20"/>
  <c r="M28" i="20"/>
  <c r="L28" i="20"/>
  <c r="K28" i="20"/>
  <c r="J28" i="20"/>
  <c r="I28" i="20"/>
  <c r="H28" i="20"/>
  <c r="G28" i="20"/>
  <c r="F28" i="20"/>
  <c r="E28" i="20"/>
  <c r="D28" i="20"/>
  <c r="C28" i="20"/>
  <c r="B28" i="20"/>
  <c r="A28" i="20"/>
  <c r="N27" i="20"/>
  <c r="M27" i="20"/>
  <c r="L27" i="20"/>
  <c r="K27" i="20"/>
  <c r="J27" i="20"/>
  <c r="I27" i="20"/>
  <c r="H27" i="20"/>
  <c r="G27" i="20"/>
  <c r="F27" i="20"/>
  <c r="E27" i="20"/>
  <c r="D27" i="20"/>
  <c r="C27" i="20"/>
  <c r="B27" i="20"/>
  <c r="A27" i="20"/>
  <c r="N26" i="20"/>
  <c r="M26" i="20"/>
  <c r="L26" i="20"/>
  <c r="K26" i="20"/>
  <c r="J26" i="20"/>
  <c r="I26" i="20"/>
  <c r="H26" i="20"/>
  <c r="G26" i="20"/>
  <c r="F26" i="20"/>
  <c r="E26" i="20"/>
  <c r="D26" i="20"/>
  <c r="C26" i="20"/>
  <c r="B26" i="20"/>
  <c r="A26" i="20"/>
  <c r="N25" i="20"/>
  <c r="M25" i="20"/>
  <c r="L25" i="20"/>
  <c r="K25" i="20"/>
  <c r="J25" i="20"/>
  <c r="I25" i="20"/>
  <c r="H25" i="20"/>
  <c r="G25" i="20"/>
  <c r="F25" i="20"/>
  <c r="E25" i="20"/>
  <c r="D25" i="20"/>
  <c r="C25" i="20"/>
  <c r="B25" i="20"/>
  <c r="A25" i="20"/>
  <c r="N24" i="20"/>
  <c r="M24" i="20"/>
  <c r="L24" i="20"/>
  <c r="K24" i="20"/>
  <c r="J24" i="20"/>
  <c r="I24" i="20"/>
  <c r="H24" i="20"/>
  <c r="G24" i="20"/>
  <c r="F24" i="20"/>
  <c r="E24" i="20"/>
  <c r="D24" i="20"/>
  <c r="C24" i="20"/>
  <c r="B24" i="20"/>
  <c r="A24" i="20"/>
  <c r="N23" i="20"/>
  <c r="M23" i="20"/>
  <c r="L23" i="20"/>
  <c r="K23" i="20"/>
  <c r="J23" i="20"/>
  <c r="I23" i="20"/>
  <c r="H23" i="20"/>
  <c r="G23" i="20"/>
  <c r="F23" i="20"/>
  <c r="E23" i="20"/>
  <c r="D23" i="20"/>
  <c r="C23" i="20"/>
  <c r="B23" i="20"/>
  <c r="A23" i="20"/>
  <c r="N22" i="20"/>
  <c r="M22" i="20"/>
  <c r="L22" i="20"/>
  <c r="K22" i="20"/>
  <c r="J22" i="20"/>
  <c r="I22" i="20"/>
  <c r="H22" i="20"/>
  <c r="G22" i="20"/>
  <c r="F22" i="20"/>
  <c r="E22" i="20"/>
  <c r="D22" i="20"/>
  <c r="C22" i="20"/>
  <c r="B22" i="20"/>
  <c r="A22" i="20"/>
  <c r="N21" i="20"/>
  <c r="M21" i="20"/>
  <c r="L21" i="20"/>
  <c r="K21" i="20"/>
  <c r="J21" i="20"/>
  <c r="I21" i="20"/>
  <c r="H21" i="20"/>
  <c r="G21" i="20"/>
  <c r="F21" i="20"/>
  <c r="E21" i="20"/>
  <c r="D21" i="20"/>
  <c r="C21" i="20"/>
  <c r="B21" i="20"/>
  <c r="A21" i="20"/>
  <c r="N20" i="20"/>
  <c r="M20" i="20"/>
  <c r="L20" i="20"/>
  <c r="K20" i="20"/>
  <c r="J20" i="20"/>
  <c r="I20" i="20"/>
  <c r="H20" i="20"/>
  <c r="G20" i="20"/>
  <c r="F20" i="20"/>
  <c r="E20" i="20"/>
  <c r="D20" i="20"/>
  <c r="C20" i="20"/>
  <c r="B20" i="20"/>
  <c r="A20" i="20"/>
  <c r="N19" i="20"/>
  <c r="M19" i="20"/>
  <c r="L19" i="20"/>
  <c r="K19" i="20"/>
  <c r="J19" i="20"/>
  <c r="I19" i="20"/>
  <c r="H19" i="20"/>
  <c r="G19" i="20"/>
  <c r="F19" i="20"/>
  <c r="E19" i="20"/>
  <c r="D19" i="20"/>
  <c r="C19" i="20"/>
  <c r="B19" i="20"/>
  <c r="A19" i="20"/>
  <c r="N18" i="20"/>
  <c r="M18" i="20"/>
  <c r="L18" i="20"/>
  <c r="K18" i="20"/>
  <c r="J18" i="20"/>
  <c r="I18" i="20"/>
  <c r="H18" i="20"/>
  <c r="G18" i="20"/>
  <c r="F18" i="20"/>
  <c r="E18" i="20"/>
  <c r="D18" i="20"/>
  <c r="C18" i="20"/>
  <c r="B18" i="20"/>
  <c r="A18" i="20"/>
  <c r="N17" i="20"/>
  <c r="M17" i="20"/>
  <c r="L17" i="20"/>
  <c r="K17" i="20"/>
  <c r="J17" i="20"/>
  <c r="I17" i="20"/>
  <c r="H17" i="20"/>
  <c r="G17" i="20"/>
  <c r="F17" i="20"/>
  <c r="E17" i="20"/>
  <c r="D17" i="20"/>
  <c r="C17" i="20"/>
  <c r="B17" i="20"/>
  <c r="A17" i="20"/>
  <c r="N16" i="20"/>
  <c r="M16" i="20"/>
  <c r="L16" i="20"/>
  <c r="K16" i="20"/>
  <c r="J16" i="20"/>
  <c r="I16" i="20"/>
  <c r="H16" i="20"/>
  <c r="G16" i="20"/>
  <c r="F16" i="20"/>
  <c r="E16" i="20"/>
  <c r="D16" i="20"/>
  <c r="C16" i="20"/>
  <c r="B16" i="20"/>
  <c r="A16" i="20"/>
  <c r="N15" i="20"/>
  <c r="M15" i="20"/>
  <c r="L15" i="20"/>
  <c r="K15" i="20"/>
  <c r="J15" i="20"/>
  <c r="I15" i="20"/>
  <c r="H15" i="20"/>
  <c r="G15" i="20"/>
  <c r="F15" i="20"/>
  <c r="E15" i="20"/>
  <c r="D15" i="20"/>
  <c r="C15" i="20"/>
  <c r="B15" i="20"/>
  <c r="A15" i="20"/>
  <c r="N14" i="20"/>
  <c r="M14" i="20"/>
  <c r="L14" i="20"/>
  <c r="K14" i="20"/>
  <c r="J14" i="20"/>
  <c r="I14" i="20"/>
  <c r="H14" i="20"/>
  <c r="G14" i="20"/>
  <c r="F14" i="20"/>
  <c r="E14" i="20"/>
  <c r="D14" i="20"/>
  <c r="C14" i="20"/>
  <c r="B14" i="20"/>
  <c r="A14" i="20"/>
  <c r="N13" i="20"/>
  <c r="M13" i="20"/>
  <c r="L13" i="20"/>
  <c r="K13" i="20"/>
  <c r="J13" i="20"/>
  <c r="I13" i="20"/>
  <c r="H13" i="20"/>
  <c r="G13" i="20"/>
  <c r="F13" i="20"/>
  <c r="E13" i="20"/>
  <c r="D13" i="20"/>
  <c r="C13" i="20"/>
  <c r="B13" i="20"/>
  <c r="A13" i="20"/>
  <c r="N12" i="20"/>
  <c r="M12" i="20"/>
  <c r="L12" i="20"/>
  <c r="K12" i="20"/>
  <c r="J12" i="20"/>
  <c r="I12" i="20"/>
  <c r="H12" i="20"/>
  <c r="G12" i="20"/>
  <c r="F12" i="20"/>
  <c r="E12" i="20"/>
  <c r="D12" i="20"/>
  <c r="C12" i="20"/>
  <c r="B12" i="20"/>
  <c r="A12" i="20"/>
  <c r="N11" i="20"/>
  <c r="M11" i="20"/>
  <c r="L11" i="20"/>
  <c r="K11" i="20"/>
  <c r="J11" i="20"/>
  <c r="I11" i="20"/>
  <c r="H11" i="20"/>
  <c r="G11" i="20"/>
  <c r="F11" i="20"/>
  <c r="E11" i="20"/>
  <c r="D11" i="20"/>
  <c r="C11" i="20"/>
  <c r="B11" i="20"/>
  <c r="A11" i="20"/>
  <c r="N10" i="20"/>
  <c r="M10" i="20"/>
  <c r="L10" i="20"/>
  <c r="K10" i="20"/>
  <c r="J10" i="20"/>
  <c r="I10" i="20"/>
  <c r="H10" i="20"/>
  <c r="G10" i="20"/>
  <c r="F10" i="20"/>
  <c r="E10" i="20"/>
  <c r="D10" i="20"/>
  <c r="C10" i="20"/>
  <c r="B10" i="20"/>
  <c r="A10" i="20"/>
  <c r="N9" i="20"/>
  <c r="M9" i="20"/>
  <c r="L9" i="20"/>
  <c r="K9" i="20"/>
  <c r="J9" i="20"/>
  <c r="I9" i="20"/>
  <c r="H9" i="20"/>
  <c r="G9" i="20"/>
  <c r="F9" i="20"/>
  <c r="E9" i="20"/>
  <c r="D9" i="20"/>
  <c r="C9" i="20"/>
  <c r="B9" i="20"/>
  <c r="A9" i="20"/>
  <c r="N8" i="20"/>
  <c r="M8" i="20"/>
  <c r="L8" i="20"/>
  <c r="K8" i="20"/>
  <c r="J8" i="20"/>
  <c r="I8" i="20"/>
  <c r="H8" i="20"/>
  <c r="G8" i="20"/>
  <c r="F8" i="20"/>
  <c r="E8" i="20"/>
  <c r="D8" i="20"/>
  <c r="C8" i="20"/>
  <c r="B8" i="20"/>
  <c r="A8" i="20"/>
  <c r="N7" i="20"/>
  <c r="M7" i="20"/>
  <c r="L7" i="20"/>
  <c r="K7" i="20"/>
  <c r="J7" i="20"/>
  <c r="I7" i="20"/>
  <c r="H7" i="20"/>
  <c r="G7" i="20"/>
  <c r="F7" i="20"/>
  <c r="E7" i="20"/>
  <c r="D7" i="20"/>
  <c r="C7" i="20"/>
  <c r="B7" i="20"/>
  <c r="A7" i="20"/>
  <c r="N6" i="20"/>
  <c r="M6" i="20"/>
  <c r="L6" i="20"/>
  <c r="K6" i="20"/>
  <c r="J6" i="20"/>
  <c r="I6" i="20"/>
  <c r="H6" i="20"/>
  <c r="G6" i="20"/>
  <c r="F6" i="20"/>
  <c r="E6" i="20"/>
  <c r="D6" i="20"/>
  <c r="C6" i="20"/>
  <c r="B6" i="20"/>
  <c r="A6" i="20"/>
  <c r="N5" i="20"/>
  <c r="M5" i="20"/>
  <c r="L5" i="20"/>
  <c r="K5" i="20"/>
  <c r="J5" i="20"/>
  <c r="I5" i="20"/>
  <c r="H5" i="20"/>
  <c r="G5" i="20"/>
  <c r="F5" i="20"/>
  <c r="E5" i="20"/>
  <c r="D5" i="20"/>
  <c r="C5" i="20"/>
  <c r="B5" i="20"/>
  <c r="A5" i="20"/>
  <c r="N4" i="20"/>
  <c r="M4" i="20"/>
  <c r="L4" i="20"/>
  <c r="K4" i="20"/>
  <c r="J4" i="20"/>
  <c r="I4" i="20"/>
  <c r="H4" i="20"/>
  <c r="G4" i="20"/>
  <c r="F4" i="20"/>
  <c r="E4" i="20"/>
  <c r="D4" i="20"/>
  <c r="C4" i="20"/>
  <c r="B4" i="20"/>
  <c r="A4" i="20"/>
  <c r="N3" i="20"/>
  <c r="M3" i="20"/>
  <c r="L3" i="20"/>
  <c r="K3" i="20"/>
  <c r="J3" i="20"/>
  <c r="I3" i="20"/>
  <c r="H3" i="20"/>
  <c r="G3" i="20"/>
  <c r="F3" i="20"/>
  <c r="E3" i="20"/>
  <c r="D3" i="20"/>
  <c r="C3" i="20"/>
  <c r="B3" i="20"/>
  <c r="A3" i="20"/>
  <c r="N2" i="20"/>
  <c r="M2" i="20"/>
  <c r="L2" i="20"/>
  <c r="K2" i="20"/>
  <c r="J2" i="20"/>
  <c r="I2" i="20"/>
  <c r="H2" i="20"/>
  <c r="G2" i="20"/>
  <c r="F2" i="20"/>
  <c r="E2" i="20"/>
  <c r="D2" i="20"/>
  <c r="C2" i="20"/>
  <c r="B2" i="20"/>
  <c r="A2" i="20"/>
  <c r="N1" i="20"/>
  <c r="M1" i="20"/>
  <c r="L1" i="20"/>
  <c r="K1" i="20"/>
  <c r="J1" i="20"/>
  <c r="I1" i="20"/>
  <c r="H1" i="20"/>
  <c r="G1" i="20"/>
  <c r="F1" i="20"/>
  <c r="E1" i="20"/>
  <c r="D1" i="20"/>
  <c r="C1" i="20"/>
  <c r="B1" i="20"/>
  <c r="A1" i="20"/>
  <c r="M41" i="21"/>
  <c r="L41" i="21"/>
  <c r="K41" i="21"/>
  <c r="J41" i="21"/>
  <c r="I41" i="21"/>
  <c r="H41" i="21"/>
  <c r="G41" i="21"/>
  <c r="E41" i="21"/>
  <c r="D41" i="21"/>
  <c r="C41" i="21"/>
  <c r="B41" i="21"/>
  <c r="A41" i="21"/>
  <c r="M40" i="21"/>
  <c r="L40" i="21"/>
  <c r="K40" i="21"/>
  <c r="J40" i="21"/>
  <c r="I40" i="21"/>
  <c r="H40" i="21"/>
  <c r="G40" i="21"/>
  <c r="E40" i="21"/>
  <c r="D40" i="21"/>
  <c r="C40" i="21"/>
  <c r="B40" i="21"/>
  <c r="A40" i="21"/>
  <c r="M39" i="21"/>
  <c r="L39" i="21"/>
  <c r="K39" i="21"/>
  <c r="J39" i="21"/>
  <c r="I39" i="21"/>
  <c r="H39" i="21"/>
  <c r="G39" i="21"/>
  <c r="E39" i="21"/>
  <c r="D39" i="21"/>
  <c r="C39" i="21"/>
  <c r="B39" i="21"/>
  <c r="A39" i="21"/>
  <c r="M38" i="21"/>
  <c r="L38" i="21"/>
  <c r="K38" i="21"/>
  <c r="J38" i="21"/>
  <c r="I38" i="21"/>
  <c r="H38" i="21"/>
  <c r="G38" i="21"/>
  <c r="E38" i="21"/>
  <c r="D38" i="21"/>
  <c r="C38" i="21"/>
  <c r="B38" i="21"/>
  <c r="A38" i="21"/>
  <c r="M37" i="21"/>
  <c r="L37" i="21"/>
  <c r="K37" i="21"/>
  <c r="J37" i="21"/>
  <c r="I37" i="21"/>
  <c r="H37" i="21"/>
  <c r="G37" i="21"/>
  <c r="E37" i="21"/>
  <c r="D37" i="21"/>
  <c r="C37" i="21"/>
  <c r="B37" i="21"/>
  <c r="A37" i="21"/>
  <c r="M36" i="21"/>
  <c r="L36" i="21"/>
  <c r="K36" i="21"/>
  <c r="J36" i="21"/>
  <c r="I36" i="21"/>
  <c r="H36" i="21"/>
  <c r="G36" i="21"/>
  <c r="E36" i="21"/>
  <c r="D36" i="21"/>
  <c r="C36" i="21"/>
  <c r="B36" i="21"/>
  <c r="A36" i="21"/>
  <c r="M35" i="21"/>
  <c r="L35" i="21"/>
  <c r="K35" i="21"/>
  <c r="J35" i="21"/>
  <c r="I35" i="21"/>
  <c r="H35" i="21"/>
  <c r="G35" i="21"/>
  <c r="E35" i="21"/>
  <c r="D35" i="21"/>
  <c r="C35" i="21"/>
  <c r="B35" i="21"/>
  <c r="A35" i="21"/>
  <c r="M34" i="21"/>
  <c r="L34" i="21"/>
  <c r="K34" i="21"/>
  <c r="J34" i="21"/>
  <c r="I34" i="21"/>
  <c r="H34" i="21"/>
  <c r="G34" i="21"/>
  <c r="E34" i="21"/>
  <c r="D34" i="21"/>
  <c r="C34" i="21"/>
  <c r="B34" i="21"/>
  <c r="A34" i="21"/>
  <c r="M33" i="21"/>
  <c r="L33" i="21"/>
  <c r="K33" i="21"/>
  <c r="J33" i="21"/>
  <c r="I33" i="21"/>
  <c r="H33" i="21"/>
  <c r="G33" i="21"/>
  <c r="E33" i="21"/>
  <c r="D33" i="21"/>
  <c r="C33" i="21"/>
  <c r="B33" i="21"/>
  <c r="A33" i="21"/>
  <c r="M32" i="21"/>
  <c r="L32" i="21"/>
  <c r="K32" i="21"/>
  <c r="J32" i="21"/>
  <c r="I32" i="21"/>
  <c r="H32" i="21"/>
  <c r="G32" i="21"/>
  <c r="E32" i="21"/>
  <c r="D32" i="21"/>
  <c r="C32" i="21"/>
  <c r="B32" i="21"/>
  <c r="A32" i="21"/>
  <c r="M31" i="21"/>
  <c r="L31" i="21"/>
  <c r="K31" i="21"/>
  <c r="J31" i="21"/>
  <c r="I31" i="21"/>
  <c r="H31" i="21"/>
  <c r="G31" i="21"/>
  <c r="E31" i="21"/>
  <c r="D31" i="21"/>
  <c r="C31" i="21"/>
  <c r="B31" i="21"/>
  <c r="A31" i="21"/>
  <c r="M30" i="21"/>
  <c r="L30" i="21"/>
  <c r="K30" i="21"/>
  <c r="J30" i="21"/>
  <c r="I30" i="21"/>
  <c r="H30" i="21"/>
  <c r="G30" i="21"/>
  <c r="E30" i="21"/>
  <c r="D30" i="21"/>
  <c r="C30" i="21"/>
  <c r="B30" i="21"/>
  <c r="A30" i="21"/>
  <c r="M29" i="21"/>
  <c r="L29" i="21"/>
  <c r="K29" i="21"/>
  <c r="J29" i="21"/>
  <c r="I29" i="21"/>
  <c r="H29" i="21"/>
  <c r="G29" i="21"/>
  <c r="F29" i="21"/>
  <c r="D18" i="15" s="1"/>
  <c r="E29" i="21"/>
  <c r="D29" i="21"/>
  <c r="C29" i="21"/>
  <c r="B29" i="21"/>
  <c r="A29" i="21"/>
  <c r="M28" i="21"/>
  <c r="L28" i="21"/>
  <c r="K28" i="21"/>
  <c r="J28" i="21"/>
  <c r="I28" i="21"/>
  <c r="H28" i="21"/>
  <c r="G28" i="21"/>
  <c r="F28" i="21"/>
  <c r="D17" i="15" s="1"/>
  <c r="E28" i="21"/>
  <c r="D28" i="21"/>
  <c r="C28" i="21"/>
  <c r="B28" i="21"/>
  <c r="A28" i="21"/>
  <c r="M27" i="21"/>
  <c r="L27" i="21"/>
  <c r="K27" i="21"/>
  <c r="J27" i="21"/>
  <c r="I27" i="21"/>
  <c r="H27" i="21"/>
  <c r="G27" i="21"/>
  <c r="F27" i="21"/>
  <c r="D21" i="15" s="1"/>
  <c r="E27" i="21"/>
  <c r="D27" i="21"/>
  <c r="C27" i="21"/>
  <c r="B27" i="21"/>
  <c r="A27" i="21"/>
  <c r="M26" i="21"/>
  <c r="L26" i="21"/>
  <c r="K26" i="21"/>
  <c r="J26" i="21"/>
  <c r="I26" i="21"/>
  <c r="H26" i="21"/>
  <c r="G26" i="21"/>
  <c r="F26" i="21"/>
  <c r="D16" i="15" s="1"/>
  <c r="E26" i="21"/>
  <c r="D26" i="21"/>
  <c r="C26" i="21"/>
  <c r="B26" i="21"/>
  <c r="A26" i="21"/>
  <c r="M25" i="21"/>
  <c r="L25" i="21"/>
  <c r="K25" i="21"/>
  <c r="J25" i="21"/>
  <c r="I25" i="21"/>
  <c r="H25" i="21"/>
  <c r="G25" i="21"/>
  <c r="F25" i="21"/>
  <c r="D15" i="15" s="1"/>
  <c r="E25" i="21"/>
  <c r="D25" i="21"/>
  <c r="C25" i="21"/>
  <c r="B25" i="21"/>
  <c r="A25" i="21"/>
  <c r="M24" i="21"/>
  <c r="L24" i="21"/>
  <c r="K24" i="21"/>
  <c r="J24" i="21"/>
  <c r="I24" i="21"/>
  <c r="H24" i="21"/>
  <c r="G24" i="21"/>
  <c r="F24" i="21"/>
  <c r="D20" i="15" s="1"/>
  <c r="E24" i="21"/>
  <c r="D24" i="21"/>
  <c r="C24" i="21"/>
  <c r="B24" i="21"/>
  <c r="A24" i="21"/>
  <c r="M23" i="21"/>
  <c r="L23" i="21"/>
  <c r="K23" i="21"/>
  <c r="J23" i="21"/>
  <c r="I23" i="21"/>
  <c r="H23" i="21"/>
  <c r="G23" i="21"/>
  <c r="F23" i="21"/>
  <c r="D13" i="15" s="1"/>
  <c r="E23" i="21"/>
  <c r="D23" i="21"/>
  <c r="C23" i="21"/>
  <c r="B23" i="21"/>
  <c r="A23" i="21"/>
  <c r="M22" i="21"/>
  <c r="L22" i="21"/>
  <c r="K22" i="21"/>
  <c r="J22" i="21"/>
  <c r="I22" i="21"/>
  <c r="H22" i="21"/>
  <c r="G22" i="21"/>
  <c r="F22" i="21"/>
  <c r="D9" i="15" s="1"/>
  <c r="E22" i="21"/>
  <c r="D22" i="21"/>
  <c r="C22" i="21"/>
  <c r="B22" i="21"/>
  <c r="A22" i="21"/>
  <c r="M21" i="21"/>
  <c r="L21" i="21"/>
  <c r="K21" i="21"/>
  <c r="J21" i="21"/>
  <c r="I21" i="21"/>
  <c r="H21" i="21"/>
  <c r="G21" i="21"/>
  <c r="F21" i="21"/>
  <c r="D8" i="15" s="1"/>
  <c r="E21" i="21"/>
  <c r="D21" i="21"/>
  <c r="C21" i="21"/>
  <c r="B21" i="21"/>
  <c r="A21" i="21"/>
  <c r="M20" i="21"/>
  <c r="L20" i="21"/>
  <c r="K20" i="21"/>
  <c r="J20" i="21"/>
  <c r="I20" i="21"/>
  <c r="H20" i="21"/>
  <c r="G20" i="21"/>
  <c r="F20" i="21"/>
  <c r="D7" i="15" s="1"/>
  <c r="E20" i="21"/>
  <c r="D20" i="21"/>
  <c r="C20" i="21"/>
  <c r="B20" i="21"/>
  <c r="A20" i="21"/>
  <c r="M19" i="21"/>
  <c r="L19" i="21"/>
  <c r="K19" i="21"/>
  <c r="J19" i="21"/>
  <c r="I19" i="21"/>
  <c r="H19" i="21"/>
  <c r="G19" i="21"/>
  <c r="E19" i="21"/>
  <c r="D19" i="21"/>
  <c r="C19" i="21"/>
  <c r="B19" i="21"/>
  <c r="A19" i="21"/>
  <c r="M18" i="21"/>
  <c r="L18" i="21"/>
  <c r="K18" i="21"/>
  <c r="J18" i="21"/>
  <c r="I18" i="21"/>
  <c r="H18" i="21"/>
  <c r="G18" i="21"/>
  <c r="E18" i="21"/>
  <c r="D18" i="21"/>
  <c r="C18" i="21"/>
  <c r="B18" i="21"/>
  <c r="A18" i="21"/>
  <c r="M17" i="21"/>
  <c r="L17" i="21"/>
  <c r="K17" i="21"/>
  <c r="J17" i="21"/>
  <c r="I17" i="21"/>
  <c r="H17" i="21"/>
  <c r="G17" i="21"/>
  <c r="E17" i="21"/>
  <c r="D17" i="21"/>
  <c r="C17" i="21"/>
  <c r="B17" i="21"/>
  <c r="A17" i="21"/>
  <c r="M16" i="21"/>
  <c r="L16" i="21"/>
  <c r="K16" i="21"/>
  <c r="J16" i="21"/>
  <c r="I16" i="21"/>
  <c r="H16" i="21"/>
  <c r="G16" i="21"/>
  <c r="E16" i="21"/>
  <c r="D16" i="21"/>
  <c r="C16" i="21"/>
  <c r="B16" i="21"/>
  <c r="A16" i="21"/>
  <c r="M15" i="21"/>
  <c r="L15" i="21"/>
  <c r="K15" i="21"/>
  <c r="J15" i="21"/>
  <c r="I15" i="21"/>
  <c r="H15" i="21"/>
  <c r="F5" i="15" s="1"/>
  <c r="G15" i="21"/>
  <c r="E15" i="21"/>
  <c r="D15" i="21"/>
  <c r="C15" i="21"/>
  <c r="B15" i="21"/>
  <c r="A15" i="21"/>
  <c r="M14" i="21"/>
  <c r="L14" i="21"/>
  <c r="K14" i="21"/>
  <c r="J14" i="21"/>
  <c r="I14" i="21"/>
  <c r="H14" i="21"/>
  <c r="G14" i="21"/>
  <c r="F14" i="21"/>
  <c r="C9" i="9" s="1"/>
  <c r="E14" i="21"/>
  <c r="D14" i="21"/>
  <c r="C14" i="21"/>
  <c r="B14" i="21"/>
  <c r="A14" i="21"/>
  <c r="M13" i="21"/>
  <c r="L13" i="21"/>
  <c r="K13" i="21"/>
  <c r="J13" i="21"/>
  <c r="I13" i="21"/>
  <c r="H13" i="21"/>
  <c r="G13" i="21"/>
  <c r="F13" i="21"/>
  <c r="C8" i="9" s="1"/>
  <c r="E13" i="21"/>
  <c r="D13" i="21"/>
  <c r="C13" i="21"/>
  <c r="B13" i="21"/>
  <c r="A13" i="21"/>
  <c r="M12" i="21"/>
  <c r="L12" i="21"/>
  <c r="K12" i="21"/>
  <c r="J12" i="21"/>
  <c r="I12" i="21"/>
  <c r="H12" i="21"/>
  <c r="G12" i="21"/>
  <c r="F12" i="21"/>
  <c r="C7" i="9" s="1"/>
  <c r="E12" i="21"/>
  <c r="D12" i="21"/>
  <c r="C12" i="21"/>
  <c r="B12" i="21"/>
  <c r="A12" i="21"/>
  <c r="M11" i="21"/>
  <c r="L11" i="21"/>
  <c r="K11" i="21"/>
  <c r="J11" i="21"/>
  <c r="I11" i="21"/>
  <c r="H11" i="21"/>
  <c r="G11" i="21"/>
  <c r="F11" i="21"/>
  <c r="C6" i="9" s="1"/>
  <c r="E11" i="21"/>
  <c r="D11" i="21"/>
  <c r="C11" i="21"/>
  <c r="B11" i="21"/>
  <c r="A11" i="21"/>
  <c r="M10" i="21"/>
  <c r="L10" i="21"/>
  <c r="K10" i="21"/>
  <c r="J10" i="21"/>
  <c r="I10" i="21"/>
  <c r="H10" i="21"/>
  <c r="G10" i="21"/>
  <c r="F10" i="21"/>
  <c r="C5" i="9" s="1"/>
  <c r="E10" i="21"/>
  <c r="D10" i="21"/>
  <c r="C10" i="21"/>
  <c r="B10" i="21"/>
  <c r="A10" i="21"/>
  <c r="M9" i="21"/>
  <c r="L9" i="21"/>
  <c r="K9" i="21"/>
  <c r="J9" i="21"/>
  <c r="I9" i="21"/>
  <c r="H9" i="21"/>
  <c r="G9" i="21"/>
  <c r="E9" i="21"/>
  <c r="D9" i="21"/>
  <c r="C9" i="21"/>
  <c r="B9" i="21"/>
  <c r="A9" i="21"/>
  <c r="M8" i="21"/>
  <c r="L8" i="21"/>
  <c r="K8" i="21"/>
  <c r="J8" i="21"/>
  <c r="I8" i="21"/>
  <c r="H8" i="21"/>
  <c r="G8" i="21"/>
  <c r="F8" i="21"/>
  <c r="D14" i="14" s="1"/>
  <c r="E8" i="21"/>
  <c r="D8" i="21"/>
  <c r="C8" i="21"/>
  <c r="B8" i="21"/>
  <c r="A8" i="21"/>
  <c r="M7" i="21"/>
  <c r="L7" i="21"/>
  <c r="K7" i="21"/>
  <c r="J7" i="21"/>
  <c r="I7" i="21"/>
  <c r="H7" i="21"/>
  <c r="G7" i="21"/>
  <c r="E7" i="21"/>
  <c r="D7" i="21"/>
  <c r="C7" i="21"/>
  <c r="B7" i="21"/>
  <c r="A7" i="21"/>
  <c r="M6" i="21"/>
  <c r="L6" i="21"/>
  <c r="K6" i="21"/>
  <c r="J6" i="21"/>
  <c r="I6" i="21"/>
  <c r="H6" i="21"/>
  <c r="G6" i="21"/>
  <c r="F6" i="21"/>
  <c r="D11" i="14" s="1"/>
  <c r="E6" i="21"/>
  <c r="D6" i="21"/>
  <c r="C6" i="21"/>
  <c r="B6" i="21"/>
  <c r="A6" i="21"/>
  <c r="M5" i="21"/>
  <c r="L5" i="21"/>
  <c r="K5" i="21"/>
  <c r="J5" i="21"/>
  <c r="I5" i="21"/>
  <c r="H5" i="21"/>
  <c r="G5" i="21"/>
  <c r="F5" i="21"/>
  <c r="D10" i="14" s="1"/>
  <c r="E5" i="21"/>
  <c r="D5" i="21"/>
  <c r="C5" i="21"/>
  <c r="B5" i="21"/>
  <c r="A5" i="21"/>
  <c r="M4" i="21"/>
  <c r="L4" i="21"/>
  <c r="K4" i="21"/>
  <c r="J4" i="21"/>
  <c r="I4" i="21"/>
  <c r="H4" i="21"/>
  <c r="G4" i="21"/>
  <c r="F4" i="21"/>
  <c r="D8" i="14" s="1"/>
  <c r="E4" i="21"/>
  <c r="D4" i="21"/>
  <c r="C4" i="21"/>
  <c r="B4" i="21"/>
  <c r="A4" i="21"/>
  <c r="M3" i="21"/>
  <c r="L3" i="21"/>
  <c r="K3" i="21"/>
  <c r="J3" i="21"/>
  <c r="I3" i="21"/>
  <c r="H3" i="21"/>
  <c r="G3" i="21"/>
  <c r="F3" i="21"/>
  <c r="D7" i="14" s="1"/>
  <c r="E3" i="21"/>
  <c r="D3" i="21"/>
  <c r="C3" i="21"/>
  <c r="B3" i="21"/>
  <c r="A3" i="21"/>
  <c r="M2" i="21"/>
  <c r="L2" i="21"/>
  <c r="K2" i="21"/>
  <c r="J2" i="21"/>
  <c r="I2" i="21"/>
  <c r="H2" i="21"/>
  <c r="G2" i="21"/>
  <c r="F2" i="21"/>
  <c r="D5" i="14" s="1" a="1"/>
  <c r="D5" i="14" s="1"/>
  <c r="E2" i="21"/>
  <c r="D2" i="21"/>
  <c r="C2" i="21"/>
  <c r="B2" i="21"/>
  <c r="A2" i="21"/>
  <c r="M1" i="21"/>
  <c r="L1" i="21"/>
  <c r="K1" i="21"/>
  <c r="J1" i="21"/>
  <c r="I1" i="21"/>
  <c r="H1" i="21"/>
  <c r="G1" i="21"/>
  <c r="F1" i="21"/>
  <c r="E1" i="21"/>
  <c r="D1" i="21"/>
  <c r="C1" i="21"/>
  <c r="B1" i="21"/>
  <c r="A1" i="21"/>
  <c r="A2" i="2" a="1"/>
  <c r="A2" i="2" s="1"/>
  <c r="C24" i="1"/>
  <c r="C23" i="1"/>
  <c r="C22" i="1"/>
  <c r="C21" i="1"/>
  <c r="C20" i="1"/>
  <c r="C18" i="1"/>
  <c r="C16" i="1"/>
  <c r="C15" i="1"/>
  <c r="C13" i="1"/>
  <c r="C11" i="1"/>
  <c r="C9" i="1"/>
  <c r="C6" i="1"/>
  <c r="C5" i="1"/>
  <c r="A1" i="17" s="1"/>
  <c r="C4" i="1"/>
  <c r="C3" i="1"/>
  <c r="F9" i="9" l="1"/>
  <c r="F5" i="9"/>
  <c r="D12" i="14"/>
  <c r="F7" i="9"/>
  <c r="F6" i="9"/>
  <c r="A1" i="9"/>
  <c r="A1" i="15"/>
  <c r="F8" i="9"/>
  <c r="A1" i="18"/>
  <c r="A1" i="14"/>
  <c r="F15" i="21" l="1"/>
  <c r="C5" i="16" s="1"/>
  <c r="F10" i="9"/>
  <c r="D4" i="16" s="1"/>
  <c r="B4" i="17"/>
  <c r="D5" i="15"/>
  <c r="H5" i="9"/>
  <c r="A13" i="9"/>
  <c r="D5" i="16"/>
  <c r="D6" i="15"/>
  <c r="D8" i="16"/>
  <c r="H8" i="9"/>
  <c r="F18" i="21"/>
  <c r="C8" i="16" s="1"/>
  <c r="F19" i="21"/>
  <c r="C9" i="16" s="1"/>
  <c r="D9" i="16"/>
  <c r="G9" i="16" s="1"/>
  <c r="H9" i="9"/>
  <c r="D7" i="16"/>
  <c r="F17" i="21"/>
  <c r="C7" i="16" s="1"/>
  <c r="H7" i="9"/>
  <c r="D2" i="16"/>
  <c r="F7" i="21"/>
  <c r="C2" i="16" s="1"/>
  <c r="B6" i="17"/>
  <c r="D6" i="16"/>
  <c r="D12" i="15"/>
  <c r="H6" i="9"/>
  <c r="B5" i="17"/>
  <c r="D11" i="15"/>
  <c r="F16" i="21"/>
  <c r="C6" i="16" s="1"/>
  <c r="D15" i="14"/>
  <c r="G7" i="16" l="1"/>
  <c r="F7" i="16"/>
  <c r="G5" i="16"/>
  <c r="F5" i="16"/>
  <c r="G6" i="16"/>
  <c r="F6" i="16"/>
  <c r="H10" i="9"/>
  <c r="A25" i="15"/>
  <c r="D3" i="16"/>
  <c r="F9" i="21"/>
  <c r="H4" i="17"/>
  <c r="E4" i="17"/>
  <c r="F30" i="21"/>
  <c r="C10" i="16" s="1"/>
  <c r="B7" i="17"/>
  <c r="D10" i="16"/>
  <c r="B4" i="18"/>
  <c r="B6" i="18"/>
  <c r="D12" i="16"/>
  <c r="H6" i="17"/>
  <c r="E6" i="17"/>
  <c r="F32" i="21"/>
  <c r="C12" i="16" s="1"/>
  <c r="G2" i="16"/>
  <c r="F2" i="16"/>
  <c r="D11" i="16"/>
  <c r="H5" i="17"/>
  <c r="E5" i="17"/>
  <c r="B5" i="18"/>
  <c r="F31" i="21"/>
  <c r="C11" i="16" s="1"/>
  <c r="G8" i="16"/>
  <c r="F8" i="16"/>
  <c r="G10" i="16" l="1"/>
  <c r="F10" i="16"/>
  <c r="H4" i="18"/>
  <c r="D14" i="16"/>
  <c r="B7" i="18"/>
  <c r="E4" i="18"/>
  <c r="F34" i="21"/>
  <c r="F33" i="21"/>
  <c r="C13" i="16" s="1"/>
  <c r="E7" i="17"/>
  <c r="D13" i="16"/>
  <c r="F35" i="21"/>
  <c r="H5" i="18"/>
  <c r="E5" i="18"/>
  <c r="D15" i="16"/>
  <c r="C3" i="16"/>
  <c r="C4" i="16"/>
  <c r="G4" i="16" s="1"/>
  <c r="B8" i="18"/>
  <c r="G12" i="16"/>
  <c r="F12" i="16"/>
  <c r="G11" i="16"/>
  <c r="F11" i="16"/>
  <c r="D16" i="16"/>
  <c r="F36" i="21"/>
  <c r="H6" i="18"/>
  <c r="E6" i="18"/>
  <c r="G3" i="16"/>
  <c r="F3" i="16"/>
  <c r="F16" i="16" l="1"/>
  <c r="F38" i="21"/>
  <c r="C14" i="16"/>
  <c r="D17" i="16"/>
  <c r="F37" i="21"/>
  <c r="C17" i="16" s="1"/>
  <c r="G14" i="16"/>
  <c r="F14" i="16"/>
  <c r="C16" i="16"/>
  <c r="G16" i="16" s="1"/>
  <c r="F40" i="21"/>
  <c r="G15" i="16"/>
  <c r="F15" i="16"/>
  <c r="C15" i="16"/>
  <c r="F39" i="21"/>
  <c r="G13" i="16"/>
  <c r="F13" i="16"/>
  <c r="E7" i="18"/>
  <c r="G17" i="16" l="1"/>
  <c r="F17" i="16"/>
  <c r="F41" i="21"/>
  <c r="C8" i="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<sst xmlns="http://schemas.openxmlformats.org/spreadsheetml/2006/main" count="4486" uniqueCount="2317">
  <si>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</si>
  <si>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</si>
  <si>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</si>
  <si>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</si>
  <si>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</si>
  <si>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</si>
  <si>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</si>
  <si>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</si>
  <si>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</si>
  <si>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</si>
  <si>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</si>
  <si>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</si>
  <si>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</si>
  <si>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</si>
  <si>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</si>
  <si>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</si>
  <si>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</si>
  <si>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</si>
  <si>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</si>
  <si>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</si>
  <si>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</si>
  <si>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</si>
  <si>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</si>
  <si>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</si>
  <si>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</si>
  <si>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</si>
  <si>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</si>
  <si>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</si>
  <si>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</si>
  <si>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</si>
  <si>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</si>
  <si>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</si>
  <si>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</si>
  <si>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</si>
  <si>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</si>
  <si>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</si>
  <si>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</si>
  <si>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</si>
  <si>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</si>
  <si>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</si>
  <si>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</si>
  <si>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</si>
  <si>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</si>
  <si>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</si>
  <si>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</si>
  <si>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</si>
  <si>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</si>
  <si>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</si>
  <si>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</si>
  <si>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</si>
  <si>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</si>
  <si>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</si>
  <si>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</si>
  <si>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</si>
  <si>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</si>
  <si>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</si>
  <si>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</si>
  <si>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</si>
  <si>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</si>
  <si>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</si>
  <si>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</si>
  <si>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</si>
  <si>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</si>
  <si>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</si>
  <si>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</si>
  <si>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</si>
  <si>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</si>
  <si>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</si>
  <si>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</si>
  <si>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</si>
  <si>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</si>
  <si>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</si>
  <si>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</si>
  <si>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</si>
  <si>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</si>
  <si>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</si>
  <si>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</si>
  <si>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</si>
  <si>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</si>
  <si>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</si>
  <si>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</si>
  <si>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</si>
  <si>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</si>
  <si>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</si>
  <si>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</si>
  <si>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</si>
  <si>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</si>
  <si>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</si>
  <si>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</si>
  <si>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</si>
  <si>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</si>
  <si>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</si>
  <si>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</si>
  <si>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</si>
  <si>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</si>
  <si>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</si>
  <si>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</si>
  <si>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</si>
  <si>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</si>
  <si>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</si>
  <si>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</si>
  <si>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</si>
  <si>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</si>
  <si>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</si>
  <si>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</si>
  <si>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</si>
  <si>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</si>
  <si>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</si>
  <si>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</si>
  <si>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</si>
  <si>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</si>
  <si>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</si>
  <si>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</si>
  <si>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</si>
  <si>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</si>
  <si>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</si>
  <si>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</si>
  <si>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</si>
  <si>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</si>
  <si>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</si>
  <si>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</si>
  <si>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</si>
  <si>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</si>
  <si>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</si>
  <si>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</si>
  <si>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</si>
  <si>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</si>
  <si>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</si>
  <si>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</si>
  <si>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</si>
  <si>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</si>
  <si>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</si>
  <si>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</si>
  <si>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</si>
  <si>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</si>
  <si>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</si>
  <si>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</si>
  <si>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</si>
  <si>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</si>
  <si>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</si>
  <si>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</si>
  <si>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</si>
  <si>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</si>
  <si>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</si>
  <si>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</si>
  <si>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</si>
  <si>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</si>
  <si>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</si>
  <si>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</si>
  <si>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</si>
  <si>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</si>
  <si>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</si>
  <si>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</si>
  <si>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</si>
  <si>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</si>
  <si>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</si>
  <si>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</si>
  <si>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</si>
  <si>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</si>
  <si>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</si>
  <si>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</si>
  <si>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</si>
  <si>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</si>
  <si>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</si>
  <si>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</si>
  <si>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</si>
  <si>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</si>
  <si>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</si>
  <si>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</si>
  <si>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</si>
  <si>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</si>
  <si>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</si>
  <si>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</si>
  <si>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</si>
  <si>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</si>
  <si>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</si>
  <si>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</si>
  <si>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</si>
  <si>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</si>
  <si>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</si>
  <si>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</si>
  <si>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</si>
  <si>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</si>
  <si>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</si>
  <si>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</si>
  <si>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</si>
  <si>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</si>
  <si>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</si>
  <si>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</si>
  <si>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</si>
  <si>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</si>
  <si>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</si>
  <si>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</si>
  <si>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</si>
  <si>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</si>
  <si>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</si>
  <si>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</si>
  <si>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</si>
  <si>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</si>
  <si>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</si>
  <si>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</si>
  <si>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</si>
  <si>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</si>
  <si>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</si>
  <si>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</si>
  <si>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</si>
  <si>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</si>
  <si>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</si>
  <si>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</si>
  <si>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</si>
  <si>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</si>
  <si>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</si>
  <si>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</si>
  <si>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</si>
  <si>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</si>
  <si>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</si>
  <si>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</si>
  <si>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</si>
  <si>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</si>
  <si>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</si>
  <si>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</si>
  <si>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</si>
  <si>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</si>
  <si>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</si>
  <si>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</si>
  <si>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</si>
  <si>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</si>
  <si>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</si>
  <si>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</si>
  <si>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</si>
  <si>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</si>
  <si>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</si>
  <si>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</si>
  <si>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</si>
  <si>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</si>
  <si>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</si>
  <si>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</si>
  <si>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</si>
  <si>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</si>
  <si>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</si>
  <si>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</si>
  <si>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</si>
  <si>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</si>
  <si>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</si>
  <si>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</si>
  <si>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</si>
  <si>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</si>
  <si>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</si>
  <si>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</si>
  <si>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</si>
  <si>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</si>
  <si>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</si>
  <si>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</si>
  <si>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</si>
  <si>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</si>
  <si>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</si>
  <si>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</si>
  <si>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</si>
  <si>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</si>
  <si>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</si>
  <si>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</si>
  <si>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</si>
  <si>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</si>
  <si>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</si>
  <si>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</si>
  <si>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</si>
  <si>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</si>
  <si>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</si>
  <si>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</si>
  <si>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</si>
  <si>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</si>
  <si>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</si>
  <si>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</si>
  <si>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</si>
  <si>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</si>
  <si>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</si>
  <si>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</si>
  <si>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</si>
  <si>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</si>
  <si>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</si>
  <si>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</si>
  <si>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</si>
  <si>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</si>
  <si>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</si>
  <si>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</si>
  <si>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</si>
  <si>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</si>
  <si>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</si>
  <si>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</si>
  <si>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</si>
  <si>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</si>
  <si>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</si>
  <si>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</si>
  <si>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</si>
  <si>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</si>
  <si>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</si>
  <si>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</si>
  <si>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</si>
  <si>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</si>
  <si>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</si>
  <si>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</si>
  <si>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</si>
  <si>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</si>
  <si>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</si>
  <si>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</si>
  <si>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</si>
  <si>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</si>
  <si>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</si>
  <si>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</si>
  <si>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</si>
  <si>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</si>
  <si>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</si>
  <si>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</si>
  <si>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</si>
  <si>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</si>
  <si>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</si>
  <si>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</si>
  <si>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</si>
  <si>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</si>
  <si>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</si>
  <si>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</si>
  <si>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</si>
  <si>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</si>
  <si>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</si>
  <si>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</si>
  <si>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</si>
  <si>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</si>
  <si>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</si>
  <si>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</si>
  <si>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</si>
  <si>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</si>
  <si>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</si>
  <si>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</si>
  <si>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</si>
  <si>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</si>
  <si>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</si>
  <si>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</si>
  <si>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</si>
  <si>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</si>
  <si>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</si>
  <si>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</si>
  <si>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</si>
  <si>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</si>
  <si>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</si>
  <si>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</si>
  <si>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</si>
  <si>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</si>
  <si>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</si>
  <si>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</si>
  <si>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</si>
  <si>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</si>
  <si>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</si>
  <si>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</si>
  <si>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</si>
  <si>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</si>
  <si>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</si>
  <si>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</si>
  <si>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</si>
  <si>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</si>
  <si>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</si>
  <si>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</si>
  <si>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</si>
  <si>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</si>
  <si>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</si>
  <si>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</si>
  <si>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</si>
  <si>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</si>
  <si>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</si>
  <si>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</si>
  <si>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</si>
  <si>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</si>
  <si>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</si>
  <si>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</si>
  <si>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</si>
  <si>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</si>
  <si>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</si>
  <si>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</si>
  <si>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</si>
  <si>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</si>
  <si>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</si>
  <si>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</si>
  <si>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</si>
  <si>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</si>
  <si>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</si>
  <si>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</si>
  <si>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</si>
  <si>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</si>
  <si>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</si>
  <si>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</si>
  <si>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</si>
  <si>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</si>
  <si>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</si>
  <si>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</si>
  <si>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</si>
  <si>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</si>
  <si>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</si>
  <si>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</si>
  <si>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</si>
  <si>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</si>
  <si>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</si>
  <si>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</si>
  <si>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</si>
  <si>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</si>
  <si>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</si>
  <si>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</si>
  <si>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</si>
  <si>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</si>
  <si>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</si>
  <si>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</si>
  <si>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</si>
  <si>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</si>
  <si>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</si>
  <si>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</si>
  <si>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</si>
  <si>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</si>
  <si>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</si>
  <si>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</si>
  <si>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</si>
  <si>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</si>
  <si>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</si>
  <si>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</si>
  <si>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</si>
  <si>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</si>
  <si>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</si>
  <si>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</si>
  <si>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</si>
  <si>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</si>
  <si>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</si>
  <si>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</si>
  <si>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</si>
  <si>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</si>
  <si>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</si>
  <si>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</si>
  <si>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</si>
  <si>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</si>
  <si>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</si>
  <si>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</si>
  <si>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</si>
  <si>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</si>
  <si>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</si>
  <si>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</si>
  <si>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</si>
  <si>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</si>
  <si>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</si>
  <si>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</si>
  <si>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</si>
  <si>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</si>
  <si>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</si>
  <si>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</si>
  <si>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</si>
  <si>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</si>
  <si>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</si>
  <si>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</si>
  <si>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</si>
  <si>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</si>
  <si>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</si>
  <si>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</si>
  <si>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</si>
  <si>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</si>
  <si>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</si>
  <si>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</si>
  <si>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</si>
  <si>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</si>
  <si>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</si>
  <si>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</si>
  <si>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</si>
  <si>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</si>
  <si>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</si>
  <si>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</si>
  <si>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</si>
  <si>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</si>
  <si>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</si>
  <si>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</si>
  <si>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</si>
  <si>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</si>
  <si>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</si>
  <si>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</si>
  <si>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</si>
  <si>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</si>
  <si>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</si>
  <si>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</si>
  <si>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</si>
  <si>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</si>
  <si>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</si>
  <si>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</si>
  <si>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</si>
  <si>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</si>
  <si>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</si>
  <si>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</si>
  <si>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</si>
  <si>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</si>
  <si>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</si>
  <si>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</si>
  <si>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</si>
  <si>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</si>
  <si>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</si>
  <si>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</si>
  <si>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</si>
  <si>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</si>
  <si>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</si>
  <si>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</si>
  <si>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</si>
  <si>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</si>
  <si>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</si>
  <si>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</si>
  <si>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</si>
  <si>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</si>
  <si>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</si>
  <si>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</si>
  <si>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</si>
  <si>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</si>
  <si>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</si>
  <si>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</si>
  <si>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</si>
  <si>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</si>
  <si>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</si>
  <si>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</si>
  <si>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</si>
  <si>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</si>
  <si>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</si>
  <si>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</si>
  <si>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</si>
  <si>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</si>
  <si>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</si>
  <si>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</si>
  <si>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</si>
  <si>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</si>
  <si>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</si>
  <si>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</si>
  <si>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</si>
  <si>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</si>
  <si>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</si>
  <si>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</si>
  <si>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</si>
  <si>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</si>
  <si>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</si>
  <si>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</si>
  <si>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</si>
  <si>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</si>
  <si>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</si>
  <si>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</si>
  <si>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</si>
  <si>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</si>
  <si>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</si>
  <si>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</si>
  <si>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</si>
  <si>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</si>
  <si>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</si>
  <si>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</si>
  <si>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</si>
  <si>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</si>
  <si>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</si>
  <si>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</si>
  <si>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</si>
  <si>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</si>
  <si>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</si>
  <si>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</si>
  <si>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</si>
  <si>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</si>
  <si>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</si>
  <si>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</si>
  <si>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</si>
  <si>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</si>
  <si>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</si>
  <si>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</si>
  <si>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</si>
  <si>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</si>
  <si>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</si>
  <si>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</si>
  <si>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</si>
  <si>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</si>
  <si>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</si>
  <si>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</si>
  <si>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</si>
  <si>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</si>
  <si>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</si>
  <si>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</si>
  <si>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</si>
  <si>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</si>
  <si>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</si>
  <si>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</si>
  <si>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</si>
  <si>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</si>
  <si>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</si>
  <si>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</si>
  <si>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</si>
  <si>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</si>
  <si>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</si>
  <si>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</si>
  <si>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</si>
  <si>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</si>
  <si>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</si>
  <si>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</si>
  <si>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</si>
  <si>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</si>
  <si>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</si>
  <si>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</si>
  <si>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</si>
  <si>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</si>
  <si>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</si>
  <si>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</si>
  <si>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</si>
  <si>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</si>
  <si>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</si>
  <si>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</si>
  <si>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</si>
  <si>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</si>
  <si>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</si>
  <si>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</si>
  <si>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</si>
  <si>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</si>
  <si>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</si>
  <si>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</si>
  <si>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</si>
  <si>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</si>
  <si>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</si>
  <si>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</si>
  <si>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</si>
  <si>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</si>
  <si>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</si>
  <si>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</si>
  <si>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</si>
  <si>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</si>
  <si>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</si>
  <si>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</si>
  <si>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</si>
  <si>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</si>
  <si>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</si>
  <si>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</si>
  <si>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</si>
  <si>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</si>
  <si>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</si>
  <si>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</si>
  <si>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</si>
  <si>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</si>
  <si>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</si>
  <si>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</si>
  <si>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</si>
  <si>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</si>
  <si>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</si>
  <si>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</si>
  <si>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</si>
  <si>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</si>
  <si>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</si>
  <si>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</si>
  <si>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</si>
  <si>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</si>
  <si>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</si>
  <si>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</si>
  <si>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</si>
  <si>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</si>
  <si>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</si>
  <si>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</si>
  <si>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</si>
  <si>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</si>
  <si>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</si>
  <si>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</si>
  <si>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</si>
  <si>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</si>
  <si>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</si>
  <si>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</si>
  <si>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</si>
  <si>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</si>
  <si>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</si>
  <si>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</si>
  <si>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</si>
  <si>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</si>
  <si>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</si>
  <si>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</si>
  <si>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</si>
  <si>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</si>
  <si>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</si>
  <si>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</si>
  <si>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</si>
  <si>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</si>
  <si>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</si>
  <si>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</si>
  <si>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</si>
  <si>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</si>
  <si>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</si>
  <si>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</si>
  <si>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</si>
  <si>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</si>
  <si>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</si>
  <si>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</si>
  <si>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</si>
  <si>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</si>
  <si>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</si>
  <si>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</si>
  <si>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</si>
  <si>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</si>
  <si>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</si>
  <si>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</si>
  <si>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</si>
  <si>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</si>
  <si>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</si>
  <si>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</si>
  <si>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</si>
  <si>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</si>
  <si>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</si>
  <si>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</si>
  <si>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</si>
  <si>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</si>
  <si>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</si>
  <si>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</si>
  <si>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</si>
  <si>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</si>
  <si>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</si>
  <si>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</si>
  <si>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</si>
  <si>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</si>
  <si>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</si>
  <si>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</si>
  <si>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</si>
  <si>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</si>
  <si>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</si>
  <si>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</si>
  <si>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</si>
  <si>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</si>
  <si>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</si>
  <si>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</si>
  <si>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</si>
  <si>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</si>
  <si>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</si>
  <si>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</si>
  <si>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</si>
  <si>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</si>
  <si>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</si>
  <si>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</si>
  <si>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</si>
  <si>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</si>
  <si>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</si>
  <si>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</si>
  <si>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</si>
  <si>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</si>
  <si>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</si>
  <si>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</si>
  <si>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</si>
  <si>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</si>
  <si>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</si>
  <si>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</si>
  <si>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</si>
  <si>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</si>
  <si>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</si>
  <si>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</si>
  <si>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</si>
  <si>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</si>
  <si>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</si>
  <si>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</si>
  <si>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</si>
  <si>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</si>
  <si>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</si>
  <si>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</si>
  <si>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</si>
  <si>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</si>
  <si>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</si>
  <si>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</si>
  <si>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</si>
  <si>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</si>
  <si>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</si>
  <si>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</si>
  <si>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</si>
  <si>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</si>
  <si>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</si>
  <si>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</si>
  <si>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</si>
  <si>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</si>
  <si>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</si>
  <si>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</si>
  <si>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</si>
  <si>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</si>
  <si>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</si>
  <si>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</si>
  <si>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</si>
  <si>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</si>
  <si>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</si>
  <si>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</si>
  <si>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</si>
  <si>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</si>
  <si>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</si>
  <si>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</si>
  <si>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</si>
  <si>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</si>
  <si>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</si>
  <si>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</si>
  <si>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</si>
  <si>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</si>
  <si>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</si>
  <si>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</si>
  <si>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</si>
  <si>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</si>
  <si>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</si>
  <si>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</si>
  <si>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</si>
  <si>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</si>
  <si>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</si>
  <si>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</si>
  <si>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</si>
  <si>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</si>
  <si>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</si>
  <si>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</si>
  <si>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</si>
  <si>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</si>
  <si>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</si>
  <si>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</si>
  <si>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</si>
  <si>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</si>
  <si>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</si>
  <si>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</si>
  <si>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</si>
  <si>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</si>
  <si>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</si>
  <si>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</si>
  <si>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</si>
  <si>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</si>
  <si>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</si>
  <si>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</si>
  <si>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</si>
  <si>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</si>
  <si>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</si>
  <si>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</si>
  <si>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</si>
  <si>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</si>
  <si>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</si>
  <si>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</si>
  <si>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</si>
  <si>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</si>
  <si>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</si>
  <si>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</si>
  <si>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</si>
  <si>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</si>
  <si>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</si>
  <si>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</si>
  <si>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</si>
  <si>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</si>
  <si>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</si>
  <si>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</si>
  <si>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</si>
  <si>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</si>
  <si>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</si>
  <si>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</si>
  <si>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</si>
  <si>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</si>
  <si>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</si>
  <si>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</si>
  <si>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</si>
  <si>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</si>
  <si>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</si>
  <si>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</si>
  <si>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</si>
  <si>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</si>
  <si>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</si>
  <si>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</si>
  <si>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</si>
  <si>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</si>
  <si>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</si>
  <si>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</si>
  <si>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</si>
  <si>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</si>
  <si>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</si>
  <si>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</si>
  <si>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</si>
  <si>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</si>
  <si>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</si>
  <si>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</si>
  <si>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</si>
  <si>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</si>
  <si>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</si>
  <si>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</si>
  <si>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</si>
  <si>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</si>
  <si>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</si>
  <si>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</si>
  <si>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</si>
  <si>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</si>
  <si>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</si>
  <si>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</si>
  <si>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</si>
  <si>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</si>
  <si>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</si>
  <si>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</si>
  <si>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</si>
  <si>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</si>
  <si>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</si>
  <si>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</si>
  <si>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</si>
  <si>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</si>
  <si>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</si>
  <si>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</si>
  <si>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</si>
  <si>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</si>
  <si>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</si>
  <si>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</si>
  <si>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</si>
  <si>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</si>
  <si>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</si>
  <si>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</si>
  <si>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</si>
  <si>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</si>
  <si>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</si>
  <si>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</si>
  <si>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</si>
  <si>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</si>
  <si>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</si>
  <si>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</si>
  <si>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</si>
  <si>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</si>
  <si>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</si>
  <si>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</si>
  <si>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</si>
  <si>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</si>
  <si>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</si>
  <si>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</si>
  <si>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</si>
  <si>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</si>
  <si>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</si>
  <si>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</si>
  <si>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</si>
  <si>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</si>
  <si>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</si>
  <si>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</si>
  <si>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</si>
  <si>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</si>
  <si>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</si>
  <si>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</si>
  <si>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</si>
  <si>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</si>
  <si>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</si>
  <si>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</si>
  <si>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</si>
  <si>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</si>
  <si>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</si>
  <si>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</si>
  <si>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</si>
  <si>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</si>
  <si>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</si>
  <si>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</si>
  <si>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</si>
  <si>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</si>
  <si>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</si>
  <si>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</si>
  <si>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</si>
  <si>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</si>
  <si>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</si>
  <si>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</si>
  <si>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</si>
  <si>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</si>
  <si>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</si>
  <si>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</si>
  <si>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</si>
  <si>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</si>
  <si>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</si>
  <si>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</si>
  <si>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</si>
  <si>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</si>
  <si>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</si>
  <si>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</si>
  <si>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</si>
  <si>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</si>
  <si>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</si>
  <si>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</si>
  <si>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</si>
  <si>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</si>
  <si>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</si>
  <si>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</si>
  <si>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</si>
  <si>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</si>
  <si>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</si>
  <si>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</si>
  <si>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</si>
  <si>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</si>
  <si>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</si>
  <si>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</si>
  <si>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</si>
  <si>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</si>
  <si>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</si>
  <si>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</si>
  <si>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</si>
  <si>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</si>
  <si>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</si>
  <si>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</si>
  <si>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</si>
  <si>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</si>
  <si>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</si>
  <si>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</si>
  <si>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</si>
  <si>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</si>
  <si>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</si>
  <si>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</si>
  <si>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</si>
  <si>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</si>
  <si>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</si>
  <si>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</si>
  <si>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</si>
  <si>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</si>
  <si>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</si>
  <si>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</si>
  <si>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</si>
  <si>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</si>
  <si>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</si>
  <si>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</si>
  <si>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</si>
  <si>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</si>
  <si>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</si>
  <si>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</si>
  <si>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</si>
  <si>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</si>
  <si>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</si>
  <si>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</si>
  <si>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</si>
  <si>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</si>
  <si>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</si>
  <si>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</si>
  <si>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</si>
  <si>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</si>
  <si>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</si>
  <si>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</si>
  <si>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</si>
  <si>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</si>
  <si>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</si>
  <si>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</si>
  <si>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</si>
  <si>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</si>
  <si>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</si>
  <si>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</si>
  <si>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</si>
  <si>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</si>
  <si>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</si>
  <si>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</si>
  <si>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</si>
  <si>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</si>
  <si>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</si>
  <si>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</si>
  <si>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</si>
  <si>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</si>
  <si>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</si>
  <si>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</si>
  <si>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</si>
  <si>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</si>
  <si>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</si>
  <si>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</si>
  <si>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</si>
  <si>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</si>
  <si>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</si>
  <si>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</si>
  <si>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</si>
  <si>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</si>
  <si>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</si>
  <si>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</si>
  <si>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</si>
  <si>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</si>
  <si>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</si>
  <si>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</si>
  <si>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</si>
  <si>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</si>
  <si>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</si>
  <si>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</si>
  <si>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</si>
  <si>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</si>
  <si>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</si>
  <si>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</si>
  <si>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</si>
  <si>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</si>
  <si>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</si>
  <si>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</si>
  <si>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</si>
  <si>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</si>
  <si>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</si>
  <si>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</si>
  <si>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</si>
  <si>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</si>
  <si>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</si>
  <si>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</si>
  <si>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</si>
  <si>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</si>
  <si>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</si>
  <si>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</si>
  <si>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</si>
  <si>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</si>
  <si>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</si>
  <si>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</si>
  <si>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</si>
  <si>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</si>
  <si>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</si>
  <si>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</si>
  <si>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</si>
  <si>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</si>
  <si>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</si>
  <si>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</si>
  <si>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</si>
  <si>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</si>
  <si>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</si>
  <si>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</si>
  <si>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</si>
  <si>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</si>
  <si>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</si>
  <si>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</si>
  <si>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</si>
  <si>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</si>
  <si>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</si>
  <si>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</si>
  <si>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</si>
  <si>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</si>
  <si>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</si>
  <si>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</si>
  <si>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</si>
  <si>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</si>
  <si>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</si>
  <si>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</si>
  <si>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</si>
  <si>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</si>
  <si>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</si>
  <si>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</si>
  <si>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</si>
  <si>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</si>
  <si>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</si>
  <si>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</si>
  <si>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</si>
  <si>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</si>
  <si>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</si>
  <si>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</si>
  <si>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</si>
  <si>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</si>
  <si>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</si>
  <si>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</si>
  <si>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</si>
  <si>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</si>
  <si>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</si>
  <si>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</si>
  <si>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</si>
  <si>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</si>
  <si>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</si>
  <si>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</si>
  <si>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</si>
  <si>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</si>
  <si>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</si>
  <si>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</si>
  <si>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</si>
  <si>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</si>
  <si>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</si>
  <si>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</si>
  <si>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</si>
  <si>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</si>
  <si>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</si>
  <si>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</si>
  <si>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</si>
  <si>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</si>
  <si>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</si>
  <si>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</si>
  <si>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</si>
  <si>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</si>
  <si>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</si>
  <si>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</si>
  <si>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</si>
  <si>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</si>
  <si>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</si>
  <si>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</si>
  <si>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</si>
  <si>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</si>
  <si>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</si>
  <si>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</si>
  <si>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</si>
  <si>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</si>
  <si>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</si>
  <si>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</si>
  <si>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</si>
  <si>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</si>
  <si>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</si>
  <si>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</si>
  <si>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</si>
  <si>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</si>
  <si>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</si>
  <si>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</si>
  <si>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</si>
  <si>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</si>
  <si>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</si>
  <si>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</si>
  <si>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</si>
  <si>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</si>
  <si>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</si>
  <si>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</si>
  <si>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</si>
  <si>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</si>
  <si>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</si>
  <si>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</si>
  <si>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</si>
  <si>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</si>
  <si>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</si>
  <si>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</si>
  <si>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</si>
  <si>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</si>
  <si>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</si>
  <si>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</si>
  <si>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</si>
  <si>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</si>
  <si>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</si>
  <si>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</si>
  <si>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</si>
  <si>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</si>
  <si>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</si>
  <si>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</si>
  <si>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</si>
  <si>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</si>
  <si>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</si>
  <si>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</si>
  <si>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</si>
  <si>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</si>
  <si>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</si>
  <si>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</si>
  <si>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</si>
  <si>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</si>
  <si>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</si>
  <si>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</si>
  <si>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</si>
  <si>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</si>
  <si>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</si>
  <si>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</si>
  <si>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</si>
  <si>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</si>
  <si>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</si>
  <si>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</si>
  <si>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</si>
  <si>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</si>
  <si>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</si>
  <si>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</si>
  <si>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</si>
  <si>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</si>
  <si>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</si>
  <si>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</si>
  <si>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</si>
  <si>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</si>
  <si>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</si>
  <si>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</si>
  <si>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</si>
  <si>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</si>
  <si>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</si>
  <si>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</si>
  <si>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</si>
  <si>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</si>
  <si>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</si>
  <si>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</si>
  <si>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</si>
  <si>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</si>
  <si>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</si>
  <si>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</si>
  <si>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</si>
  <si>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</si>
  <si>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</si>
  <si>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</si>
  <si>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</si>
  <si>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</si>
  <si>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</si>
  <si>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</si>
  <si>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</si>
  <si>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</si>
  <si>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</si>
  <si>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</si>
  <si>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</si>
  <si>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</si>
  <si>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</si>
  <si>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</si>
  <si>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</si>
  <si>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</si>
  <si>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</si>
  <si>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</si>
  <si>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</si>
  <si>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</si>
  <si>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</si>
  <si>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</si>
  <si>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</si>
  <si>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</si>
  <si>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</si>
  <si>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</si>
  <si>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</si>
  <si>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</si>
  <si>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</si>
  <si>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</si>
  <si>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</si>
  <si>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</si>
  <si>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</si>
  <si>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</si>
  <si>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</si>
  <si>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</si>
  <si>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</si>
  <si>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</si>
  <si>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</si>
  <si>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</si>
  <si>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</si>
  <si>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</si>
  <si>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</si>
  <si>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</si>
  <si>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</si>
  <si>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</si>
  <si>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</si>
  <si>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</si>
  <si>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</si>
  <si>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</si>
  <si>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</si>
  <si>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</si>
  <si>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</si>
  <si>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</si>
  <si>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</si>
  <si>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</si>
  <si>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</si>
  <si>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</si>
  <si>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</si>
  <si>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</si>
  <si>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</si>
  <si>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</si>
  <si>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</si>
  <si>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</si>
  <si>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</si>
  <si>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</si>
  <si>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</si>
  <si>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</si>
  <si>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</si>
  <si>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</si>
  <si>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</si>
  <si>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</si>
  <si>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</si>
  <si>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</si>
  <si>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</si>
  <si>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</si>
  <si>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</si>
  <si>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</si>
  <si>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</si>
  <si>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</si>
  <si>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</si>
  <si>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</si>
  <si>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</si>
  <si>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</si>
  <si>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</si>
  <si>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</si>
  <si>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</si>
  <si>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</si>
  <si>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</si>
  <si>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</si>
  <si>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</si>
  <si>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</si>
  <si>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</si>
  <si>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</si>
  <si>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</si>
  <si>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</si>
  <si>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</si>
  <si>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</si>
  <si>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</si>
  <si>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</si>
  <si>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</si>
  <si>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</si>
  <si>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</si>
  <si>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</si>
  <si>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</si>
  <si>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</si>
  <si>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</si>
  <si>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</si>
  <si>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</si>
  <si>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</si>
  <si>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</si>
  <si>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</si>
  <si>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</si>
  <si>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</si>
  <si>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</si>
  <si>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</si>
  <si>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</si>
  <si>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</si>
  <si>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</si>
  <si>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</si>
  <si>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</si>
  <si>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</si>
  <si>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</si>
  <si>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</si>
  <si>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</si>
  <si>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</si>
  <si>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</si>
  <si>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</si>
  <si>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</si>
  <si>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</si>
  <si>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</si>
  <si>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</si>
  <si>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</si>
  <si>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</si>
  <si>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</si>
  <si>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</si>
  <si>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</si>
  <si>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</si>
  <si>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</si>
  <si>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</si>
  <si>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</si>
  <si>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</si>
  <si>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</si>
  <si>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</si>
  <si>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</si>
  <si>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</si>
  <si>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</si>
  <si>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</si>
  <si>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</si>
  <si>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</si>
  <si>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</si>
  <si>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</si>
  <si>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</si>
  <si>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</si>
  <si>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</si>
  <si>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</si>
  <si>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</si>
  <si>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</si>
  <si>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</si>
  <si>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</si>
  <si>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</si>
  <si>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</si>
  <si>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</si>
  <si>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</si>
  <si>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</si>
  <si>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</si>
  <si>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</si>
  <si>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</si>
  <si>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</si>
  <si>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</si>
  <si>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</si>
  <si>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</si>
  <si>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</si>
  <si>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</si>
  <si>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</si>
  <si>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</si>
  <si>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</si>
  <si>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</si>
  <si>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</si>
  <si>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</si>
  <si>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</si>
  <si>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</si>
  <si>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</si>
  <si>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</si>
  <si>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</si>
  <si>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</si>
  <si>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</si>
  <si>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</si>
  <si>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</si>
  <si>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</si>
  <si>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</si>
  <si>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</si>
  <si>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</si>
  <si>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</si>
  <si>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</si>
  <si>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</si>
  <si>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</si>
  <si>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</si>
  <si>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</si>
  <si>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</si>
  <si>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</si>
  <si>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</si>
  <si>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</si>
  <si>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</si>
  <si>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</si>
  <si>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</si>
  <si>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</si>
  <si>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</si>
  <si>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</si>
  <si>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</si>
  <si>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</si>
  <si>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</si>
  <si>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</si>
  <si>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</si>
  <si>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</si>
  <si>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</si>
  <si>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</si>
  <si>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</si>
  <si>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</si>
  <si>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</si>
  <si>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</si>
  <si>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</si>
  <si>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</si>
  <si>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</si>
  <si>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</si>
  <si>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</si>
  <si>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</si>
  <si>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</si>
  <si>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</si>
  <si>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</si>
  <si>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</si>
  <si>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</si>
  <si>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</si>
  <si>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</si>
  <si>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</si>
  <si>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</si>
  <si>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</si>
  <si>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</si>
  <si>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</si>
  <si>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</si>
  <si>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</si>
  <si>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</si>
  <si>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</si>
  <si>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</si>
  <si>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</si>
  <si>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</si>
  <si>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</si>
  <si>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</si>
  <si>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</si>
  <si>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</si>
  <si>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</si>
  <si>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</si>
  <si>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</si>
  <si>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</si>
  <si>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</si>
  <si>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</si>
  <si>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</si>
  <si>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</si>
  <si>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</si>
  <si>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</si>
  <si>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</si>
  <si>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</si>
  <si>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</si>
  <si>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</si>
  <si>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</si>
  <si>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</si>
  <si>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</si>
  <si>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</si>
  <si>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</si>
  <si>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</si>
  <si>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</si>
  <si>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</si>
  <si>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</si>
  <si>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</si>
  <si>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</si>
  <si>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</si>
  <si>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</si>
  <si>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</si>
  <si>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</si>
  <si>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</si>
  <si>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</si>
  <si>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</si>
  <si>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</si>
  <si>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</si>
  <si>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</si>
  <si>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</si>
  <si>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</si>
  <si>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</si>
  <si>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</si>
  <si>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</si>
  <si>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</si>
  <si>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</si>
  <si>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</si>
  <si>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</si>
  <si>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</si>
  <si>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</si>
  <si>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</si>
  <si>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</si>
  <si>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</si>
  <si>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</si>
  <si>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</si>
  <si>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</si>
  <si>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</si>
  <si>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</si>
  <si>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</si>
  <si>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</si>
  <si>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</si>
  <si>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</si>
  <si>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</si>
  <si>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</si>
  <si>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</si>
  <si>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</si>
  <si>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</si>
  <si>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</si>
  <si>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</si>
  <si>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</si>
  <si>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</si>
  <si>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</si>
  <si>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</si>
  <si>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</si>
  <si>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</si>
  <si>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</si>
  <si>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</si>
  <si>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</si>
  <si>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</si>
  <si>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</si>
  <si>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</si>
  <si>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</si>
  <si>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</si>
  <si>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</si>
  <si>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</si>
  <si>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</si>
  <si>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</si>
  <si>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</si>
  <si>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</si>
  <si>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</si>
  <si>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</si>
  <si>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</si>
  <si>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</si>
  <si>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</si>
  <si>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</si>
  <si>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</si>
  <si>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</si>
  <si>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</si>
  <si>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</si>
  <si>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</si>
  <si>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</si>
  <si>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</si>
  <si>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</si>
  <si>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</si>
  <si>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</si>
  <si>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</si>
  <si>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</si>
  <si>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</si>
  <si>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</si>
  <si>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</si>
  <si>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</si>
  <si>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</si>
  <si>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</si>
  <si>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</si>
  <si>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</si>
  <si>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</si>
  <si>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</si>
  <si>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</si>
  <si>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</si>
  <si>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</si>
  <si>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</si>
  <si>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</si>
  <si>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</si>
  <si>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</si>
  <si>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</si>
  <si>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</si>
  <si>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</si>
  <si>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</si>
  <si>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</si>
  <si>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</si>
  <si>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</si>
  <si>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</si>
  <si>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</si>
  <si>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</si>
  <si>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</si>
  <si>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</si>
  <si>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</si>
  <si>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</si>
  <si>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</si>
  <si>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</si>
  <si>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</si>
  <si>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</si>
  <si>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</si>
  <si>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</si>
  <si>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</si>
  <si>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</si>
  <si>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</si>
  <si>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</si>
  <si>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</si>
  <si>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</si>
  <si>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</si>
  <si>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</si>
  <si>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</si>
  <si>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</si>
  <si>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</si>
  <si>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</si>
  <si>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</si>
  <si>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</si>
  <si>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</si>
  <si>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</si>
  <si>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</si>
  <si>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</si>
  <si>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</si>
  <si>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</si>
  <si>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</si>
  <si>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</si>
  <si>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</si>
  <si>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</si>
  <si>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</si>
  <si>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</si>
  <si>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</si>
  <si>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</si>
  <si>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</si>
  <si>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</si>
  <si>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</si>
  <si>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</si>
  <si>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</si>
  <si>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</si>
  <si>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</si>
  <si>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</si>
  <si>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</si>
  <si>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</si>
  <si>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</si>
  <si>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</si>
  <si>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</si>
  <si>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</si>
  <si>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</si>
  <si>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</si>
  <si>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</si>
  <si>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</si>
  <si>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</si>
  <si>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</si>
  <si>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</si>
  <si>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</si>
  <si>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</si>
  <si>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</si>
  <si>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</si>
  <si>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</si>
  <si>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</si>
  <si>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</si>
  <si>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</si>
  <si>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</si>
  <si>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</si>
  <si>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</si>
  <si>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</si>
  <si>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</si>
  <si>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</si>
  <si>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</si>
  <si>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</si>
  <si>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</si>
  <si>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</si>
  <si>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</si>
  <si>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</si>
  <si>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</si>
  <si>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</si>
  <si>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</si>
  <si>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</si>
  <si>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</si>
  <si>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</si>
  <si>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</si>
  <si>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</si>
  <si>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</si>
  <si>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</si>
  <si>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</si>
  <si>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</si>
  <si>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</si>
  <si>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</si>
  <si>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</si>
  <si>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</si>
  <si>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</si>
  <si>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</si>
  <si>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</si>
  <si>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</si>
  <si>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</si>
  <si>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</si>
  <si>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</si>
  <si>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</si>
  <si>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</si>
  <si>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</si>
  <si>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</si>
  <si>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</si>
  <si>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</si>
  <si>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</si>
  <si>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</si>
  <si>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</si>
  <si>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</si>
  <si>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</si>
  <si>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</si>
  <si>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</si>
  <si>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</si>
  <si>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</si>
  <si>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</si>
  <si>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</si>
  <si>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</si>
  <si>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</si>
  <si>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</si>
  <si>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</si>
  <si>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</si>
  <si>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</si>
  <si>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</si>
  <si>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</si>
  <si>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</si>
  <si>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</si>
  <si>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</si>
  <si>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</si>
  <si>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</si>
  <si>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</si>
  <si>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</si>
  <si>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</si>
  <si>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</si>
  <si>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</si>
  <si>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</si>
  <si>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</si>
  <si>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</si>
  <si>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</si>
  <si>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</si>
  <si>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</si>
  <si>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</si>
  <si>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</si>
  <si>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</si>
  <si>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</si>
  <si>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</si>
  <si>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</si>
  <si>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</si>
  <si>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</si>
  <si>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</si>
  <si>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</si>
  <si>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</si>
  <si>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</si>
  <si>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</si>
  <si>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</si>
  <si>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</si>
  <si>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</si>
  <si>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</si>
  <si>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</si>
  <si>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</si>
  <si>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</si>
  <si>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</si>
  <si>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</si>
  <si>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</si>
  <si>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</si>
  <si>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</si>
  <si>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</si>
  <si>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</si>
  <si>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</si>
  <si>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</si>
  <si>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</si>
  <si>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</si>
  <si>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</si>
  <si>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</si>
  <si>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</si>
  <si>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</si>
  <si>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</si>
  <si>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</si>
  <si>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</si>
  <si>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</si>
  <si>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</si>
  <si>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</si>
  <si>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</si>
  <si>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</si>
  <si>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</si>
  <si>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</si>
  <si>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</si>
  <si>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</si>
  <si>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</si>
  <si>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</si>
  <si>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</si>
  <si>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</si>
  <si>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</si>
  <si>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</si>
  <si>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</si>
  <si>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</si>
  <si>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</si>
  <si>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</si>
  <si>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</si>
  <si>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</si>
  <si>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</si>
  <si>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</si>
  <si>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</si>
  <si>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</si>
  <si>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</si>
  <si>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</si>
  <si>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</si>
  <si>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</si>
  <si>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</si>
  <si>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</si>
  <si>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</si>
  <si>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</si>
  <si>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</si>
  <si>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</si>
  <si>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</si>
  <si>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</si>
  <si>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</si>
  <si>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</si>
  <si>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</si>
  <si>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</si>
  <si>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</si>
  <si>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</si>
  <si>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</si>
  <si>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</si>
  <si>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</si>
  <si>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</si>
  <si>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</si>
  <si>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</si>
  <si>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</si>
  <si>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</si>
  <si>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</si>
  <si>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</si>
  <si>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</si>
  <si>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</si>
  <si>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</si>
  <si>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</si>
  <si>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</si>
  <si>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</si>
  <si>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</si>
  <si>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</si>
  <si>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</si>
  <si>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</si>
  <si>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</si>
  <si>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</si>
  <si>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</si>
  <si>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</si>
  <si>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</si>
  <si>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</si>
  <si>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</si>
  <si>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</si>
  <si>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</si>
  <si>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</si>
  <si>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</si>
  <si>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</si>
  <si>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</si>
  <si>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</si>
  <si>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</si>
  <si>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</si>
  <si>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</si>
  <si>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</si>
  <si>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</si>
  <si>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</si>
  <si>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</si>
  <si>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</si>
  <si>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</si>
  <si>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</si>
  <si>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</si>
  <si>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</si>
  <si>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</si>
  <si>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</si>
  <si>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</si>
  <si>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</si>
  <si>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</si>
  <si>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</si>
  <si>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</si>
  <si>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</si>
  <si>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</si>
  <si>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</si>
  <si>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</si>
  <si>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</si>
  <si>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</si>
  <si>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</si>
  <si>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</si>
  <si>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</si>
  <si>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</si>
  <si>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</si>
  <si>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</si>
  <si>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</si>
  <si>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</si>
  <si>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</si>
  <si>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</si>
  <si>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</si>
  <si>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</si>
  <si>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</si>
  <si>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</si>
  <si>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</si>
  <si>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</si>
  <si>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</si>
  <si>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</si>
  <si>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</si>
  <si>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</si>
  <si>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</si>
  <si>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</si>
  <si>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</si>
  <si>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</si>
  <si>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</si>
  <si>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</si>
  <si>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</si>
  <si>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</si>
  <si>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</si>
  <si>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</si>
  <si>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</si>
  <si>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</si>
  <si>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</si>
  <si>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</si>
  <si>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</si>
  <si>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</si>
  <si>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</si>
  <si>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</si>
  <si>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</si>
  <si>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</si>
  <si>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</si>
  <si>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</si>
  <si>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</si>
  <si>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</si>
  <si>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</si>
  <si>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</si>
  <si>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</si>
  <si>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</si>
  <si>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</si>
  <si>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</si>
  <si>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</si>
  <si>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</si>
  <si>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</si>
  <si>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</si>
  <si>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</si>
  <si>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</si>
  <si>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</si>
  <si>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</si>
  <si>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</si>
  <si>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</si>
  <si>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</si>
  <si>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</si>
  <si>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</si>
  <si>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</si>
  <si>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</si>
  <si>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</si>
  <si>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</si>
  <si>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</si>
  <si>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</si>
  <si>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</si>
  <si>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</si>
  <si>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</si>
  <si>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</si>
  <si>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</si>
  <si>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</si>
  <si>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</si>
  <si>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</si>
  <si>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</si>
  <si>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</si>
  <si>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</si>
  <si>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</si>
  <si>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</si>
  <si>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</si>
  <si>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</si>
  <si>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</si>
  <si>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</si>
  <si>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</si>
  <si>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</si>
  <si>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</si>
  <si>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</si>
  <si>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</si>
  <si>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</si>
  <si>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</si>
  <si>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</si>
  <si>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</si>
  <si>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</si>
  <si>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</si>
  <si>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</si>
  <si>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</si>
  <si>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</si>
  <si>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</si>
  <si>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</si>
  <si>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</si>
  <si>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</si>
  <si>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</si>
  <si>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</si>
  <si>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</si>
  <si>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</si>
  <si>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</si>
  <si>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</si>
  <si>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</si>
  <si>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</si>
  <si>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</si>
  <si>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</si>
  <si>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</si>
  <si>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</si>
  <si>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</si>
  <si>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</si>
  <si>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</si>
  <si>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</si>
  <si>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</si>
  <si>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</si>
  <si>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</si>
  <si>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</si>
  <si>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</si>
  <si>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</si>
  <si>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</si>
  <si>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</si>
  <si>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</si>
  <si>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</si>
  <si>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</si>
  <si>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</si>
  <si>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</si>
  <si>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</si>
  <si>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</si>
  <si>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</si>
  <si>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</si>
  <si>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</si>
  <si>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</si>
  <si>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</si>
  <si>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</si>
  <si>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</si>
  <si>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</si>
  <si>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</si>
  <si>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</si>
  <si>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</si>
  <si>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</si>
  <si>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</si>
  <si>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</si>
  <si>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</si>
  <si>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</si>
  <si>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</si>
  <si>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</si>
  <si>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</si>
  <si>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</si>
  <si>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</si>
  <si>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</si>
  <si>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</si>
  <si>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</si>
  <si>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</si>
  <si>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</si>
  <si>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</si>
  <si>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</si>
  <si>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</si>
  <si>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</si>
  <si>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</si>
  <si>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</si>
  <si>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</si>
  <si>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</si>
  <si>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</si>
  <si>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</si>
  <si>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</si>
  <si>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</si>
  <si>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</si>
  <si>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</si>
  <si>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</si>
  <si>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</si>
  <si>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</si>
  <si>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</si>
  <si>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</si>
  <si>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</si>
  <si>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</si>
  <si>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</si>
  <si>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</si>
  <si>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</si>
  <si>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</si>
  <si>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</si>
  <si>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</si>
  <si>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</si>
  <si>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</si>
  <si>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</si>
  <si>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</si>
  <si>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</si>
  <si>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</si>
  <si>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</si>
  <si>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</si>
  <si>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</si>
  <si>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</si>
  <si>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</si>
  <si>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</si>
  <si>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</si>
  <si>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</si>
  <si>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</si>
  <si>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</si>
  <si>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</si>
  <si>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</si>
  <si>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</si>
  <si>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</si>
  <si>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</si>
  <si>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</si>
  <si>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</si>
  <si>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</si>
  <si>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</si>
  <si>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</si>
  <si>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</si>
  <si>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</si>
  <si>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</si>
  <si>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</si>
  <si>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</si>
  <si>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</si>
  <si>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</si>
  <si>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</si>
  <si>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</si>
  <si>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</si>
  <si>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</si>
  <si>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</si>
  <si>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</si>
  <si>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</si>
  <si>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</si>
  <si>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</si>
  <si>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</si>
  <si>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</si>
  <si>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</si>
  <si>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</si>
  <si>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</si>
  <si>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</si>
  <si>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</si>
  <si>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</si>
  <si>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</si>
  <si>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</si>
  <si>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</si>
  <si>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</si>
  <si>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</si>
  <si>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</si>
  <si>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</si>
  <si>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</si>
  <si>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</si>
  <si>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</si>
  <si>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</si>
  <si>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</si>
  <si>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</si>
  <si>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</si>
  <si>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</si>
  <si>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</si>
  <si>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</si>
  <si>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</si>
  <si>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</si>
  <si>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</si>
  <si>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</si>
  <si>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</si>
  <si>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</si>
  <si>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</si>
  <si>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</si>
  <si>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</si>
  <si>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</si>
  <si>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</si>
  <si>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</si>
  <si>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</si>
  <si>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</si>
  <si>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</si>
  <si>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</si>
  <si>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</si>
  <si>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</si>
  <si>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</si>
  <si>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</si>
  <si>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</si>
  <si>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</si>
  <si>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</si>
  <si>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</si>
  <si>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</si>
  <si>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</si>
  <si>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</si>
  <si>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</si>
  <si>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</si>
  <si>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</si>
  <si>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</si>
  <si>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</si>
  <si>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</si>
  <si>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</si>
  <si>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</si>
  <si>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</si>
  <si>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</si>
  <si>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</si>
  <si>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</si>
  <si>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</si>
  <si>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</si>
  <si>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</si>
  <si>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</si>
  <si>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</si>
  <si>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</si>
  <si>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</si>
  <si>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</si>
  <si>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</si>
  <si>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</si>
  <si>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</si>
  <si>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</si>
  <si>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</si>
  <si>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</si>
  <si>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</si>
  <si>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</si>
  <si>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</si>
  <si>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</si>
  <si>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</si>
  <si>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</si>
  <si>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</si>
  <si>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</si>
  <si>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</si>
  <si>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</si>
  <si>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</si>
  <si>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</si>
  <si>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</si>
  <si>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</si>
  <si>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</si>
  <si>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</si>
  <si>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</si>
  <si>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</si>
  <si>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</si>
  <si>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</si>
  <si>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</si>
  <si>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</si>
  <si>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</si>
  <si>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</si>
  <si>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</si>
  <si>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</si>
  <si>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</si>
  <si>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</si>
  <si>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</si>
  <si>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</si>
  <si>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</si>
  <si>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</si>
  <si>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</si>
  <si>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</si>
  <si>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</si>
  <si>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</si>
  <si>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</si>
  <si>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</si>
  <si>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</si>
  <si>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</si>
  <si>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</si>
  <si>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</si>
  <si>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</si>
  <si>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</si>
  <si>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</si>
  <si>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</si>
  <si>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</si>
  <si>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</si>
  <si>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</si>
  <si>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</si>
  <si>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</si>
  <si>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</si>
  <si>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</si>
  <si>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</si>
  <si>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</si>
  <si>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</si>
  <si>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</si>
  <si>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</si>
  <si>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</si>
  <si>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</si>
  <si>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</si>
  <si>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</si>
  <si>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</si>
  <si>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</si>
  <si>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</si>
  <si>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</si>
  <si>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</si>
  <si>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</si>
  <si>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</si>
  <si>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</si>
  <si>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</si>
  <si>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</si>
  <si>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</si>
  <si>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</si>
  <si>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</si>
  <si>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</si>
  <si>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</si>
  <si>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</si>
  <si>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</si>
  <si>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</si>
  <si>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</si>
  <si>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Eurostat Water Statistics (link: https://ec.europa.eu/eurostat/statistics-explained/index.php?title=Water_statistics#Water_uses; accessed: November 2022)</t>
  </si>
  <si>
    <t>Default assumption</t>
  </si>
  <si>
    <t>Eurostat, Country data from the Eurostat/OECD Joint Questionnaire on Inland Waters, 2018 (link: https://ec.europa.eu/eurostat/web/environment/water; date accessed: September 2022)</t>
  </si>
  <si>
    <t>WISE: Freshwater Information System for Europe, Country Profile, 2018 (link: https://water.europa.eu/freshwater/countries/uwwt, date accessed: September 2022)</t>
  </si>
  <si>
    <t>ITA_2015_ES</t>
  </si>
  <si>
    <t>ITA_2018_ES</t>
  </si>
  <si>
    <t>ITA_2018_EU</t>
  </si>
  <si>
    <t>Table: Population connected to wastewater treatment plants (ENV_WW_CON); derived from the proportion of the population connected to urban and other wastewater treatment plants (URB_OTH=70%) divided by the proportion of the population connected to wastewater collecting systems (sewers; URB_CS=87.8%)</t>
  </si>
  <si>
    <t>Derived based on data for wastewater loadings (million population equivalents) associated with agglomerations complying with Article 3 (collection) and Article 4 (secondary treatment) of the European Union Urban Wastewater Treatment Directive. A: Loading non-compliant with Art. 3.; B: Loading compliant with Art. 4; C: Loading non-compliant with Art. 4.  Calculated as: B (65.54) / [B (65.54) + C (9.12) - A (.57)].  Note: The non-compliant load associated with Article 3 (A) is considered in the compliance calculation for Article 4, and therefore A has been removed from the denominator of the Art. 4 compliance calculation to eliminate the load associated with agglomerations without sewers.</t>
  </si>
  <si>
    <t>Assumes that performance of faecal sludge treatment at centralized treatment facilities is the same as that for sewer wastewater treatment</t>
  </si>
  <si>
    <t>ISTAT; Censimento delle acque</t>
  </si>
  <si>
    <t>Eurostat, Country data from the Eurostat/OECD Joint Questionnaire on Inland Waters, 2012 (link: https://ec.europa.eu/eurostat/web/environment/water; date accessed: September 2022)</t>
  </si>
  <si>
    <t>Eurostat, Country data from the Eurostat/OECD Joint Questionnaire on Inland Waters, 2015 (link: https://ec.europa.eu/eurostat/web/environment/water; date accessed: September 2022)</t>
  </si>
  <si>
    <t>ITA_2012_CA</t>
  </si>
  <si>
    <t>ITA_2012_ES</t>
  </si>
  <si>
    <t>ITA_2015_CA</t>
  </si>
  <si>
    <t>Table: Population connected to wastewater treatment plants (ENV_WW_CON); derived from the proportion of the population connected to wastewater treatment plants of at least secondary treatment [secondary (URB_OTH_T2=22.4%) &amp; tertiary (URB_OTH_T3=35.2%) treatment] divided by the proportion of the population connected to wastewater treatment plants of any treatment [primary (URB_OTH_T1=3.3%), secondary (URB_OTH_T2=22.4%), &amp; tertiary (URB_OTH_T3=35.2%) treatment].</t>
  </si>
  <si>
    <t>Table: Population connected to wastewater treatment plants (ENV_WW_CON); derived from the proportion of the population connected to wastewater treatment plants of at least secondary treatment [secondary (URB_OTH_T2=18.7%) &amp; tertiary (URB_OTH_T3=40.9%) treatment] divided by the proportion of the population connected to wastewater treatment plants of any treatment [primary (URB_OTH_T1=2.9%), secondary (URB_OTH_T2=18.7%), &amp; tertiary (URB_OTH_T3=40.9%) treatment].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</si>
</sst>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_(* \(#,##0.00\);_(* &quot;-&quot;??_);_(@_)"/>
    <numFmt numFmtId="165" formatCode="&quot;[&quot;#&quot;]&quot;"/>
    <numFmt numFmtId="166" formatCode="0.0%"/>
    <numFmt numFmtId="167" formatCode="#,##0.000"/>
    <numFmt numFmtId="168" formatCode="&quot;[&quot;0&quot;]&quot;"/>
    <numFmt numFmtId="169" formatCode="0.00000"/>
    <numFmt numFmtId="170" formatCode="0.0"/>
    <numFmt numFmtId="171" formatCode="#,##0.0"/>
    <numFmt numFmtId="172" formatCode="#,##0.00000"/>
    <numFmt numFmtId="173" formatCode="&quot;[&quot;#\]"/>
    <numFmt numFmtId="174" formatCode="0.0000000000%"/>
  </numFmts>
  <fonts count="21" x14ac:knownFonts="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1921"/>
        <bgColor indexed="64"/>
      </patternFill>
    </fill>
    <fill>
      <patternFill patternType="solid">
        <fgColor theme="6" tint="0.79995117038483843"/>
        <bgColor indexed="64"/>
      </patternFill>
    </fill>
    <fill>
      <patternFill patternType="solid">
        <fgColor theme="6" tint="0.79995117038483843"/>
        <bgColor indexed="64"/>
      </patternFill>
    </fill>
    <fill>
      <patternFill patternType="solid">
        <fgColor theme="5" tint="-0.24994659260841701"/>
        <bgColor indexed="64"/>
      </patternFill>
    </fill>
    <fill>
      <patternFill patternType="solid">
        <fgColor theme="6" tint="0.39991454817346722"/>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0" applyFill="0" applyBorder="0" applyAlignment="0" applyProtection="0"/>
    <xf numFmtId="9" fontId="9" fillId="0" borderId="0" applyFont="0" applyFill="0" applyBorder="0" applyAlignment="0" applyProtection="0"/>
    <xf numFmtId="164" fontId="11" fillId="0" borderId="0" applyFont="0" applyFill="0" applyBorder="0" applyAlignment="0" applyProtection="0"/>
    <xf numFmtId="0" fontId="6" fillId="0" borderId="0"/>
    <xf numFmtId="0" fontId="17" fillId="0" borderId="0"/>
    <xf numFmtId="0" fontId="17" fillId="0" borderId="0"/>
  </cellStyleXfs>
  <cellXfs count="208">
    <xf numFmtId="0" fontId="0" fillId="0" borderId="0" xfId="0"/>
    <xf numFmtId="0" fontId="0" fillId="0" borderId="0" xfId="0" applyAlignment="1">
      <alignment horizontal="center"/>
    </xf>
    <xf numFmtId="0" fontId="1" fillId="0" borderId="0" xfId="0" applyFont="1" applyAlignment="1">
      <alignment horizontal="center"/>
    </xf>
    <xf numFmtId="0" fontId="3" fillId="0" borderId="0" xfId="0" applyFont="1" applyAlignment="1">
      <alignment horizontal="center"/>
    </xf>
    <xf numFmtId="0" fontId="4" fillId="0" borderId="0" xfId="0" applyFont="1" applyAlignment="1">
      <alignment horizontal="center"/>
    </xf>
    <xf numFmtId="0" fontId="8" fillId="0" borderId="0" xfId="1" applyAlignment="1">
      <alignment horizontal="center"/>
    </xf>
    <xf numFmtId="0" fontId="6" fillId="0" borderId="0" xfId="0" applyFont="1"/>
    <xf numFmtId="0" fontId="6" fillId="0" borderId="0" xfId="0" applyFont="1" applyAlignment="1">
      <alignment horizontal="left" vertical="top"/>
    </xf>
    <xf numFmtId="0" fontId="6" fillId="0" borderId="0" xfId="0" applyFont="1" applyAlignment="1">
      <alignment horizontal="right"/>
    </xf>
    <xf numFmtId="0" fontId="0" fillId="0" borderId="0" xfId="0" applyAlignment="1">
      <alignment horizontal="center" vertical="center"/>
    </xf>
    <xf numFmtId="0" fontId="5" fillId="0" borderId="0" xfId="0" applyFont="1" applyAlignment="1">
      <alignment horizontal="right" vertical="center"/>
    </xf>
    <xf numFmtId="0" fontId="6" fillId="0" borderId="0" xfId="0" applyFont="1" applyAlignment="1">
      <alignment horizontal="left"/>
    </xf>
    <xf numFmtId="0" fontId="0" fillId="2" borderId="0" xfId="0" applyFill="1"/>
    <xf numFmtId="165" fontId="6" fillId="4" borderId="3" xfId="0" applyNumberFormat="1" applyFont="1" applyFill="1" applyBorder="1" applyAlignment="1">
      <alignment horizontal="center" vertical="center"/>
    </xf>
    <xf numFmtId="0" fontId="10" fillId="0" borderId="0" xfId="0" applyFont="1" applyAlignment="1">
      <alignment horizontal="left" vertical="top" wrapText="1"/>
    </xf>
    <xf numFmtId="0" fontId="6" fillId="0" borderId="0" xfId="0" applyFont="1" applyAlignment="1">
      <alignment vertical="center"/>
    </xf>
    <xf numFmtId="0" fontId="0" fillId="0" borderId="0" xfId="0" applyAlignment="1">
      <alignment vertical="center"/>
    </xf>
    <xf numFmtId="0" fontId="0" fillId="4" borderId="20" xfId="0" applyFill="1" applyBorder="1" applyAlignment="1">
      <alignment horizontal="center" vertical="center"/>
    </xf>
    <xf numFmtId="0" fontId="0" fillId="4" borderId="21" xfId="0" applyFill="1" applyBorder="1" applyAlignment="1">
      <alignment horizontal="center" vertical="center"/>
    </xf>
    <xf numFmtId="0" fontId="6" fillId="4" borderId="20" xfId="0" applyFont="1" applyFill="1" applyBorder="1" applyAlignment="1">
      <alignment horizontal="center" vertical="center"/>
    </xf>
    <xf numFmtId="9" fontId="12" fillId="0" borderId="0" xfId="0" applyNumberFormat="1" applyFont="1" applyAlignment="1">
      <alignment horizontal="center" vertical="center"/>
    </xf>
    <xf numFmtId="0" fontId="2" fillId="0" borderId="0" xfId="0" applyFont="1" applyAlignment="1">
      <alignment horizontal="center" vertical="center"/>
    </xf>
    <xf numFmtId="0" fontId="6" fillId="2" borderId="0" xfId="0" applyFont="1" applyFill="1"/>
    <xf numFmtId="3" fontId="6" fillId="4" borderId="8" xfId="0" applyNumberFormat="1" applyFont="1" applyFill="1" applyBorder="1" applyAlignment="1">
      <alignment horizontal="center" vertical="center"/>
    </xf>
    <xf numFmtId="166" fontId="6" fillId="4" borderId="2" xfId="2" applyNumberFormat="1" applyFont="1" applyFill="1" applyBorder="1" applyAlignment="1">
      <alignment horizontal="center" vertical="center"/>
    </xf>
    <xf numFmtId="166" fontId="6" fillId="4" borderId="4" xfId="2" applyNumberFormat="1" applyFont="1" applyFill="1" applyBorder="1" applyAlignment="1">
      <alignment horizontal="center" vertical="center"/>
    </xf>
    <xf numFmtId="0" fontId="6" fillId="0" borderId="0" xfId="0" quotePrefix="1" applyFont="1"/>
    <xf numFmtId="0" fontId="10" fillId="0" borderId="0" xfId="0" applyFont="1" applyAlignment="1">
      <alignment horizontal="left" vertical="top"/>
    </xf>
    <xf numFmtId="3" fontId="6" fillId="5" borderId="1" xfId="0" applyNumberFormat="1" applyFont="1" applyFill="1" applyBorder="1" applyAlignment="1">
      <alignment horizontal="center" vertical="center"/>
    </xf>
    <xf numFmtId="3" fontId="6" fillId="5" borderId="5" xfId="0" applyNumberFormat="1" applyFont="1" applyFill="1" applyBorder="1" applyAlignment="1">
      <alignment horizontal="center" vertical="center"/>
    </xf>
    <xf numFmtId="3" fontId="6" fillId="5" borderId="7" xfId="0" applyNumberFormat="1" applyFont="1" applyFill="1" applyBorder="1" applyAlignment="1">
      <alignment horizontal="center" vertical="center"/>
    </xf>
    <xf numFmtId="3" fontId="6" fillId="5" borderId="24" xfId="0" applyNumberFormat="1" applyFont="1" applyFill="1" applyBorder="1" applyAlignment="1">
      <alignment horizontal="center" vertical="center"/>
    </xf>
    <xf numFmtId="3" fontId="6" fillId="5" borderId="23" xfId="0" applyNumberFormat="1" applyFont="1" applyFill="1" applyBorder="1" applyAlignment="1">
      <alignment horizontal="center" vertical="center"/>
    </xf>
    <xf numFmtId="0" fontId="10" fillId="0" borderId="0" xfId="0" applyFont="1" applyAlignment="1">
      <alignment vertical="top"/>
    </xf>
    <xf numFmtId="3" fontId="6" fillId="5" borderId="8" xfId="0" applyNumberFormat="1" applyFont="1" applyFill="1" applyBorder="1" applyAlignment="1">
      <alignment horizontal="center" vertical="center"/>
    </xf>
    <xf numFmtId="166" fontId="6" fillId="5" borderId="2" xfId="2" applyNumberFormat="1" applyFont="1" applyFill="1" applyBorder="1" applyAlignment="1">
      <alignment horizontal="center" vertical="center"/>
    </xf>
    <xf numFmtId="166" fontId="6" fillId="5" borderId="4" xfId="2" applyNumberFormat="1" applyFont="1" applyFill="1" applyBorder="1" applyAlignment="1">
      <alignment horizontal="center" vertical="center"/>
    </xf>
    <xf numFmtId="3" fontId="6" fillId="4" borderId="3" xfId="0" applyNumberFormat="1" applyFont="1" applyFill="1" applyBorder="1" applyAlignment="1">
      <alignment horizontal="center" vertical="center"/>
    </xf>
    <xf numFmtId="3" fontId="6" fillId="5" borderId="3" xfId="0" applyNumberFormat="1" applyFont="1" applyFill="1" applyBorder="1" applyAlignment="1">
      <alignment horizontal="center" vertical="center"/>
    </xf>
    <xf numFmtId="0" fontId="6" fillId="5" borderId="5" xfId="0" applyFont="1" applyFill="1" applyBorder="1" applyAlignment="1">
      <alignment horizontal="center" vertical="center"/>
    </xf>
    <xf numFmtId="0" fontId="6" fillId="5" borderId="5" xfId="0" applyFont="1" applyFill="1" applyBorder="1" applyAlignment="1">
      <alignment horizontal="center" vertical="center" wrapText="1"/>
    </xf>
    <xf numFmtId="0" fontId="10" fillId="0" borderId="0" xfId="0" applyFont="1" applyAlignment="1">
      <alignment vertical="top" wrapText="1"/>
    </xf>
    <xf numFmtId="0" fontId="6" fillId="0" borderId="0" xfId="0" applyFont="1" applyAlignment="1">
      <alignment horizontal="center"/>
    </xf>
    <xf numFmtId="166" fontId="6" fillId="5" borderId="16" xfId="2" applyNumberFormat="1" applyFont="1" applyFill="1" applyBorder="1" applyAlignment="1">
      <alignment horizontal="center" vertical="center"/>
    </xf>
    <xf numFmtId="166" fontId="6" fillId="5" borderId="17" xfId="2" applyNumberFormat="1" applyFont="1" applyFill="1" applyBorder="1" applyAlignment="1">
      <alignment horizontal="center" vertical="center"/>
    </xf>
    <xf numFmtId="166" fontId="6" fillId="4" borderId="18" xfId="2" applyNumberFormat="1" applyFont="1" applyFill="1" applyBorder="1" applyAlignment="1">
      <alignment horizontal="center" vertical="center"/>
    </xf>
    <xf numFmtId="166" fontId="6" fillId="4" borderId="25" xfId="2" applyNumberFormat="1" applyFont="1" applyFill="1" applyBorder="1" applyAlignment="1">
      <alignment horizontal="center" vertical="center"/>
    </xf>
    <xf numFmtId="0" fontId="6" fillId="5" borderId="10" xfId="0" applyFont="1" applyFill="1" applyBorder="1" applyAlignment="1">
      <alignment horizontal="center" vertical="center" wrapText="1"/>
    </xf>
    <xf numFmtId="0" fontId="6" fillId="5" borderId="20" xfId="0" applyFont="1" applyFill="1" applyBorder="1" applyAlignment="1">
      <alignment horizontal="center" vertical="center" wrapText="1"/>
    </xf>
    <xf numFmtId="0" fontId="5" fillId="5" borderId="21" xfId="0" applyFont="1" applyFill="1" applyBorder="1" applyAlignment="1">
      <alignment horizontal="center" vertical="center" wrapText="1"/>
    </xf>
    <xf numFmtId="165" fontId="6" fillId="5" borderId="5" xfId="0" applyNumberFormat="1" applyFont="1" applyFill="1" applyBorder="1" applyAlignment="1">
      <alignment horizontal="center" vertical="center" wrapText="1"/>
    </xf>
    <xf numFmtId="165" fontId="6" fillId="5" borderId="3" xfId="0" applyNumberFormat="1" applyFont="1" applyFill="1" applyBorder="1" applyAlignment="1">
      <alignment horizontal="center" vertical="center" wrapText="1"/>
    </xf>
    <xf numFmtId="3" fontId="6" fillId="4" borderId="1" xfId="0" applyNumberFormat="1" applyFont="1" applyFill="1" applyBorder="1" applyAlignment="1">
      <alignment horizontal="center" vertical="center"/>
    </xf>
    <xf numFmtId="166" fontId="6" fillId="4" borderId="1" xfId="2" applyNumberFormat="1" applyFont="1" applyFill="1" applyBorder="1" applyAlignment="1">
      <alignment horizontal="center" vertical="center"/>
    </xf>
    <xf numFmtId="0" fontId="6" fillId="4" borderId="1" xfId="0" applyFont="1" applyFill="1" applyBorder="1" applyAlignment="1">
      <alignment horizontal="center" vertical="center"/>
    </xf>
    <xf numFmtId="166" fontId="6" fillId="4" borderId="8" xfId="2" applyNumberFormat="1" applyFont="1" applyFill="1" applyBorder="1" applyAlignment="1">
      <alignment horizontal="center" vertical="center"/>
    </xf>
    <xf numFmtId="0" fontId="6" fillId="4" borderId="5" xfId="0" applyFont="1" applyFill="1" applyBorder="1" applyAlignment="1">
      <alignment horizontal="center" vertical="center"/>
    </xf>
    <xf numFmtId="167" fontId="5" fillId="4" borderId="4" xfId="0" applyNumberFormat="1" applyFont="1" applyFill="1" applyBorder="1" applyAlignment="1">
      <alignment horizontal="center" vertical="center"/>
    </xf>
    <xf numFmtId="165" fontId="6" fillId="4" borderId="15" xfId="0" applyNumberFormat="1" applyFont="1" applyFill="1" applyBorder="1" applyAlignment="1">
      <alignment horizontal="center" vertical="center" wrapText="1"/>
    </xf>
    <xf numFmtId="165" fontId="6" fillId="4" borderId="11" xfId="0" applyNumberFormat="1" applyFont="1" applyFill="1" applyBorder="1" applyAlignment="1">
      <alignment horizontal="center" vertical="center" wrapText="1"/>
    </xf>
    <xf numFmtId="165" fontId="6" fillId="4" borderId="5" xfId="0" applyNumberFormat="1" applyFont="1" applyFill="1" applyBorder="1" applyAlignment="1">
      <alignment horizontal="center" vertical="center"/>
    </xf>
    <xf numFmtId="0" fontId="5" fillId="5" borderId="34" xfId="0" applyFont="1" applyFill="1" applyBorder="1" applyAlignment="1">
      <alignment horizontal="center" vertical="center" wrapText="1"/>
    </xf>
    <xf numFmtId="0" fontId="5" fillId="5" borderId="32" xfId="0" applyFont="1" applyFill="1" applyBorder="1" applyAlignment="1">
      <alignment horizontal="center" vertical="center" wrapText="1"/>
    </xf>
    <xf numFmtId="166" fontId="13" fillId="6" borderId="4" xfId="2" applyNumberFormat="1" applyFont="1" applyFill="1" applyBorder="1" applyAlignment="1">
      <alignment horizontal="center" vertical="center" wrapText="1"/>
    </xf>
    <xf numFmtId="0" fontId="6" fillId="0" borderId="0" xfId="0" applyFont="1" applyAlignment="1">
      <alignment vertical="center" wrapText="1"/>
    </xf>
    <xf numFmtId="0" fontId="5" fillId="4" borderId="0" xfId="0" applyFont="1" applyFill="1" applyAlignment="1">
      <alignment horizontal="left" vertical="center"/>
    </xf>
    <xf numFmtId="3" fontId="5" fillId="4" borderId="10" xfId="0" applyNumberFormat="1" applyFont="1" applyFill="1" applyBorder="1" applyAlignment="1">
      <alignment horizontal="left" vertical="center"/>
    </xf>
    <xf numFmtId="3" fontId="6" fillId="4" borderId="16" xfId="0" applyNumberFormat="1" applyFont="1" applyFill="1" applyBorder="1" applyAlignment="1">
      <alignment horizontal="left" vertical="center"/>
    </xf>
    <xf numFmtId="3" fontId="6" fillId="4" borderId="30" xfId="0" applyNumberFormat="1" applyFont="1" applyFill="1" applyBorder="1" applyAlignment="1">
      <alignment horizontal="center" vertical="center"/>
    </xf>
    <xf numFmtId="3" fontId="6" fillId="4" borderId="30" xfId="0" applyNumberFormat="1" applyFont="1" applyFill="1" applyBorder="1" applyAlignment="1">
      <alignment horizontal="left" vertical="center"/>
    </xf>
    <xf numFmtId="3" fontId="5" fillId="4" borderId="20" xfId="0" applyNumberFormat="1" applyFont="1" applyFill="1" applyBorder="1" applyAlignment="1">
      <alignment horizontal="left" vertical="center"/>
    </xf>
    <xf numFmtId="3" fontId="6" fillId="4" borderId="17" xfId="0" applyNumberFormat="1" applyFont="1" applyFill="1" applyBorder="1" applyAlignment="1">
      <alignment horizontal="left" vertical="center"/>
    </xf>
    <xf numFmtId="3" fontId="6" fillId="4" borderId="31" xfId="0" applyNumberFormat="1" applyFont="1" applyFill="1" applyBorder="1" applyAlignment="1">
      <alignment horizontal="center" vertical="center"/>
    </xf>
    <xf numFmtId="3" fontId="6" fillId="4" borderId="31" xfId="0" applyNumberFormat="1" applyFont="1" applyFill="1" applyBorder="1" applyAlignment="1">
      <alignment horizontal="left" vertical="center"/>
    </xf>
    <xf numFmtId="3" fontId="6" fillId="4" borderId="31" xfId="0" quotePrefix="1" applyNumberFormat="1" applyFont="1" applyFill="1" applyBorder="1" applyAlignment="1">
      <alignment horizontal="left" vertical="center"/>
    </xf>
    <xf numFmtId="3" fontId="6" fillId="4" borderId="33" xfId="0" applyNumberFormat="1" applyFont="1" applyFill="1" applyBorder="1" applyAlignment="1">
      <alignment horizontal="left" vertical="center"/>
    </xf>
    <xf numFmtId="3" fontId="6" fillId="4" borderId="32" xfId="0" applyNumberFormat="1" applyFont="1" applyFill="1" applyBorder="1" applyAlignment="1">
      <alignment horizontal="center" vertical="center"/>
    </xf>
    <xf numFmtId="3" fontId="6" fillId="4" borderId="32" xfId="0" applyNumberFormat="1" applyFont="1" applyFill="1" applyBorder="1" applyAlignment="1">
      <alignment horizontal="left" vertical="center"/>
    </xf>
    <xf numFmtId="3" fontId="5" fillId="7" borderId="28" xfId="0" applyNumberFormat="1" applyFont="1" applyFill="1" applyBorder="1" applyAlignment="1">
      <alignment horizontal="center" vertical="center" wrapText="1"/>
    </xf>
    <xf numFmtId="0" fontId="5" fillId="4" borderId="29" xfId="0" applyFont="1" applyFill="1" applyBorder="1" applyAlignment="1">
      <alignment horizontal="center" vertical="center"/>
    </xf>
    <xf numFmtId="167" fontId="0" fillId="5" borderId="29" xfId="0" applyNumberFormat="1" applyFill="1" applyBorder="1" applyAlignment="1">
      <alignment horizontal="center" vertical="center"/>
    </xf>
    <xf numFmtId="3" fontId="6" fillId="5" borderId="29" xfId="0" applyNumberFormat="1" applyFont="1" applyFill="1" applyBorder="1" applyAlignment="1">
      <alignment horizontal="center" vertical="center"/>
    </xf>
    <xf numFmtId="165" fontId="6" fillId="5" borderId="29" xfId="0" applyNumberFormat="1" applyFont="1" applyFill="1" applyBorder="1" applyAlignment="1">
      <alignment horizontal="left" vertical="center"/>
    </xf>
    <xf numFmtId="0" fontId="6" fillId="4" borderId="17" xfId="0" applyFont="1" applyFill="1" applyBorder="1" applyAlignment="1">
      <alignment horizontal="left" vertical="center"/>
    </xf>
    <xf numFmtId="0" fontId="6" fillId="4" borderId="31" xfId="0" applyFont="1" applyFill="1" applyBorder="1" applyAlignment="1">
      <alignment horizontal="center" vertical="center"/>
    </xf>
    <xf numFmtId="167" fontId="0" fillId="5" borderId="31" xfId="0" applyNumberFormat="1" applyFill="1" applyBorder="1" applyAlignment="1">
      <alignment horizontal="center" vertical="center"/>
    </xf>
    <xf numFmtId="3" fontId="6" fillId="5" borderId="31" xfId="0" applyNumberFormat="1" applyFont="1" applyFill="1" applyBorder="1" applyAlignment="1">
      <alignment horizontal="center" vertical="center"/>
    </xf>
    <xf numFmtId="165" fontId="6" fillId="5" borderId="31" xfId="0" applyNumberFormat="1" applyFont="1" applyFill="1" applyBorder="1" applyAlignment="1">
      <alignment horizontal="left" vertical="center"/>
    </xf>
    <xf numFmtId="0" fontId="6" fillId="4" borderId="31" xfId="0" quotePrefix="1" applyFont="1" applyFill="1" applyBorder="1" applyAlignment="1">
      <alignment horizontal="center" vertical="center"/>
    </xf>
    <xf numFmtId="166" fontId="6" fillId="5" borderId="31" xfId="2" applyNumberFormat="1" applyFont="1" applyFill="1" applyBorder="1" applyAlignment="1">
      <alignment horizontal="center" vertical="center"/>
    </xf>
    <xf numFmtId="3" fontId="6" fillId="5" borderId="31" xfId="0" quotePrefix="1" applyNumberFormat="1" applyFont="1" applyFill="1" applyBorder="1" applyAlignment="1">
      <alignment horizontal="left" vertical="center"/>
    </xf>
    <xf numFmtId="1" fontId="0" fillId="4" borderId="31" xfId="0" applyNumberFormat="1" applyFill="1" applyBorder="1" applyAlignment="1">
      <alignment horizontal="center" vertical="center"/>
    </xf>
    <xf numFmtId="165" fontId="6" fillId="4" borderId="31" xfId="0" applyNumberFormat="1" applyFont="1" applyFill="1" applyBorder="1" applyAlignment="1">
      <alignment horizontal="left" vertical="center"/>
    </xf>
    <xf numFmtId="0" fontId="0" fillId="4" borderId="31" xfId="0" applyFill="1" applyBorder="1" applyAlignment="1">
      <alignment horizontal="center" vertical="center"/>
    </xf>
    <xf numFmtId="0" fontId="5" fillId="4" borderId="20" xfId="0" applyFont="1" applyFill="1" applyBorder="1" applyAlignment="1">
      <alignment horizontal="left" vertical="center"/>
    </xf>
    <xf numFmtId="0" fontId="5" fillId="4" borderId="27" xfId="0" applyFont="1" applyFill="1" applyBorder="1" applyAlignment="1">
      <alignment horizontal="left" vertical="center"/>
    </xf>
    <xf numFmtId="166" fontId="6" fillId="5" borderId="32" xfId="2" applyNumberFormat="1" applyFont="1" applyFill="1" applyBorder="1" applyAlignment="1">
      <alignment horizontal="center" vertical="center"/>
    </xf>
    <xf numFmtId="1" fontId="0" fillId="4" borderId="32" xfId="0" applyNumberFormat="1" applyFill="1" applyBorder="1" applyAlignment="1">
      <alignment horizontal="center" vertical="center"/>
    </xf>
    <xf numFmtId="165" fontId="6" fillId="4" borderId="32" xfId="0" applyNumberFormat="1" applyFont="1" applyFill="1" applyBorder="1" applyAlignment="1">
      <alignment horizontal="left" vertical="center"/>
    </xf>
    <xf numFmtId="0" fontId="14" fillId="0" borderId="0" xfId="0" applyFont="1"/>
    <xf numFmtId="3" fontId="8" fillId="4" borderId="30" xfId="1" applyNumberFormat="1" applyFill="1" applyBorder="1" applyAlignment="1">
      <alignment horizontal="center" vertical="center"/>
    </xf>
    <xf numFmtId="3" fontId="8" fillId="4" borderId="31" xfId="1" applyNumberFormat="1" applyFill="1" applyBorder="1" applyAlignment="1">
      <alignment horizontal="center" vertical="center"/>
    </xf>
    <xf numFmtId="3" fontId="8" fillId="4" borderId="32" xfId="1" applyNumberFormat="1" applyFill="1" applyBorder="1" applyAlignment="1">
      <alignment horizontal="center" vertical="center"/>
    </xf>
    <xf numFmtId="0" fontId="8" fillId="4" borderId="31" xfId="1" applyFill="1" applyBorder="1" applyAlignment="1">
      <alignment horizontal="center" vertical="center"/>
    </xf>
    <xf numFmtId="0" fontId="8" fillId="4" borderId="32" xfId="1" applyFill="1" applyBorder="1" applyAlignment="1">
      <alignment horizontal="center" vertical="center"/>
    </xf>
    <xf numFmtId="0" fontId="0" fillId="0" borderId="0" xfId="0" applyAlignment="1">
      <alignment horizontal="left"/>
    </xf>
    <xf numFmtId="0" fontId="0" fillId="0" borderId="0" xfId="0" applyAlignment="1">
      <alignment horizontal="right"/>
    </xf>
    <xf numFmtId="0" fontId="5" fillId="3" borderId="29" xfId="0" applyFont="1" applyFill="1" applyBorder="1" applyAlignment="1">
      <alignment horizontal="center" vertical="center" wrapText="1"/>
    </xf>
    <xf numFmtId="3" fontId="5" fillId="7" borderId="28" xfId="0" applyNumberFormat="1" applyFont="1" applyFill="1" applyBorder="1" applyAlignment="1">
      <alignment horizontal="center" vertical="center"/>
    </xf>
    <xf numFmtId="0" fontId="15" fillId="0" borderId="0" xfId="0" applyFont="1"/>
    <xf numFmtId="168" fontId="0" fillId="0" borderId="0" xfId="0" applyNumberFormat="1" applyAlignment="1">
      <alignment horizontal="center"/>
    </xf>
    <xf numFmtId="167" fontId="0" fillId="5" borderId="34" xfId="0" applyNumberFormat="1" applyFill="1" applyBorder="1" applyAlignment="1">
      <alignment horizontal="right" vertical="center"/>
    </xf>
    <xf numFmtId="167" fontId="0" fillId="5" borderId="35" xfId="0" applyNumberFormat="1" applyFill="1" applyBorder="1" applyAlignment="1">
      <alignment horizontal="right" vertical="center"/>
    </xf>
    <xf numFmtId="167" fontId="0" fillId="5" borderId="27" xfId="0" applyNumberFormat="1" applyFill="1" applyBorder="1" applyAlignment="1">
      <alignment horizontal="right" vertical="center"/>
    </xf>
    <xf numFmtId="167" fontId="0" fillId="5" borderId="36" xfId="0" applyNumberFormat="1" applyFill="1" applyBorder="1" applyAlignment="1">
      <alignment horizontal="right" vertical="center"/>
    </xf>
    <xf numFmtId="3" fontId="6" fillId="4" borderId="34" xfId="0" applyNumberFormat="1" applyFont="1" applyFill="1" applyBorder="1" applyAlignment="1">
      <alignment horizontal="left" vertical="center"/>
    </xf>
    <xf numFmtId="3" fontId="6" fillId="4" borderId="27" xfId="0" applyNumberFormat="1" applyFont="1" applyFill="1" applyBorder="1" applyAlignment="1">
      <alignment horizontal="left" vertical="center"/>
    </xf>
    <xf numFmtId="3" fontId="6" fillId="4" borderId="35" xfId="0" applyNumberFormat="1" applyFont="1" applyFill="1" applyBorder="1" applyAlignment="1">
      <alignment horizontal="left" vertical="center"/>
    </xf>
    <xf numFmtId="3" fontId="6" fillId="4" borderId="36" xfId="0" applyNumberFormat="1" applyFont="1" applyFill="1" applyBorder="1" applyAlignment="1">
      <alignment horizontal="left" vertical="center"/>
    </xf>
    <xf numFmtId="0" fontId="0" fillId="4" borderId="5" xfId="0" applyFill="1" applyBorder="1" applyAlignment="1">
      <alignment horizontal="center" vertical="center"/>
    </xf>
    <xf numFmtId="0" fontId="0" fillId="4" borderId="7" xfId="0" applyFill="1" applyBorder="1" applyAlignment="1">
      <alignment horizontal="center" vertical="center"/>
    </xf>
    <xf numFmtId="165" fontId="8" fillId="4" borderId="20" xfId="1" applyNumberFormat="1" applyFill="1" applyBorder="1" applyAlignment="1">
      <alignment horizontal="center" vertical="center"/>
    </xf>
    <xf numFmtId="165" fontId="8" fillId="4" borderId="21" xfId="1" applyNumberFormat="1" applyFill="1" applyBorder="1" applyAlignment="1">
      <alignment horizontal="center" vertical="center"/>
    </xf>
    <xf numFmtId="166" fontId="0" fillId="4" borderId="1" xfId="2" applyNumberFormat="1" applyFont="1" applyFill="1" applyBorder="1" applyAlignment="1">
      <alignment horizontal="center" vertical="center"/>
    </xf>
    <xf numFmtId="166" fontId="0" fillId="4" borderId="9" xfId="2" applyNumberFormat="1" applyFont="1" applyFill="1" applyBorder="1" applyAlignment="1">
      <alignment horizontal="center" vertical="center"/>
    </xf>
    <xf numFmtId="165" fontId="8" fillId="5" borderId="17" xfId="1" applyNumberFormat="1" applyFill="1" applyBorder="1" applyAlignment="1">
      <alignment horizontal="center" vertical="center"/>
    </xf>
    <xf numFmtId="165" fontId="8" fillId="5" borderId="12" xfId="1" applyNumberFormat="1" applyFill="1" applyBorder="1" applyAlignment="1">
      <alignment horizontal="center" vertical="center"/>
    </xf>
    <xf numFmtId="0" fontId="15" fillId="0" borderId="0" xfId="0" applyFont="1" applyAlignment="1">
      <alignment horizontal="left"/>
    </xf>
    <xf numFmtId="0" fontId="16" fillId="0" borderId="0" xfId="0" applyFont="1" applyAlignment="1">
      <alignment horizontal="left"/>
    </xf>
    <xf numFmtId="3" fontId="6" fillId="5" borderId="9" xfId="0" applyNumberFormat="1" applyFont="1" applyFill="1" applyBorder="1" applyAlignment="1">
      <alignment horizontal="center" vertical="center"/>
    </xf>
    <xf numFmtId="165" fontId="6" fillId="5" borderId="7" xfId="0" applyNumberFormat="1" applyFont="1" applyFill="1" applyBorder="1" applyAlignment="1">
      <alignment horizontal="center" vertical="center" wrapText="1"/>
    </xf>
    <xf numFmtId="166" fontId="5" fillId="5" borderId="6" xfId="2" applyNumberFormat="1" applyFont="1" applyFill="1" applyBorder="1" applyAlignment="1">
      <alignment horizontal="center" vertical="center"/>
    </xf>
    <xf numFmtId="166" fontId="6" fillId="5" borderId="33" xfId="2" applyNumberFormat="1" applyFont="1" applyFill="1" applyBorder="1" applyAlignment="1">
      <alignment horizontal="center" vertical="center"/>
    </xf>
    <xf numFmtId="0" fontId="6" fillId="5" borderId="7" xfId="0" applyFont="1" applyFill="1" applyBorder="1" applyAlignment="1">
      <alignment horizontal="center" vertical="center"/>
    </xf>
    <xf numFmtId="166" fontId="6" fillId="5" borderId="6" xfId="2" applyNumberFormat="1" applyFont="1" applyFill="1" applyBorder="1" applyAlignment="1">
      <alignment horizontal="center" vertical="center"/>
    </xf>
    <xf numFmtId="0" fontId="6" fillId="0" borderId="0" xfId="4"/>
    <xf numFmtId="0" fontId="6" fillId="0" borderId="0" xfId="4" applyAlignment="1">
      <alignment vertical="top"/>
    </xf>
    <xf numFmtId="3" fontId="6" fillId="0" borderId="0" xfId="4" applyNumberFormat="1"/>
    <xf numFmtId="0" fontId="6" fillId="0" borderId="0" xfId="4" applyAlignment="1">
      <alignment horizontal="left"/>
    </xf>
    <xf numFmtId="0" fontId="6" fillId="0" borderId="0" xfId="4" applyAlignment="1">
      <alignment wrapText="1"/>
    </xf>
    <xf numFmtId="0" fontId="6" fillId="0" borderId="0" xfId="0" applyFont="1" applyAlignment="1">
      <alignment horizontal="left" vertical="center" wrapText="1"/>
    </xf>
    <xf numFmtId="0" fontId="18" fillId="8" borderId="0" xfId="5" applyFont="1" applyFill="1"/>
    <xf numFmtId="0" fontId="17" fillId="8" borderId="0" xfId="5" applyFill="1"/>
    <xf numFmtId="0" fontId="17" fillId="0" borderId="0" xfId="5"/>
    <xf numFmtId="168" fontId="0" fillId="0" borderId="0" xfId="0" applyNumberFormat="1" applyAlignment="1">
      <alignment horizontal="left"/>
    </xf>
    <xf numFmtId="0" fontId="0" fillId="0" borderId="35" xfId="0" applyBorder="1"/>
    <xf numFmtId="0" fontId="6" fillId="5" borderId="37" xfId="0" applyFont="1" applyFill="1" applyBorder="1" applyAlignment="1">
      <alignment horizontal="center" vertical="center" wrapText="1"/>
    </xf>
    <xf numFmtId="0" fontId="6" fillId="5" borderId="27" xfId="0" applyFont="1" applyFill="1" applyBorder="1" applyAlignment="1">
      <alignment horizontal="center" vertical="center" wrapText="1"/>
    </xf>
    <xf numFmtId="0" fontId="6" fillId="5" borderId="31" xfId="0" applyFont="1" applyFill="1" applyBorder="1" applyAlignment="1">
      <alignment horizontal="center" vertical="center" wrapText="1"/>
    </xf>
    <xf numFmtId="0" fontId="5" fillId="0" borderId="0" xfId="0" applyFont="1" applyAlignment="1">
      <alignment horizontal="center"/>
    </xf>
    <xf numFmtId="170" fontId="0" fillId="0" borderId="0" xfId="2" applyNumberFormat="1" applyFont="1"/>
    <xf numFmtId="169" fontId="0" fillId="0" borderId="0" xfId="3" applyNumberFormat="1" applyFont="1"/>
    <xf numFmtId="172" fontId="6" fillId="4" borderId="30" xfId="0" applyNumberFormat="1" applyFont="1" applyFill="1" applyBorder="1" applyAlignment="1">
      <alignment horizontal="center" vertical="center"/>
    </xf>
    <xf numFmtId="170" fontId="6" fillId="4" borderId="31" xfId="2" applyNumberFormat="1" applyFont="1" applyFill="1" applyBorder="1" applyAlignment="1">
      <alignment horizontal="center" vertical="center"/>
    </xf>
    <xf numFmtId="171" fontId="6" fillId="4" borderId="31" xfId="0" applyNumberFormat="1" applyFont="1" applyFill="1" applyBorder="1" applyAlignment="1">
      <alignment horizontal="center" vertical="center"/>
    </xf>
    <xf numFmtId="172" fontId="6" fillId="4" borderId="31" xfId="0" applyNumberFormat="1" applyFont="1" applyFill="1" applyBorder="1" applyAlignment="1">
      <alignment horizontal="center" vertical="center"/>
    </xf>
    <xf numFmtId="172" fontId="6" fillId="4" borderId="32" xfId="0" applyNumberFormat="1" applyFont="1" applyFill="1" applyBorder="1" applyAlignment="1">
      <alignment horizontal="center" vertical="center"/>
    </xf>
    <xf numFmtId="172" fontId="0" fillId="5" borderId="1" xfId="0" applyNumberFormat="1" applyFill="1" applyBorder="1" applyAlignment="1">
      <alignment horizontal="center" vertical="center"/>
    </xf>
    <xf numFmtId="172" fontId="5" fillId="5" borderId="24" xfId="0" applyNumberFormat="1" applyFont="1" applyFill="1" applyBorder="1" applyAlignment="1">
      <alignment horizontal="center" vertical="center"/>
    </xf>
    <xf numFmtId="170" fontId="0" fillId="5" borderId="4" xfId="2" applyNumberFormat="1" applyFont="1" applyFill="1" applyBorder="1" applyAlignment="1">
      <alignment horizontal="center" vertical="center"/>
    </xf>
    <xf numFmtId="170" fontId="0" fillId="5" borderId="22" xfId="2" applyNumberFormat="1" applyFont="1" applyFill="1" applyBorder="1" applyAlignment="1">
      <alignment horizontal="center" vertical="center"/>
    </xf>
    <xf numFmtId="172" fontId="0" fillId="5" borderId="31" xfId="0" applyNumberFormat="1" applyFill="1" applyBorder="1" applyAlignment="1">
      <alignment horizontal="center" vertical="center"/>
    </xf>
    <xf numFmtId="170" fontId="0" fillId="5" borderId="31" xfId="2" applyNumberFormat="1" applyFont="1" applyFill="1" applyBorder="1" applyAlignment="1">
      <alignment horizontal="center" vertical="center"/>
    </xf>
    <xf numFmtId="170" fontId="0" fillId="4" borderId="31" xfId="2" applyNumberFormat="1" applyFont="1" applyFill="1" applyBorder="1" applyAlignment="1">
      <alignment horizontal="center" vertical="center"/>
    </xf>
    <xf numFmtId="170" fontId="0" fillId="5" borderId="31" xfId="0" applyNumberFormat="1" applyFill="1" applyBorder="1" applyAlignment="1">
      <alignment horizontal="center" vertical="center"/>
    </xf>
    <xf numFmtId="170" fontId="0" fillId="4" borderId="32" xfId="2" applyNumberFormat="1" applyFont="1" applyFill="1" applyBorder="1" applyAlignment="1">
      <alignment horizontal="center" vertical="center"/>
    </xf>
    <xf numFmtId="172" fontId="6" fillId="5" borderId="2" xfId="0" applyNumberFormat="1" applyFont="1" applyFill="1" applyBorder="1" applyAlignment="1">
      <alignment horizontal="center" vertical="center"/>
    </xf>
    <xf numFmtId="172" fontId="6" fillId="5" borderId="4" xfId="0" applyNumberFormat="1" applyFont="1" applyFill="1" applyBorder="1" applyAlignment="1">
      <alignment horizontal="center" vertical="center"/>
    </xf>
    <xf numFmtId="172" fontId="5" fillId="5" borderId="6" xfId="0" applyNumberFormat="1" applyFont="1" applyFill="1" applyBorder="1" applyAlignment="1">
      <alignment horizontal="center" vertical="center"/>
    </xf>
    <xf numFmtId="172" fontId="0" fillId="0" borderId="0" xfId="0" applyNumberFormat="1"/>
    <xf numFmtId="172" fontId="6" fillId="4" borderId="4" xfId="0" applyNumberFormat="1" applyFont="1" applyFill="1" applyBorder="1" applyAlignment="1">
      <alignment horizontal="center" vertical="center"/>
    </xf>
    <xf numFmtId="172" fontId="6" fillId="4" borderId="25" xfId="0" applyNumberFormat="1" applyFont="1" applyFill="1" applyBorder="1" applyAlignment="1">
      <alignment horizontal="center" vertical="center"/>
    </xf>
    <xf numFmtId="172" fontId="6" fillId="4" borderId="2" xfId="0" applyNumberFormat="1" applyFont="1" applyFill="1" applyBorder="1" applyAlignment="1">
      <alignment horizontal="center" vertical="center"/>
    </xf>
    <xf numFmtId="169" fontId="0" fillId="0" borderId="0" xfId="0" applyNumberFormat="1"/>
    <xf numFmtId="0" fontId="17" fillId="0" borderId="0" xfId="6"/>
    <xf numFmtId="0" fontId="20" fillId="0" borderId="0" xfId="0" applyFont="1" applyAlignment="1">
      <alignment horizontal="center"/>
    </xf>
    <xf numFmtId="0" fontId="6" fillId="0" borderId="0" xfId="4" applyAlignment="1">
      <alignment vertical="center"/>
    </xf>
    <xf numFmtId="0" fontId="6" fillId="4" borderId="17" xfId="0" applyFont="1" applyFill="1" applyBorder="1" applyAlignment="1">
      <alignment horizontal="left" vertical="center" wrapText="1"/>
    </xf>
    <xf numFmtId="0" fontId="6" fillId="4" borderId="33" xfId="0" applyFont="1" applyFill="1" applyBorder="1" applyAlignment="1">
      <alignment horizontal="left" vertical="center" wrapText="1"/>
    </xf>
    <xf numFmtId="173" fontId="0" fillId="0" borderId="0" xfId="0" applyNumberFormat="1" applyAlignment="1">
      <alignment horizontal="center"/>
    </xf>
    <xf numFmtId="0" fontId="17" fillId="8" borderId="0" xfId="0" applyFont="1" applyFill="1"/>
    <xf numFmtId="0" fontId="0" fillId="8" borderId="0" xfId="0" applyFill="1"/>
    <xf numFmtId="174" fontId="0" fillId="0" borderId="0" xfId="2" applyNumberFormat="1" applyFont="1"/>
    <xf numFmtId="170" fontId="0" fillId="0" borderId="0" xfId="2" applyNumberFormat="1" applyFont="1" applyProtection="1">
      <protection locked="0"/>
    </xf>
    <xf numFmtId="169" fontId="0" fillId="0" borderId="0" xfId="3" applyNumberFormat="1" applyFont="1" applyProtection="1">
      <protection locked="0"/>
    </xf>
    <xf numFmtId="170" fontId="0" fillId="0" borderId="0" xfId="0" applyNumberFormat="1" applyProtection="1">
      <protection locked="0"/>
    </xf>
    <xf numFmtId="168" fontId="0" fillId="0" borderId="0" xfId="0" applyNumberFormat="1" applyAlignment="1" applyProtection="1">
      <alignment horizontal="center"/>
      <protection locked="0"/>
    </xf>
    <xf numFmtId="0" fontId="0" fillId="0" borderId="0" xfId="0" applyAlignment="1" applyProtection="1">
      <alignment horizontal="center"/>
      <protection locked="0"/>
    </xf>
    <xf numFmtId="168" fontId="0" fillId="0" borderId="0" xfId="0" applyNumberFormat="1" applyAlignment="1" applyProtection="1">
      <alignment horizontal="left"/>
      <protection locked="0"/>
    </xf>
    <xf numFmtId="170" fontId="0" fillId="0" borderId="0" xfId="2" applyNumberFormat="1" applyFont="1" applyFill="1" applyProtection="1">
      <protection locked="0"/>
    </xf>
    <xf numFmtId="3" fontId="5" fillId="7" borderId="12" xfId="0" applyNumberFormat="1" applyFont="1" applyFill="1" applyBorder="1" applyAlignment="1">
      <alignment horizontal="center" vertical="center"/>
    </xf>
    <xf numFmtId="3" fontId="5" fillId="7" borderId="13" xfId="0" applyNumberFormat="1" applyFont="1" applyFill="1" applyBorder="1" applyAlignment="1">
      <alignment horizontal="center" vertical="center"/>
    </xf>
    <xf numFmtId="0" fontId="6" fillId="0" borderId="0" xfId="0" applyFont="1" applyAlignment="1">
      <alignment horizontal="left" vertical="top" wrapText="1"/>
    </xf>
    <xf numFmtId="0" fontId="5" fillId="0" borderId="0" xfId="0" applyFont="1" applyAlignment="1">
      <alignment horizontal="left" vertical="top" wrapText="1"/>
    </xf>
    <xf numFmtId="0" fontId="5" fillId="3" borderId="10"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2" borderId="0" xfId="0" applyFont="1" applyFill="1" applyAlignment="1">
      <alignment horizontal="left" vertical="top" wrapText="1"/>
    </xf>
    <xf numFmtId="0" fontId="6" fillId="0" borderId="14" xfId="0" applyFont="1" applyBorder="1" applyAlignment="1">
      <alignment horizontal="left" vertical="top" wrapText="1"/>
    </xf>
    <xf numFmtId="0" fontId="5" fillId="3" borderId="37"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5" fillId="3" borderId="39" xfId="0" applyFont="1" applyFill="1" applyBorder="1" applyAlignment="1">
      <alignment horizontal="center" vertical="center" wrapText="1"/>
    </xf>
    <xf numFmtId="9" fontId="5" fillId="4" borderId="6" xfId="2" applyFont="1" applyFill="1" applyBorder="1" applyAlignment="1">
      <alignment horizontal="center" vertical="center" wrapText="1"/>
    </xf>
    <xf numFmtId="9" fontId="5" fillId="4" borderId="9" xfId="2" applyFont="1" applyFill="1" applyBorder="1" applyAlignment="1">
      <alignment horizontal="center" vertical="center" wrapText="1"/>
    </xf>
    <xf numFmtId="9" fontId="5" fillId="4" borderId="7" xfId="2" applyFont="1" applyFill="1" applyBorder="1" applyAlignment="1">
      <alignment horizontal="center" vertical="center" wrapText="1"/>
    </xf>
  </cellXfs>
  <cellStyles count="7">
    <cellStyle name="Lien hypertexte" xfId="1" builtinId="8"/>
    <cellStyle name="Milliers" xfId="3" builtinId="3"/>
    <cellStyle name="Normal" xfId="0" builtinId="0"/>
    <cellStyle name="Normal 2" xfId="4" xr:uid="{00000000-0005-0000-0000-000003000000}"/>
    <cellStyle name="Normal 7 2" xfId="6" xr:uid="{00000000-0005-0000-0000-000004000000}"/>
    <cellStyle name="Normal 8" xfId="5" xr:uid="{00000000-0005-0000-0000-000005000000}"/>
    <cellStyle name="Pourcentage" xfId="2" builtinId="5"/>
  </cellStyles>
  <dxfs count="5">
    <dxf>
      <fill>
        <patternFill patternType="lightHorizontal"/>
      </fill>
    </dxf>
    <dxf>
      <fill>
        <patternFill patternType="lightHorizontal"/>
      </fill>
    </dxf>
    <dxf>
      <fill>
        <patternFill patternType="lightHorizontal"/>
      </fill>
    </dxf>
    <dxf>
      <fill>
        <patternFill patternType="lightDown"/>
      </fill>
    </dxf>
    <dxf>
      <font>
        <b/>
        <i val="0"/>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3" Type="http://schemas.openxmlformats.org/officeDocument/2006/relationships/image" Target="../media/image12.png"/><Relationship Id="rId7" Type="http://schemas.openxmlformats.org/officeDocument/2006/relationships/image" Target="../media/image16.png"/><Relationship Id="rId12" Type="http://schemas.openxmlformats.org/officeDocument/2006/relationships/image" Target="../media/image21.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5" Type="http://schemas.openxmlformats.org/officeDocument/2006/relationships/image" Target="../media/image2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 Id="rId1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oneCellAnchor>
    <xdr:from>
      <xdr:col>1</xdr:col>
      <xdr:colOff>259556</xdr:colOff>
      <xdr:row>2</xdr:row>
      <xdr:rowOff>390525</xdr:rowOff>
    </xdr:from>
    <xdr:ext cx="1085850" cy="108585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uri="{FF2B5EF4-FFF2-40B4-BE49-F238E27FC236}">
              <a16:creationId xmlns:a16="http://schemas.microsoft.com/office/drawing/2014/main" id="{0F598BA5-94C0-AE46-B45D-8FE246E8B505}"/>
            </a:ext>
          </a:extLst>
        </xdr:cNvPr>
        <xdr:cNvGrpSpPr/>
      </xdr:nvGrpSpPr>
      <xdr:grpSpPr>
        <a:xfrm>
          <a:off x="5575300" y="1603375"/>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uri="{FF2B5EF4-FFF2-40B4-BE49-F238E27FC236}">
              <a16:creationId xmlns:a16="http://schemas.microsoft.com/office/drawing/2014/main" id="{0D150D08-123E-3044-BE64-439426A57D1D}"/>
            </a:ext>
          </a:extLst>
        </xdr:cNvPr>
        <xdr:cNvGrpSpPr/>
      </xdr:nvGrpSpPr>
      <xdr:grpSpPr>
        <a:xfrm>
          <a:off x="5575300" y="1603375"/>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6"/>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7"/>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8"/>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uri="{FF2B5EF4-FFF2-40B4-BE49-F238E27FC236}">
              <a16:creationId xmlns:a16="http://schemas.microsoft.com/office/drawing/2014/main" id="{D40E9B66-85FD-4095-A240-4856752251F2}"/>
            </a:ext>
          </a:extLst>
        </xdr:cNvPr>
        <xdr:cNvPicPr>
          <a:picLocks noChangeAspect="1"/>
        </xdr:cNvPicPr>
      </xdr:nvPicPr>
      <xdr:blipFill>
        <a:blip xmlns:r="http://schemas.openxmlformats.org/officeDocument/2006/relationships"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uri="{FF2B5EF4-FFF2-40B4-BE49-F238E27FC236}">
              <a16:creationId xmlns:a16="http://schemas.microsoft.com/office/drawing/2014/main" id="{FE6D0242-1F84-4081-A0FB-BD853D608B22}"/>
            </a:ext>
          </a:extLst>
        </xdr:cNvPr>
        <xdr:cNvPicPr>
          <a:picLocks noChangeAspect="1"/>
        </xdr:cNvPicPr>
      </xdr:nvPicPr>
      <xdr:blipFill>
        <a:blip xmlns:r="http://schemas.openxmlformats.org/officeDocument/2006/relationships"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uri="{FF2B5EF4-FFF2-40B4-BE49-F238E27FC236}">
              <a16:creationId xmlns:a16="http://schemas.microsoft.com/office/drawing/2014/main" id="{34D658F9-9996-4E68-B5D7-85A842E8201A}"/>
            </a:ext>
          </a:extLst>
        </xdr:cNvPr>
        <xdr:cNvPicPr>
          <a:picLocks noChangeAspect="1"/>
        </xdr:cNvPicPr>
      </xdr:nvPicPr>
      <xdr:blipFill>
        <a:blip xmlns:r="http://schemas.openxmlformats.org/officeDocument/2006/relationships"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uri="{FF2B5EF4-FFF2-40B4-BE49-F238E27FC236}">
              <a16:creationId xmlns:a16="http://schemas.microsoft.com/office/drawing/2014/main" id="{7BB6EEBF-291D-4421-9A14-77CE4D927F49}"/>
            </a:ext>
          </a:extLst>
        </xdr:cNvPr>
        <xdr:cNvPicPr>
          <a:picLocks noChangeAspect="1"/>
        </xdr:cNvPicPr>
      </xdr:nvPicPr>
      <xdr:blipFill>
        <a:blip xmlns:r="http://schemas.openxmlformats.org/officeDocument/2006/relationships"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uri="{FF2B5EF4-FFF2-40B4-BE49-F238E27FC236}">
              <a16:creationId xmlns:a16="http://schemas.microsoft.com/office/drawing/2014/main" id="{AF4D20F6-A730-434B-9D3D-A65B990C4A07}"/>
            </a:ext>
          </a:extLst>
        </xdr:cNvPr>
        <xdr:cNvPicPr>
          <a:picLocks noChangeAspect="1"/>
        </xdr:cNvPicPr>
      </xdr:nvPicPr>
      <xdr:blipFill>
        <a:blip xmlns:r="http://schemas.openxmlformats.org/officeDocument/2006/relationships"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uri="{FF2B5EF4-FFF2-40B4-BE49-F238E27FC236}">
              <a16:creationId xmlns:a16="http://schemas.microsoft.com/office/drawing/2014/main" id="{42C9A478-D7B7-4FAA-B068-10F30B1B492F}"/>
            </a:ext>
          </a:extLst>
        </xdr:cNvPr>
        <xdr:cNvPicPr>
          <a:picLocks noChangeAspect="1"/>
        </xdr:cNvPicPr>
      </xdr:nvPicPr>
      <xdr:blipFill rotWithShape="1">
        <a:blip xmlns:r="http://schemas.openxmlformats.org/officeDocument/2006/relationships"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uri="{FF2B5EF4-FFF2-40B4-BE49-F238E27FC236}">
              <a16:creationId xmlns:a16="http://schemas.microsoft.com/office/drawing/2014/main" id="{32232CBC-AEC4-4F19-AD93-3DFCA4CEE4A0}"/>
            </a:ext>
          </a:extLst>
        </xdr:cNvPr>
        <xdr:cNvPicPr>
          <a:picLocks noChangeAspect="1"/>
        </xdr:cNvPicPr>
      </xdr:nvPicPr>
      <xdr:blipFill>
        <a:blip xmlns:r="http://schemas.openxmlformats.org/officeDocument/2006/relationships"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uri="{FF2B5EF4-FFF2-40B4-BE49-F238E27FC236}">
              <a16:creationId xmlns:a16="http://schemas.microsoft.com/office/drawing/2014/main" id="{8CE258A9-6FBC-4A78-8DE6-FADD600104F0}"/>
            </a:ext>
          </a:extLst>
        </xdr:cNvPr>
        <xdr:cNvPicPr>
          <a:picLocks noChangeAspect="1"/>
        </xdr:cNvPicPr>
      </xdr:nvPicPr>
      <xdr:blipFill>
        <a:blip xmlns:r="http://schemas.openxmlformats.org/officeDocument/2006/relationships"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uri="{FF2B5EF4-FFF2-40B4-BE49-F238E27FC236}">
              <a16:creationId xmlns:a16="http://schemas.microsoft.com/office/drawing/2014/main" id="{D8661FE3-5C22-4561-87D6-309BD6367C41}"/>
            </a:ext>
          </a:extLst>
        </xdr:cNvPr>
        <xdr:cNvPicPr>
          <a:picLocks noChangeAspect="1"/>
        </xdr:cNvPicPr>
      </xdr:nvPicPr>
      <xdr:blipFill>
        <a:blip xmlns:r="http://schemas.openxmlformats.org/officeDocument/2006/relationships"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uri="{FF2B5EF4-FFF2-40B4-BE49-F238E27FC236}">
              <a16:creationId xmlns:a16="http://schemas.microsoft.com/office/drawing/2014/main" id="{A545760C-0E33-4A6B-8177-44E2F7C61C59}"/>
            </a:ext>
          </a:extLst>
        </xdr:cNvPr>
        <xdr:cNvPicPr>
          <a:picLocks noChangeAspect="1"/>
        </xdr:cNvPicPr>
      </xdr:nvPicPr>
      <xdr:blipFill>
        <a:blip xmlns:r="http://schemas.openxmlformats.org/officeDocument/2006/relationships"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uri="{FF2B5EF4-FFF2-40B4-BE49-F238E27FC236}">
              <a16:creationId xmlns:a16="http://schemas.microsoft.com/office/drawing/2014/main" id="{57AA9411-F20C-4069-B0C1-0A38DD6B9C5A}"/>
            </a:ext>
          </a:extLst>
        </xdr:cNvPr>
        <xdr:cNvPicPr>
          <a:picLocks noChangeAspect="1"/>
        </xdr:cNvPicPr>
      </xdr:nvPicPr>
      <xdr:blipFill>
        <a:blip xmlns:r="http://schemas.openxmlformats.org/officeDocument/2006/relationships"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uri="{FF2B5EF4-FFF2-40B4-BE49-F238E27FC236}">
              <a16:creationId xmlns:a16="http://schemas.microsoft.com/office/drawing/2014/main" id="{FADBED3E-C659-4C16-A6F1-9A783A2C1F9D}"/>
            </a:ext>
          </a:extLst>
        </xdr:cNvPr>
        <xdr:cNvPicPr>
          <a:picLocks noChangeAspect="1"/>
        </xdr:cNvPicPr>
      </xdr:nvPicPr>
      <xdr:blipFill>
        <a:blip xmlns:r="http://schemas.openxmlformats.org/officeDocument/2006/relationships"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uri="{FF2B5EF4-FFF2-40B4-BE49-F238E27FC236}">
              <a16:creationId xmlns:a16="http://schemas.microsoft.com/office/drawing/2014/main" id="{61C83F46-10E4-4BFE-BFB3-2C4AD162E573}"/>
            </a:ext>
          </a:extLst>
        </xdr:cNvPr>
        <xdr:cNvPicPr>
          <a:picLocks noChangeAspect="1"/>
        </xdr:cNvPicPr>
      </xdr:nvPicPr>
      <xdr:blipFill>
        <a:blip xmlns:r="http://schemas.openxmlformats.org/officeDocument/2006/relationships"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uri="{FF2B5EF4-FFF2-40B4-BE49-F238E27FC236}">
              <a16:creationId xmlns:a16="http://schemas.microsoft.com/office/drawing/2014/main" id="{9156D0E4-1C8F-4F1C-AD49-0F748C314257}"/>
            </a:ext>
          </a:extLst>
        </xdr:cNvPr>
        <xdr:cNvPicPr>
          <a:picLocks noChangeAspect="1"/>
        </xdr:cNvPicPr>
      </xdr:nvPicPr>
      <xdr:blipFill>
        <a:blip xmlns:r="http://schemas.openxmlformats.org/officeDocument/2006/relationships"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uri="{FF2B5EF4-FFF2-40B4-BE49-F238E27FC236}">
              <a16:creationId xmlns:a16="http://schemas.microsoft.com/office/drawing/2014/main" id="{A266A4F9-88DB-4F5E-A74E-706A4EB9D891}"/>
            </a:ext>
          </a:extLst>
        </xdr:cNvPr>
        <xdr:cNvPicPr>
          <a:picLocks noChangeAspect="1"/>
        </xdr:cNvPicPr>
      </xdr:nvPicPr>
      <xdr:blipFill>
        <a:blip xmlns:r="http://schemas.openxmlformats.org/officeDocument/2006/relationships"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34"/>
  <sheetViews>
    <sheetView showGridLines="0" tabSelected="1" zoomScaleNormal="100" zoomScaleSheetLayoutView="70" workbookViewId="0"/>
  </sheetViews>
  <sheetFormatPr baseColWidth="10" defaultColWidth="8.6640625" defaultRowHeight="15" x14ac:dyDescent="0.2"/>
  <cols>
    <col min="1" max="1" width="14.6640625" bestFit="1" customWidth="1"/>
    <col min="2" max="2" width="20.6640625" customWidth="1"/>
    <col min="3" max="3" width="70.6640625" customWidth="1"/>
  </cols>
  <sheetData>
    <row r="1" spans="1:3" ht="25.5" x14ac:dyDescent="0.35">
      <c r="A1" s="127" t="s">
        <v>107</v>
      </c>
      <c r="B1" s="109"/>
    </row>
    <row r="2" spans="1:3" ht="26.25" x14ac:dyDescent="0.4">
      <c r="A2" s="128" t="s">
        <v>106</v>
      </c>
      <c r="B2" s="127" t="s">
        <v>149</v>
      </c>
    </row>
    <row r="3" spans="1:3" ht="60" customHeight="1" x14ac:dyDescent="0.35">
      <c r="C3" s="4" t="str">
        <f>HLOOKUP($A$2,nametranslations,2,FALSE)</f>
        <v>Sustainable Development Goal 6 Monitoring</v>
      </c>
    </row>
    <row r="4" spans="1:3" ht="180.75" customHeight="1" x14ac:dyDescent="0.35">
      <c r="C4" s="4" t="str">
        <f>HLOOKUP($A$2,nametranslations,3,FALSE)</f>
        <v>6.3.1 Safely Treated Household Wastewater</v>
      </c>
    </row>
    <row r="5" spans="1:3" ht="79.5" customHeight="1" x14ac:dyDescent="0.5">
      <c r="C5" s="2" t="str">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Italy</v>
      </c>
    </row>
    <row r="6" spans="1:3" ht="33.950000000000003" customHeight="1" x14ac:dyDescent="0.2">
      <c r="C6" s="21" t="str">
        <f>HLOOKUP($A$2,nametranslations,4,FALSE)</f>
        <v>Country Estimate</v>
      </c>
    </row>
    <row r="7" spans="1:3" ht="24" customHeight="1" x14ac:dyDescent="0.2">
      <c r="C7" s="21">
        <v>2022</v>
      </c>
    </row>
    <row r="8" spans="1:3" ht="38.25" customHeight="1" x14ac:dyDescent="0.2">
      <c r="C8" s="20" t="str">
        <f>IF(LEFT('C- WW management chain'!A25,3)=HLOOKUP($A$2,nametranslations,172,FALSE),HLOOKUP($A$2,nametranslations,5,FALSE) &amp; " " &amp;ROUND(_xlfn.SINGLE(v40_),0)&amp;"%",HLOOKUP($A$2,nametranslations,6,FALSE))</f>
        <v>Safely Treated Household Wastewater: 70%</v>
      </c>
    </row>
    <row r="9" spans="1:3" ht="39.950000000000003" customHeight="1" x14ac:dyDescent="0.3">
      <c r="C9" s="3" t="str">
        <f>HLOOKUP($A$2,nametranslations,7,FALSE)</f>
        <v>Background and methods</v>
      </c>
    </row>
    <row r="10" spans="1:3" ht="15.95" customHeight="1" x14ac:dyDescent="0.3">
      <c r="C10" s="3"/>
    </row>
    <row r="11" spans="1:3" ht="20.25" customHeight="1" x14ac:dyDescent="0.2">
      <c r="C11" s="5" t="str">
        <f>HLOOKUP($A$2,nametranslations,8,FALSE)</f>
        <v>Guidance for the reader / user</v>
      </c>
    </row>
    <row r="12" spans="1:3" ht="20.25" customHeight="1" x14ac:dyDescent="0.2">
      <c r="C12" s="1"/>
    </row>
    <row r="13" spans="1:3" ht="39.950000000000003" customHeight="1" x14ac:dyDescent="0.3">
      <c r="C13" s="3" t="str">
        <f>HLOOKUP($A$2,nametranslations,9,FALSE)</f>
        <v>Data and sources</v>
      </c>
    </row>
    <row r="14" spans="1:3" x14ac:dyDescent="0.2">
      <c r="C14" s="5"/>
    </row>
    <row r="15" spans="1:3" ht="20.25" customHeight="1" x14ac:dyDescent="0.2">
      <c r="C15" s="5" t="str">
        <f>HLOOKUP($A$2,nametranslations,11,FALSE)</f>
        <v>Country estimate data summary</v>
      </c>
    </row>
    <row r="16" spans="1:3" ht="20.25" customHeight="1" x14ac:dyDescent="0.2">
      <c r="C16" s="5" t="str">
        <f>HLOOKUP($A$2,nametranslations,10,FALSE)</f>
        <v>Officially reported data</v>
      </c>
    </row>
    <row r="17" spans="3:3" ht="20.25" customHeight="1" x14ac:dyDescent="0.2"/>
    <row r="18" spans="3:3" ht="39.950000000000003" customHeight="1" x14ac:dyDescent="0.3">
      <c r="C18" s="3" t="str">
        <f>HLOOKUP($A$2,nametranslations,12,FALSE)</f>
        <v>Calculations and results</v>
      </c>
    </row>
    <row r="19" spans="3:3" ht="20.25" customHeight="1" x14ac:dyDescent="0.2">
      <c r="C19" s="5"/>
    </row>
    <row r="20" spans="3:3" ht="20.25" customHeight="1" x14ac:dyDescent="0.2">
      <c r="C20" s="5" t="str">
        <f>HLOOKUP($A$2,nametranslations,13,FALSE)</f>
        <v>Part A: Estimation of household wastewater generated</v>
      </c>
    </row>
    <row r="21" spans="3:3" ht="20.25" customHeight="1" x14ac:dyDescent="0.2">
      <c r="C21" s="5" t="str">
        <f>HLOOKUP($A$2,nametranslations,14,FALSE)</f>
        <v>Part B: Estimation of household wastewater generated by sanitation facility type</v>
      </c>
    </row>
    <row r="22" spans="3:3" ht="20.25" customHeight="1" x14ac:dyDescent="0.2">
      <c r="C22" s="5" t="str">
        <f>HLOOKUP($A$2,nametranslations,15,FALSE)</f>
        <v>Part C: Household wastewater management chain</v>
      </c>
    </row>
    <row r="23" spans="3:3" ht="20.25" customHeight="1" x14ac:dyDescent="0.2">
      <c r="C23" s="5" t="str">
        <f>HLOOKUP($A$2,nametranslations,16,FALSE)</f>
        <v>Part D: Estimation of household wastewater delivered to treatment facilities</v>
      </c>
    </row>
    <row r="24" spans="3:3" ht="20.25" customHeight="1" x14ac:dyDescent="0.2">
      <c r="C24" s="5" t="str">
        <f>HLOOKUP($A$2,nametranslations,17,FALSE)</f>
        <v>Part E: Estimation of household wastewater safely treated</v>
      </c>
    </row>
    <row r="25" spans="3:3" x14ac:dyDescent="0.2">
      <c r="C25" s="1"/>
    </row>
    <row r="26" spans="3:3" x14ac:dyDescent="0.2">
      <c r="C26" s="1"/>
    </row>
    <row r="27" spans="3:3" x14ac:dyDescent="0.2">
      <c r="C27" s="1"/>
    </row>
    <row r="28" spans="3:3" x14ac:dyDescent="0.2">
      <c r="C28" s="1"/>
    </row>
    <row r="29" spans="3:3" x14ac:dyDescent="0.2">
      <c r="C29" s="1"/>
    </row>
    <row r="30" spans="3:3" x14ac:dyDescent="0.2">
      <c r="C30" s="1"/>
    </row>
    <row r="31" spans="3:3" x14ac:dyDescent="0.2">
      <c r="C31" s="1"/>
    </row>
    <row r="32" spans="3:3" x14ac:dyDescent="0.2">
      <c r="C32" s="1"/>
    </row>
    <row r="33" spans="3:3" x14ac:dyDescent="0.2">
      <c r="C33" s="1"/>
    </row>
    <row r="34" spans="3:3" x14ac:dyDescent="0.2">
      <c r="C34" s="1"/>
    </row>
  </sheetData>
  <hyperlinks>
    <hyperlink ref="C20" location="'A- Generated'!A1" display="'A- Generated'!A1" xr:uid="{00000000-0004-0000-0000-000000000000}"/>
    <hyperlink ref="C11" location="Guidance!A1" display="Guidance" xr:uid="{00000000-0004-0000-0000-000001000000}"/>
    <hyperlink ref="C16" location="'Data inputs (reported)'!A1" display="'Data inputs (reported)'!A1" xr:uid="{00000000-0004-0000-0000-000002000000}"/>
    <hyperlink ref="C15" location="'Data inputs (all)'!A1" display="'Data inputs (all)'!A1" xr:uid="{00000000-0004-0000-0000-000003000000}"/>
    <hyperlink ref="C21:C24" location="'A- Generated'!A1" display="Part A: Household wastewater generated" xr:uid="{00000000-0004-0000-0000-000004000000}"/>
    <hyperlink ref="C24" location="'E- Safely treated'!A1" display="'E- Safely treated'!A1" xr:uid="{00000000-0004-0000-0000-000005000000}"/>
    <hyperlink ref="C23" location="'D- Delivered'!A1" display="'D- Delivered'!A1" xr:uid="{00000000-0004-0000-0000-000006000000}"/>
    <hyperlink ref="C22" location="'C- WW management chain'!A1" display="'C- WW management chain'!A1" xr:uid="{00000000-0004-0000-0000-000007000000}"/>
    <hyperlink ref="C21" location="'B- Generated by facility type'!A1" display="'B- Generated by facility type'!A1" xr:uid="{00000000-0004-0000-0000-000008000000}"/>
  </hyperlinks>
  <pageMargins left="0.7" right="0.7" top="0.75" bottom="0.75" header="0.3" footer="0.3"/>
  <pageSetup paperSize="9" scale="62" orientation="portrait" horizontalDpi="300" verticalDpi="300" r:id="rId1"/>
  <headerFooter scaleWithDoc="0" alignWithMargins="0">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M41"/>
  <sheetViews>
    <sheetView zoomScaleNormal="100" workbookViewId="0"/>
  </sheetViews>
  <sheetFormatPr baseColWidth="10" defaultColWidth="7.6640625" defaultRowHeight="15" x14ac:dyDescent="0.2"/>
  <cols>
    <col min="1" max="1" width="16.44140625" bestFit="1" customWidth="1"/>
    <col min="2" max="2" width="11.88671875" bestFit="1" customWidth="1"/>
    <col min="3" max="3" width="8" bestFit="1" customWidth="1"/>
    <col min="4" max="4" width="80.6640625" bestFit="1" customWidth="1"/>
    <col min="5" max="5" width="18.109375" bestFit="1" customWidth="1"/>
    <col min="6" max="6" width="7" bestFit="1" customWidth="1"/>
    <col min="7" max="7" width="13.44140625" bestFit="1" customWidth="1"/>
    <col min="8" max="8" width="7.109375" bestFit="1" customWidth="1"/>
    <col min="9" max="9" width="5" bestFit="1" customWidth="1"/>
    <col min="10" max="10" width="4.109375" bestFit="1" customWidth="1"/>
    <col min="11" max="11" width="100.44140625" bestFit="1" customWidth="1"/>
    <col min="12" max="12" width="11.44140625" bestFit="1" customWidth="1"/>
    <col min="13" max="13" width="255.6640625" bestFit="1" customWidth="1"/>
  </cols>
  <sheetData>
    <row r="1" spans="1:13" x14ac:dyDescent="0.2">
      <c r="A1" t="s">
        <v>2255</v>
      </c>
      <c r="B1" t="s">
        <v>100</v>
      </c>
      <c r="C1" t="s">
        <v>16</v>
      </c>
      <c r="D1" t="s">
        <v>17</v>
      </c>
      <c r="E1" t="s">
        <v>130</v>
      </c>
      <c r="F1" t="s">
        <v>9</v>
      </c>
      <c r="G1" t="s">
        <v>7</v>
      </c>
      <c r="H1" t="s">
        <v>10</v>
      </c>
      <c r="I1" t="s">
        <v>11</v>
      </c>
      <c r="J1" t="s">
        <v>82</v>
      </c>
      <c r="K1" t="s">
        <v>12</v>
      </c>
      <c r="L1" t="s">
        <v>86</v>
      </c>
      <c r="M1" t="s">
        <v>13</v>
      </c>
    </row>
    <row r="2" spans="1:13" ht="15.95" x14ac:dyDescent="0.2">
      <c r="A2" t="s">
        <v>192</v>
      </c>
      <c r="B2" s="6" t="s">
        <v>193</v>
      </c>
      <c r="C2" s="91">
        <v>1</v>
      </c>
      <c r="D2" t="s">
        <v>131</v>
      </c>
      <c r="E2" t="s">
        <v>2256</v>
      </c>
      <c r="F2" s="91">
        <v>59037.47</v>
      </c>
      <c r="G2" t="s">
        <v>2102</v>
      </c>
      <c r="H2" t="s">
        <v>194</v>
      </c>
      <c r="I2" s="91">
        <v>2022</v>
      </c>
      <c r="J2" t="s">
        <v>83</v>
      </c>
      <c r="K2" t="s">
        <v>2297</v>
      </c>
      <c r="L2" t="s">
        <v>191</v>
      </c>
      <c r="M2" t="s">
        <v>191</v>
      </c>
    </row>
    <row r="3" spans="1:13" x14ac:dyDescent="0.2">
      <c r="A3" t="s">
        <v>192</v>
      </c>
      <c r="B3" t="s">
        <v>193</v>
      </c>
      <c r="C3" s="91">
        <v>2</v>
      </c>
      <c r="D3" t="s">
        <v>132</v>
      </c>
      <c r="E3" t="s">
        <v>2257</v>
      </c>
      <c r="F3" s="91">
        <v>97.84</v>
      </c>
      <c r="G3" t="s">
        <v>80</v>
      </c>
      <c r="H3" t="s">
        <v>194</v>
      </c>
      <c r="I3" s="91">
        <v>2022</v>
      </c>
      <c r="J3" t="s">
        <v>83</v>
      </c>
      <c r="K3" t="s">
        <v>2298</v>
      </c>
      <c r="L3" t="s">
        <v>191</v>
      </c>
      <c r="M3" t="s">
        <v>191</v>
      </c>
    </row>
    <row r="4" spans="1:13" x14ac:dyDescent="0.2">
      <c r="A4" t="s">
        <v>192</v>
      </c>
      <c r="B4" t="s">
        <v>193</v>
      </c>
      <c r="C4" s="91">
        <v>3</v>
      </c>
      <c r="D4" t="s">
        <v>133</v>
      </c>
      <c r="E4" t="s">
        <v>2258</v>
      </c>
      <c r="F4" s="91">
        <v>2.16</v>
      </c>
      <c r="G4" t="s">
        <v>80</v>
      </c>
      <c r="H4" t="s">
        <v>194</v>
      </c>
      <c r="I4" s="91">
        <v>2022</v>
      </c>
      <c r="J4" t="s">
        <v>83</v>
      </c>
      <c r="K4" t="s">
        <v>2298</v>
      </c>
      <c r="L4" t="s">
        <v>191</v>
      </c>
      <c r="M4" t="s">
        <v>191</v>
      </c>
    </row>
    <row r="5" spans="1:13" x14ac:dyDescent="0.2">
      <c r="A5" t="s">
        <v>192</v>
      </c>
      <c r="B5" t="s">
        <v>193</v>
      </c>
      <c r="C5" s="91">
        <v>4</v>
      </c>
      <c r="D5" t="s">
        <v>152</v>
      </c>
      <c r="E5" t="s">
        <v>2259</v>
      </c>
      <c r="F5" s="91">
        <v>166.30099999999999</v>
      </c>
      <c r="G5" t="s">
        <v>89</v>
      </c>
      <c r="H5" t="s">
        <v>2296</v>
      </c>
      <c r="I5" s="91">
        <v>2015</v>
      </c>
      <c r="J5" t="s">
        <v>83</v>
      </c>
      <c r="K5" t="s">
        <v>2299</v>
      </c>
      <c r="L5" t="s">
        <v>2303</v>
      </c>
      <c r="M5" t="s">
        <v>191</v>
      </c>
    </row>
    <row r="6" spans="1:13" x14ac:dyDescent="0.2">
      <c r="A6" t="s">
        <v>192</v>
      </c>
      <c r="B6" t="s">
        <v>193</v>
      </c>
      <c r="C6" s="91">
        <v>5</v>
      </c>
      <c r="D6" t="s">
        <v>153</v>
      </c>
      <c r="E6" t="s">
        <v>2260</v>
      </c>
      <c r="F6" s="91">
        <v>20</v>
      </c>
      <c r="G6" t="s">
        <v>89</v>
      </c>
      <c r="H6" t="s">
        <v>81</v>
      </c>
      <c r="I6" s="91">
        <v>2022</v>
      </c>
      <c r="J6" t="s">
        <v>83</v>
      </c>
      <c r="K6" t="s">
        <v>2300</v>
      </c>
      <c r="L6" t="s">
        <v>191</v>
      </c>
      <c r="M6" t="s">
        <v>191</v>
      </c>
    </row>
    <row r="7" spans="1:13" x14ac:dyDescent="0.2">
      <c r="A7" t="s">
        <v>192</v>
      </c>
      <c r="B7" t="s">
        <v>193</v>
      </c>
      <c r="C7" s="91">
        <v>6</v>
      </c>
      <c r="D7" t="s">
        <v>146</v>
      </c>
      <c r="E7" t="s">
        <v>2261</v>
      </c>
      <c r="F7" s="91">
        <v>3515.470458984375</v>
      </c>
      <c r="G7" t="s">
        <v>102</v>
      </c>
      <c r="H7" t="s">
        <v>5</v>
      </c>
      <c r="I7" s="91">
        <v>2022</v>
      </c>
      <c r="J7" t="s">
        <v>83</v>
      </c>
      <c r="K7" t="s">
        <v>191</v>
      </c>
      <c r="L7" t="s">
        <v>191</v>
      </c>
      <c r="M7" t="s">
        <v>191</v>
      </c>
    </row>
    <row r="8" spans="1:13" x14ac:dyDescent="0.2">
      <c r="A8" t="s">
        <v>192</v>
      </c>
      <c r="B8" t="s">
        <v>193</v>
      </c>
      <c r="C8" s="91">
        <v>7</v>
      </c>
      <c r="D8" t="s">
        <v>104</v>
      </c>
      <c r="E8" t="s">
        <v>2262</v>
      </c>
      <c r="F8" s="91">
        <v>80</v>
      </c>
      <c r="G8" t="s">
        <v>80</v>
      </c>
      <c r="H8" t="s">
        <v>81</v>
      </c>
      <c r="I8" s="91">
        <v>2022</v>
      </c>
      <c r="J8" t="s">
        <v>83</v>
      </c>
      <c r="K8" t="s">
        <v>2300</v>
      </c>
      <c r="L8" t="s">
        <v>191</v>
      </c>
      <c r="M8" t="s">
        <v>191</v>
      </c>
    </row>
    <row r="9" spans="1:13" x14ac:dyDescent="0.2">
      <c r="A9" t="s">
        <v>192</v>
      </c>
      <c r="B9" t="s">
        <v>193</v>
      </c>
      <c r="C9" s="91">
        <v>8</v>
      </c>
      <c r="D9" t="s">
        <v>145</v>
      </c>
      <c r="E9" t="s">
        <v>2263</v>
      </c>
      <c r="F9" s="91">
        <v>2812.37646484375</v>
      </c>
      <c r="G9" t="s">
        <v>102</v>
      </c>
      <c r="H9" t="s">
        <v>5</v>
      </c>
      <c r="I9" s="91">
        <v>2022</v>
      </c>
      <c r="J9" t="s">
        <v>83</v>
      </c>
      <c r="K9" t="s">
        <v>191</v>
      </c>
      <c r="L9" t="s">
        <v>191</v>
      </c>
      <c r="M9" t="s">
        <v>191</v>
      </c>
    </row>
    <row r="10" spans="1:13" x14ac:dyDescent="0.2">
      <c r="A10" t="s">
        <v>192</v>
      </c>
      <c r="B10" t="s">
        <v>193</v>
      </c>
      <c r="C10" s="91">
        <v>9</v>
      </c>
      <c r="D10" t="s">
        <v>139</v>
      </c>
      <c r="E10" t="s">
        <v>2264</v>
      </c>
      <c r="F10" s="91">
        <v>96.86</v>
      </c>
      <c r="G10" t="s">
        <v>80</v>
      </c>
      <c r="H10" t="s">
        <v>194</v>
      </c>
      <c r="I10" s="91">
        <v>2022</v>
      </c>
      <c r="J10" t="s">
        <v>83</v>
      </c>
      <c r="K10" t="s">
        <v>2298</v>
      </c>
      <c r="L10" t="s">
        <v>191</v>
      </c>
      <c r="M10" t="s">
        <v>191</v>
      </c>
    </row>
    <row r="11" spans="1:13" x14ac:dyDescent="0.2">
      <c r="A11" t="s">
        <v>192</v>
      </c>
      <c r="B11" t="s">
        <v>193</v>
      </c>
      <c r="C11" s="91">
        <v>10</v>
      </c>
      <c r="D11" t="s">
        <v>73</v>
      </c>
      <c r="E11" t="s">
        <v>2265</v>
      </c>
      <c r="F11" s="91">
        <v>2.98</v>
      </c>
      <c r="G11" t="s">
        <v>80</v>
      </c>
      <c r="H11" t="s">
        <v>194</v>
      </c>
      <c r="I11" s="91">
        <v>2022</v>
      </c>
      <c r="J11" t="s">
        <v>83</v>
      </c>
      <c r="K11" t="s">
        <v>2298</v>
      </c>
      <c r="L11" t="s">
        <v>191</v>
      </c>
      <c r="M11" t="s">
        <v>191</v>
      </c>
    </row>
    <row r="12" spans="1:13" x14ac:dyDescent="0.2">
      <c r="A12" t="s">
        <v>192</v>
      </c>
      <c r="B12" t="s">
        <v>193</v>
      </c>
      <c r="C12" s="91">
        <v>11</v>
      </c>
      <c r="D12" t="s">
        <v>74</v>
      </c>
      <c r="E12" t="s">
        <v>2266</v>
      </c>
      <c r="F12" s="91">
        <v>0.15</v>
      </c>
      <c r="G12" t="s">
        <v>80</v>
      </c>
      <c r="H12" t="s">
        <v>194</v>
      </c>
      <c r="I12" s="91">
        <v>2022</v>
      </c>
      <c r="J12" t="s">
        <v>83</v>
      </c>
      <c r="K12" t="s">
        <v>2298</v>
      </c>
      <c r="L12" t="s">
        <v>191</v>
      </c>
      <c r="M12" t="s">
        <v>191</v>
      </c>
    </row>
    <row r="13" spans="1:13" x14ac:dyDescent="0.2">
      <c r="A13" t="s">
        <v>192</v>
      </c>
      <c r="B13" t="s">
        <v>193</v>
      </c>
      <c r="C13" s="91">
        <v>12</v>
      </c>
      <c r="D13" t="s">
        <v>75</v>
      </c>
      <c r="E13" t="s">
        <v>2267</v>
      </c>
      <c r="F13" s="91">
        <v>0.01</v>
      </c>
      <c r="G13" t="s">
        <v>80</v>
      </c>
      <c r="H13" t="s">
        <v>194</v>
      </c>
      <c r="I13" s="91">
        <v>2022</v>
      </c>
      <c r="J13" t="s">
        <v>83</v>
      </c>
      <c r="K13" t="s">
        <v>2298</v>
      </c>
      <c r="L13" t="s">
        <v>191</v>
      </c>
      <c r="M13" t="s">
        <v>191</v>
      </c>
    </row>
    <row r="14" spans="1:13" x14ac:dyDescent="0.2">
      <c r="A14" t="s">
        <v>192</v>
      </c>
      <c r="B14" t="s">
        <v>193</v>
      </c>
      <c r="C14" s="91">
        <v>13</v>
      </c>
      <c r="D14" t="s">
        <v>76</v>
      </c>
      <c r="E14" t="s">
        <v>2268</v>
      </c>
      <c r="F14" s="91">
        <v>0</v>
      </c>
      <c r="G14" t="s">
        <v>80</v>
      </c>
      <c r="H14" t="s">
        <v>194</v>
      </c>
      <c r="I14" s="91">
        <v>2022</v>
      </c>
      <c r="J14" t="s">
        <v>83</v>
      </c>
      <c r="K14" t="s">
        <v>2298</v>
      </c>
      <c r="L14" t="s">
        <v>191</v>
      </c>
      <c r="M14" t="s">
        <v>191</v>
      </c>
    </row>
    <row r="15" spans="1:13" x14ac:dyDescent="0.2">
      <c r="A15" t="s">
        <v>192</v>
      </c>
      <c r="B15" t="s">
        <v>193</v>
      </c>
      <c r="C15" s="91">
        <v>14</v>
      </c>
      <c r="D15" t="s">
        <v>140</v>
      </c>
      <c r="E15" t="s">
        <v>2269</v>
      </c>
      <c r="F15" s="91">
        <v>2776.833984375</v>
      </c>
      <c r="G15" t="s">
        <v>102</v>
      </c>
      <c r="H15" t="s">
        <v>5</v>
      </c>
      <c r="I15" s="91">
        <v>2022</v>
      </c>
      <c r="J15" t="s">
        <v>83</v>
      </c>
      <c r="K15" t="s">
        <v>191</v>
      </c>
      <c r="L15" t="s">
        <v>191</v>
      </c>
      <c r="M15" t="s">
        <v>191</v>
      </c>
    </row>
    <row r="16" spans="1:13" x14ac:dyDescent="0.2">
      <c r="A16" t="s">
        <v>192</v>
      </c>
      <c r="B16" t="s">
        <v>193</v>
      </c>
      <c r="C16" s="91">
        <v>15</v>
      </c>
      <c r="D16" t="s">
        <v>141</v>
      </c>
      <c r="E16" t="s">
        <v>2270</v>
      </c>
      <c r="F16" s="91">
        <v>34.990737915039063</v>
      </c>
      <c r="G16" t="s">
        <v>102</v>
      </c>
      <c r="H16" t="s">
        <v>5</v>
      </c>
      <c r="I16" s="91">
        <v>2022</v>
      </c>
      <c r="J16" t="s">
        <v>83</v>
      </c>
      <c r="K16" t="s">
        <v>191</v>
      </c>
      <c r="L16" t="s">
        <v>191</v>
      </c>
      <c r="M16" t="s">
        <v>191</v>
      </c>
    </row>
    <row r="17" spans="1:13" x14ac:dyDescent="0.2">
      <c r="A17" t="s">
        <v>192</v>
      </c>
      <c r="B17" t="s">
        <v>193</v>
      </c>
      <c r="C17" s="91">
        <v>16</v>
      </c>
      <c r="D17" t="s">
        <v>142</v>
      </c>
      <c r="E17" t="s">
        <v>2271</v>
      </c>
      <c r="F17" s="91">
        <v>0.51716822385787964</v>
      </c>
      <c r="G17" t="s">
        <v>102</v>
      </c>
      <c r="H17" t="s">
        <v>5</v>
      </c>
      <c r="I17" s="91">
        <v>2022</v>
      </c>
      <c r="J17" t="s">
        <v>83</v>
      </c>
      <c r="K17" t="s">
        <v>191</v>
      </c>
      <c r="L17" t="s">
        <v>191</v>
      </c>
      <c r="M17" t="s">
        <v>191</v>
      </c>
    </row>
    <row r="18" spans="1:13" x14ac:dyDescent="0.2">
      <c r="A18" t="s">
        <v>192</v>
      </c>
      <c r="B18" t="s">
        <v>193</v>
      </c>
      <c r="C18" s="91">
        <v>17</v>
      </c>
      <c r="D18" t="s">
        <v>143</v>
      </c>
      <c r="E18" t="s">
        <v>2272</v>
      </c>
      <c r="F18" s="91">
        <v>3.4477882087230682E-2</v>
      </c>
      <c r="G18" t="s">
        <v>102</v>
      </c>
      <c r="H18" t="s">
        <v>5</v>
      </c>
      <c r="I18" s="91">
        <v>2022</v>
      </c>
      <c r="J18" t="s">
        <v>83</v>
      </c>
      <c r="K18" t="s">
        <v>191</v>
      </c>
      <c r="L18" t="s">
        <v>191</v>
      </c>
      <c r="M18" t="s">
        <v>191</v>
      </c>
    </row>
    <row r="19" spans="1:13" x14ac:dyDescent="0.2">
      <c r="A19" t="s">
        <v>192</v>
      </c>
      <c r="B19" t="s">
        <v>193</v>
      </c>
      <c r="C19" s="91">
        <v>18</v>
      </c>
      <c r="D19" t="s">
        <v>144</v>
      </c>
      <c r="E19" t="s">
        <v>2273</v>
      </c>
      <c r="F19" s="91">
        <v>0</v>
      </c>
      <c r="G19" t="s">
        <v>102</v>
      </c>
      <c r="H19" t="s">
        <v>5</v>
      </c>
      <c r="I19" s="91">
        <v>2022</v>
      </c>
      <c r="J19" t="s">
        <v>83</v>
      </c>
      <c r="K19" t="s">
        <v>191</v>
      </c>
      <c r="L19" t="s">
        <v>191</v>
      </c>
      <c r="M19" t="s">
        <v>191</v>
      </c>
    </row>
    <row r="20" spans="1:13" x14ac:dyDescent="0.2">
      <c r="A20" t="s">
        <v>192</v>
      </c>
      <c r="B20" t="s">
        <v>193</v>
      </c>
      <c r="C20" s="91">
        <v>19</v>
      </c>
      <c r="D20" t="s">
        <v>2103</v>
      </c>
      <c r="E20" t="s">
        <v>2274</v>
      </c>
      <c r="F20" s="91">
        <v>79.726654052734375</v>
      </c>
      <c r="G20" t="s">
        <v>80</v>
      </c>
      <c r="H20" t="s">
        <v>2296</v>
      </c>
      <c r="I20" s="91">
        <v>2018</v>
      </c>
      <c r="J20" t="s">
        <v>83</v>
      </c>
      <c r="K20" t="s">
        <v>2301</v>
      </c>
      <c r="L20" t="s">
        <v>2304</v>
      </c>
      <c r="M20" t="s">
        <v>2306</v>
      </c>
    </row>
    <row r="21" spans="1:13" x14ac:dyDescent="0.2">
      <c r="A21" t="s">
        <v>192</v>
      </c>
      <c r="B21" t="s">
        <v>193</v>
      </c>
      <c r="C21" s="91">
        <v>20</v>
      </c>
      <c r="D21" t="s">
        <v>2104</v>
      </c>
      <c r="E21" t="s">
        <v>2275</v>
      </c>
      <c r="F21" s="91">
        <v>88.459981104062607</v>
      </c>
      <c r="G21" t="s">
        <v>80</v>
      </c>
      <c r="H21" t="s">
        <v>2296</v>
      </c>
      <c r="I21" s="91">
        <v>2018</v>
      </c>
      <c r="J21" t="s">
        <v>83</v>
      </c>
      <c r="K21" t="s">
        <v>2302</v>
      </c>
      <c r="L21" t="s">
        <v>2305</v>
      </c>
      <c r="M21" t="s">
        <v>2307</v>
      </c>
    </row>
    <row r="22" spans="1:13" x14ac:dyDescent="0.2">
      <c r="A22" t="s">
        <v>192</v>
      </c>
      <c r="B22" t="s">
        <v>193</v>
      </c>
      <c r="C22" s="91">
        <v>21</v>
      </c>
      <c r="D22" t="s">
        <v>2105</v>
      </c>
      <c r="E22" t="s">
        <v>2276</v>
      </c>
      <c r="F22" s="91"/>
      <c r="G22" t="s">
        <v>191</v>
      </c>
      <c r="H22" t="s">
        <v>191</v>
      </c>
      <c r="I22" s="91"/>
      <c r="J22" t="s">
        <v>84</v>
      </c>
      <c r="K22" t="s">
        <v>191</v>
      </c>
      <c r="L22" t="s">
        <v>191</v>
      </c>
      <c r="M22" t="s">
        <v>191</v>
      </c>
    </row>
    <row r="23" spans="1:13" x14ac:dyDescent="0.2">
      <c r="A23" t="s">
        <v>192</v>
      </c>
      <c r="B23" t="s">
        <v>193</v>
      </c>
      <c r="C23" s="91">
        <v>22</v>
      </c>
      <c r="D23" t="s">
        <v>2126</v>
      </c>
      <c r="E23" t="s">
        <v>2277</v>
      </c>
      <c r="F23" s="91">
        <v>50</v>
      </c>
      <c r="G23" t="s">
        <v>80</v>
      </c>
      <c r="H23" t="s">
        <v>81</v>
      </c>
      <c r="I23" s="91">
        <v>2022</v>
      </c>
      <c r="J23" t="s">
        <v>83</v>
      </c>
      <c r="K23" t="s">
        <v>2300</v>
      </c>
      <c r="L23" t="s">
        <v>191</v>
      </c>
      <c r="M23" t="s">
        <v>191</v>
      </c>
    </row>
    <row r="24" spans="1:13" x14ac:dyDescent="0.2">
      <c r="A24" t="s">
        <v>192</v>
      </c>
      <c r="B24" t="s">
        <v>193</v>
      </c>
      <c r="C24" s="91">
        <v>23</v>
      </c>
      <c r="D24" t="s">
        <v>180</v>
      </c>
      <c r="E24" t="s">
        <v>2278</v>
      </c>
      <c r="F24" s="91">
        <v>0</v>
      </c>
      <c r="G24" t="s">
        <v>80</v>
      </c>
      <c r="H24" t="s">
        <v>81</v>
      </c>
      <c r="I24" s="91">
        <v>2022</v>
      </c>
      <c r="J24" t="s">
        <v>83</v>
      </c>
      <c r="K24" t="s">
        <v>2300</v>
      </c>
      <c r="L24" t="s">
        <v>191</v>
      </c>
      <c r="M24" t="s">
        <v>191</v>
      </c>
    </row>
    <row r="25" spans="1:13" x14ac:dyDescent="0.2">
      <c r="A25" t="s">
        <v>192</v>
      </c>
      <c r="B25" t="s">
        <v>193</v>
      </c>
      <c r="C25" s="91">
        <v>24</v>
      </c>
      <c r="D25" t="s">
        <v>2127</v>
      </c>
      <c r="E25" t="s">
        <v>2279</v>
      </c>
      <c r="F25" s="91">
        <v>0</v>
      </c>
      <c r="G25" t="s">
        <v>80</v>
      </c>
      <c r="H25" t="s">
        <v>81</v>
      </c>
      <c r="I25" s="91">
        <v>2022</v>
      </c>
      <c r="J25" t="s">
        <v>83</v>
      </c>
      <c r="K25" t="s">
        <v>2300</v>
      </c>
      <c r="L25" t="s">
        <v>191</v>
      </c>
      <c r="M25" t="s">
        <v>191</v>
      </c>
    </row>
    <row r="26" spans="1:13" x14ac:dyDescent="0.2">
      <c r="A26" t="s">
        <v>192</v>
      </c>
      <c r="B26" t="s">
        <v>193</v>
      </c>
      <c r="C26" s="91">
        <v>25</v>
      </c>
      <c r="D26" t="s">
        <v>179</v>
      </c>
      <c r="E26" t="s">
        <v>2280</v>
      </c>
      <c r="F26" s="91">
        <v>50</v>
      </c>
      <c r="G26" t="s">
        <v>80</v>
      </c>
      <c r="H26" t="s">
        <v>81</v>
      </c>
      <c r="I26" s="91">
        <v>2022</v>
      </c>
      <c r="J26" t="s">
        <v>83</v>
      </c>
      <c r="K26" t="s">
        <v>2300</v>
      </c>
      <c r="L26" t="s">
        <v>191</v>
      </c>
      <c r="M26" t="s">
        <v>191</v>
      </c>
    </row>
    <row r="27" spans="1:13" x14ac:dyDescent="0.2">
      <c r="A27" t="s">
        <v>192</v>
      </c>
      <c r="B27" t="s">
        <v>193</v>
      </c>
      <c r="C27" s="91">
        <v>26</v>
      </c>
      <c r="D27" t="s">
        <v>186</v>
      </c>
      <c r="E27" t="s">
        <v>2281</v>
      </c>
      <c r="F27" s="91">
        <v>50</v>
      </c>
      <c r="G27" t="s">
        <v>80</v>
      </c>
      <c r="H27" t="s">
        <v>81</v>
      </c>
      <c r="I27" s="91">
        <v>2022</v>
      </c>
      <c r="J27" t="s">
        <v>83</v>
      </c>
      <c r="K27" t="s">
        <v>2300</v>
      </c>
      <c r="L27" t="s">
        <v>191</v>
      </c>
      <c r="M27" t="s">
        <v>191</v>
      </c>
    </row>
    <row r="28" spans="1:13" x14ac:dyDescent="0.2">
      <c r="A28" t="s">
        <v>192</v>
      </c>
      <c r="B28" t="s">
        <v>193</v>
      </c>
      <c r="C28" s="91">
        <v>27</v>
      </c>
      <c r="D28" t="s">
        <v>2106</v>
      </c>
      <c r="E28" t="s">
        <v>2282</v>
      </c>
      <c r="F28" s="91">
        <v>100</v>
      </c>
      <c r="G28" t="s">
        <v>80</v>
      </c>
      <c r="H28" t="s">
        <v>81</v>
      </c>
      <c r="I28" s="91">
        <v>2022</v>
      </c>
      <c r="J28" t="s">
        <v>83</v>
      </c>
      <c r="K28" t="s">
        <v>2300</v>
      </c>
      <c r="L28" t="s">
        <v>191</v>
      </c>
      <c r="M28" t="s">
        <v>191</v>
      </c>
    </row>
    <row r="29" spans="1:13" x14ac:dyDescent="0.2">
      <c r="A29" t="s">
        <v>192</v>
      </c>
      <c r="B29" t="s">
        <v>193</v>
      </c>
      <c r="C29" s="91">
        <v>28</v>
      </c>
      <c r="D29" t="s">
        <v>2107</v>
      </c>
      <c r="E29" t="s">
        <v>2283</v>
      </c>
      <c r="F29" s="91">
        <v>88.459981104062607</v>
      </c>
      <c r="G29" t="s">
        <v>80</v>
      </c>
      <c r="H29" t="s">
        <v>81</v>
      </c>
      <c r="I29" s="91">
        <v>2022</v>
      </c>
      <c r="J29" t="s">
        <v>83</v>
      </c>
      <c r="K29" t="s">
        <v>191</v>
      </c>
      <c r="L29" t="s">
        <v>191</v>
      </c>
      <c r="M29" t="s">
        <v>2308</v>
      </c>
    </row>
    <row r="30" spans="1:13" x14ac:dyDescent="0.2">
      <c r="A30" t="s">
        <v>192</v>
      </c>
      <c r="B30" t="s">
        <v>193</v>
      </c>
      <c r="C30" s="91">
        <v>29</v>
      </c>
      <c r="D30" t="s">
        <v>2108</v>
      </c>
      <c r="E30" t="s">
        <v>2284</v>
      </c>
      <c r="F30" s="91">
        <v>2213.876708984375</v>
      </c>
      <c r="G30" t="s">
        <v>102</v>
      </c>
      <c r="H30" t="s">
        <v>5</v>
      </c>
      <c r="I30" s="91">
        <v>2022</v>
      </c>
      <c r="J30" t="s">
        <v>83</v>
      </c>
      <c r="K30" t="s">
        <v>191</v>
      </c>
      <c r="L30" t="s">
        <v>191</v>
      </c>
      <c r="M30" t="s">
        <v>191</v>
      </c>
    </row>
    <row r="31" spans="1:13" x14ac:dyDescent="0.2">
      <c r="A31" t="s">
        <v>192</v>
      </c>
      <c r="B31" t="s">
        <v>193</v>
      </c>
      <c r="C31" s="91">
        <v>30</v>
      </c>
      <c r="D31" t="s">
        <v>2109</v>
      </c>
      <c r="E31" t="s">
        <v>2285</v>
      </c>
      <c r="F31" s="91">
        <v>8.7476844787597656</v>
      </c>
      <c r="G31" t="s">
        <v>102</v>
      </c>
      <c r="H31" t="s">
        <v>5</v>
      </c>
      <c r="I31" s="91">
        <v>2022</v>
      </c>
      <c r="J31" t="s">
        <v>83</v>
      </c>
      <c r="K31" t="s">
        <v>191</v>
      </c>
      <c r="L31" t="s">
        <v>191</v>
      </c>
      <c r="M31" t="s">
        <v>191</v>
      </c>
    </row>
    <row r="32" spans="1:13" x14ac:dyDescent="0.2">
      <c r="A32" t="s">
        <v>192</v>
      </c>
      <c r="B32" t="s">
        <v>193</v>
      </c>
      <c r="C32" s="91">
        <v>31</v>
      </c>
      <c r="D32" t="s">
        <v>2110</v>
      </c>
      <c r="E32" t="s">
        <v>2286</v>
      </c>
      <c r="F32" s="91">
        <v>8.7476844787597656</v>
      </c>
      <c r="G32" t="s">
        <v>102</v>
      </c>
      <c r="H32" t="s">
        <v>5</v>
      </c>
      <c r="I32" s="91">
        <v>2022</v>
      </c>
      <c r="J32" t="s">
        <v>83</v>
      </c>
      <c r="K32" t="s">
        <v>191</v>
      </c>
      <c r="L32" t="s">
        <v>191</v>
      </c>
      <c r="M32" t="s">
        <v>191</v>
      </c>
    </row>
    <row r="33" spans="1:13" x14ac:dyDescent="0.2">
      <c r="A33" t="s">
        <v>192</v>
      </c>
      <c r="B33" t="s">
        <v>193</v>
      </c>
      <c r="C33" s="91">
        <v>32</v>
      </c>
      <c r="D33" t="s">
        <v>2111</v>
      </c>
      <c r="E33" t="s">
        <v>2287</v>
      </c>
      <c r="F33" s="91">
        <v>2231.3720703125</v>
      </c>
      <c r="G33" t="s">
        <v>102</v>
      </c>
      <c r="H33" t="s">
        <v>5</v>
      </c>
      <c r="I33" s="91">
        <v>2022</v>
      </c>
      <c r="J33" t="s">
        <v>83</v>
      </c>
      <c r="K33" t="s">
        <v>191</v>
      </c>
      <c r="L33" t="s">
        <v>191</v>
      </c>
      <c r="M33" t="s">
        <v>191</v>
      </c>
    </row>
    <row r="34" spans="1:13" x14ac:dyDescent="0.2">
      <c r="A34" t="s">
        <v>192</v>
      </c>
      <c r="B34" t="s">
        <v>193</v>
      </c>
      <c r="C34" s="91">
        <v>33</v>
      </c>
      <c r="D34" t="s">
        <v>168</v>
      </c>
      <c r="E34" t="s">
        <v>2288</v>
      </c>
      <c r="F34" s="91">
        <v>1958.3948974609375</v>
      </c>
      <c r="G34" t="s">
        <v>102</v>
      </c>
      <c r="H34" t="s">
        <v>5</v>
      </c>
      <c r="I34" s="91">
        <v>2022</v>
      </c>
      <c r="J34" t="s">
        <v>83</v>
      </c>
      <c r="K34" t="s">
        <v>191</v>
      </c>
      <c r="L34" t="s">
        <v>191</v>
      </c>
      <c r="M34" t="s">
        <v>191</v>
      </c>
    </row>
    <row r="35" spans="1:13" x14ac:dyDescent="0.2">
      <c r="A35" t="s">
        <v>192</v>
      </c>
      <c r="B35" t="s">
        <v>193</v>
      </c>
      <c r="C35" s="91">
        <v>34</v>
      </c>
      <c r="D35" t="s">
        <v>2112</v>
      </c>
      <c r="E35" t="s">
        <v>2289</v>
      </c>
      <c r="F35" s="91">
        <v>7.7382001876831055</v>
      </c>
      <c r="G35" t="s">
        <v>102</v>
      </c>
      <c r="H35" t="s">
        <v>5</v>
      </c>
      <c r="I35" s="91">
        <v>2022</v>
      </c>
      <c r="J35" t="s">
        <v>83</v>
      </c>
      <c r="K35" t="s">
        <v>191</v>
      </c>
      <c r="L35" t="s">
        <v>191</v>
      </c>
      <c r="M35" t="s">
        <v>191</v>
      </c>
    </row>
    <row r="36" spans="1:13" x14ac:dyDescent="0.2">
      <c r="A36" t="s">
        <v>192</v>
      </c>
      <c r="B36" t="s">
        <v>193</v>
      </c>
      <c r="C36" s="91">
        <v>35</v>
      </c>
      <c r="D36" t="s">
        <v>2113</v>
      </c>
      <c r="E36" t="s">
        <v>2290</v>
      </c>
      <c r="F36" s="91">
        <v>8.7476844787597656</v>
      </c>
      <c r="G36" t="s">
        <v>102</v>
      </c>
      <c r="H36" t="s">
        <v>5</v>
      </c>
      <c r="I36" s="91">
        <v>2022</v>
      </c>
      <c r="J36" t="s">
        <v>83</v>
      </c>
      <c r="K36" t="s">
        <v>191</v>
      </c>
      <c r="L36" t="s">
        <v>191</v>
      </c>
      <c r="M36" t="s">
        <v>191</v>
      </c>
    </row>
    <row r="37" spans="1:13" x14ac:dyDescent="0.2">
      <c r="A37" t="s">
        <v>192</v>
      </c>
      <c r="B37" t="s">
        <v>193</v>
      </c>
      <c r="C37" s="91">
        <v>36</v>
      </c>
      <c r="D37" t="s">
        <v>170</v>
      </c>
      <c r="E37" t="s">
        <v>2291</v>
      </c>
      <c r="F37" s="91">
        <v>1974.8807373046875</v>
      </c>
      <c r="G37" t="s">
        <v>102</v>
      </c>
      <c r="H37" t="s">
        <v>5</v>
      </c>
      <c r="I37" s="91">
        <v>2022</v>
      </c>
      <c r="J37" t="s">
        <v>83</v>
      </c>
      <c r="K37" t="s">
        <v>191</v>
      </c>
      <c r="L37" t="s">
        <v>191</v>
      </c>
      <c r="M37" t="s">
        <v>191</v>
      </c>
    </row>
    <row r="38" spans="1:13" x14ac:dyDescent="0.2">
      <c r="A38" t="s">
        <v>192</v>
      </c>
      <c r="B38" t="s">
        <v>193</v>
      </c>
      <c r="C38" s="91">
        <v>37</v>
      </c>
      <c r="D38" t="s">
        <v>169</v>
      </c>
      <c r="E38" t="s">
        <v>2292</v>
      </c>
      <c r="F38" s="91">
        <v>69.634880065917969</v>
      </c>
      <c r="G38" t="s">
        <v>80</v>
      </c>
      <c r="H38" t="s">
        <v>5</v>
      </c>
      <c r="I38" s="91">
        <v>2022</v>
      </c>
      <c r="J38" t="s">
        <v>83</v>
      </c>
      <c r="K38" t="s">
        <v>191</v>
      </c>
      <c r="L38" t="s">
        <v>191</v>
      </c>
      <c r="M38" t="s">
        <v>191</v>
      </c>
    </row>
    <row r="39" spans="1:13" x14ac:dyDescent="0.2">
      <c r="A39" t="s">
        <v>192</v>
      </c>
      <c r="B39" t="s">
        <v>193</v>
      </c>
      <c r="C39" s="91">
        <v>38</v>
      </c>
      <c r="D39" t="s">
        <v>187</v>
      </c>
      <c r="E39" t="s">
        <v>2293</v>
      </c>
      <c r="F39" s="91">
        <v>0.27514809370040894</v>
      </c>
      <c r="G39" t="s">
        <v>80</v>
      </c>
      <c r="H39" t="s">
        <v>5</v>
      </c>
      <c r="I39" s="91">
        <v>2022</v>
      </c>
      <c r="J39" t="s">
        <v>83</v>
      </c>
      <c r="K39" t="s">
        <v>191</v>
      </c>
      <c r="L39" t="s">
        <v>191</v>
      </c>
      <c r="M39" t="s">
        <v>191</v>
      </c>
    </row>
    <row r="40" spans="1:13" x14ac:dyDescent="0.2">
      <c r="A40" t="s">
        <v>192</v>
      </c>
      <c r="B40" t="s">
        <v>193</v>
      </c>
      <c r="C40" s="91">
        <v>39</v>
      </c>
      <c r="D40" t="s">
        <v>188</v>
      </c>
      <c r="E40" t="s">
        <v>2294</v>
      </c>
      <c r="F40" s="91">
        <v>0.31104245781898499</v>
      </c>
      <c r="G40" t="s">
        <v>80</v>
      </c>
      <c r="H40" t="s">
        <v>5</v>
      </c>
      <c r="I40" s="91">
        <v>2022</v>
      </c>
      <c r="J40" t="s">
        <v>83</v>
      </c>
      <c r="K40" t="s">
        <v>191</v>
      </c>
      <c r="L40" t="s">
        <v>191</v>
      </c>
      <c r="M40" t="s">
        <v>191</v>
      </c>
    </row>
    <row r="41" spans="1:13" x14ac:dyDescent="0.2">
      <c r="A41" t="s">
        <v>192</v>
      </c>
      <c r="B41" t="s">
        <v>193</v>
      </c>
      <c r="C41" s="91">
        <v>40</v>
      </c>
      <c r="D41" t="s">
        <v>79</v>
      </c>
      <c r="E41" t="s">
        <v>2295</v>
      </c>
      <c r="F41" s="91">
        <v>70.2210693359375</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baseColWidth="10" defaultColWidth="7.6640625" defaultRowHeight="15" x14ac:dyDescent="0.2"/>
  <sheetData>
    <row r="1" spans="1:14" x14ac:dyDescent="0.2">
      <c r="A1" t="s">
        <v>2255</v>
      </c>
      <c r="B1" t="s">
        <v>100</v>
      </c>
      <c r="C1" t="s">
        <v>16</v>
      </c>
      <c r="D1" t="s">
        <v>17</v>
      </c>
      <c r="E1" t="s">
        <v>130</v>
      </c>
      <c r="F1" t="s">
        <v>9</v>
      </c>
      <c r="G1" t="s">
        <v>7</v>
      </c>
      <c r="H1" t="s">
        <v>101</v>
      </c>
      <c r="I1" t="s">
        <v>11</v>
      </c>
      <c r="J1" t="s">
        <v>82</v>
      </c>
      <c r="K1" t="s">
        <v>108</v>
      </c>
      <c r="L1" t="s">
        <v>12</v>
      </c>
      <c r="M1" t="s">
        <v>86</v>
      </c>
      <c r="N1" t="s">
        <v>13</v>
      </c>
    </row>
    <row r="2" spans="1:14" ht="15.95" x14ac:dyDescent="0.2">
      <c r="A2" t="s">
        <v>192</v>
      </c>
      <c r="B2" s="6" t="s">
        <v>193</v>
      </c>
      <c r="C2" s="91">
        <v>4</v>
      </c>
      <c r="D2" t="s">
        <v>152</v>
      </c>
      <c r="E2" t="s">
        <v>2259</v>
      </c>
      <c r="F2" s="91">
        <v>166.30099999999999</v>
      </c>
      <c r="G2" t="s">
        <v>89</v>
      </c>
      <c r="H2" t="s">
        <v>2296</v>
      </c>
      <c r="I2" s="91">
        <v>2015</v>
      </c>
      <c r="J2" t="s">
        <v>83</v>
      </c>
      <c r="K2" t="s">
        <v>191</v>
      </c>
      <c r="L2" t="s">
        <v>2299</v>
      </c>
      <c r="M2" t="s">
        <v>2303</v>
      </c>
      <c r="N2" t="s">
        <v>191</v>
      </c>
    </row>
    <row r="3" spans="1:14" x14ac:dyDescent="0.2">
      <c r="A3" t="s">
        <v>192</v>
      </c>
      <c r="B3" t="s">
        <v>193</v>
      </c>
      <c r="C3" s="91">
        <v>19</v>
      </c>
      <c r="D3" t="s">
        <v>2103</v>
      </c>
      <c r="E3" t="s">
        <v>2274</v>
      </c>
      <c r="F3" s="91">
        <v>79.726654052734375</v>
      </c>
      <c r="G3" t="s">
        <v>80</v>
      </c>
      <c r="H3" t="s">
        <v>2296</v>
      </c>
      <c r="I3" s="91">
        <v>2018</v>
      </c>
      <c r="J3" t="s">
        <v>83</v>
      </c>
      <c r="K3" t="s">
        <v>191</v>
      </c>
      <c r="L3" t="s">
        <v>2301</v>
      </c>
      <c r="M3" t="s">
        <v>2304</v>
      </c>
      <c r="N3" t="s">
        <v>2306</v>
      </c>
    </row>
    <row r="4" spans="1:14" x14ac:dyDescent="0.2">
      <c r="A4" t="s">
        <v>192</v>
      </c>
      <c r="B4" t="s">
        <v>193</v>
      </c>
      <c r="C4" s="91">
        <v>20</v>
      </c>
      <c r="D4" t="s">
        <v>2104</v>
      </c>
      <c r="E4" t="s">
        <v>2275</v>
      </c>
      <c r="F4" s="91">
        <v>88.459981104062607</v>
      </c>
      <c r="G4" t="s">
        <v>80</v>
      </c>
      <c r="H4" t="s">
        <v>2296</v>
      </c>
      <c r="I4" s="91">
        <v>2018</v>
      </c>
      <c r="J4" t="s">
        <v>83</v>
      </c>
      <c r="K4" t="s">
        <v>191</v>
      </c>
      <c r="L4" t="s">
        <v>2302</v>
      </c>
      <c r="M4" t="s">
        <v>2305</v>
      </c>
      <c r="N4" t="s">
        <v>2307</v>
      </c>
    </row>
    <row r="5" spans="1:14" x14ac:dyDescent="0.2">
      <c r="A5" t="s">
        <v>192</v>
      </c>
      <c r="B5" t="s">
        <v>193</v>
      </c>
      <c r="C5" s="91">
        <v>21</v>
      </c>
      <c r="D5" t="s">
        <v>2105</v>
      </c>
      <c r="E5" t="s">
        <v>2276</v>
      </c>
      <c r="F5" s="91">
        <v>96.605691056910572</v>
      </c>
      <c r="G5" t="s">
        <v>80</v>
      </c>
      <c r="H5" t="s">
        <v>2296</v>
      </c>
      <c r="I5" s="91">
        <v>2012</v>
      </c>
      <c r="J5" t="s">
        <v>84</v>
      </c>
      <c r="K5" t="s">
        <v>181</v>
      </c>
      <c r="L5" t="s">
        <v>2309</v>
      </c>
      <c r="M5" t="s">
        <v>2312</v>
      </c>
      <c r="N5" t="s">
        <v>191</v>
      </c>
    </row>
    <row r="6" spans="1:14" x14ac:dyDescent="0.2">
      <c r="A6" t="s">
        <v>192</v>
      </c>
      <c r="B6" t="s">
        <v>193</v>
      </c>
      <c r="C6" s="91">
        <v>21</v>
      </c>
      <c r="D6" t="s">
        <v>2105</v>
      </c>
      <c r="E6" t="s">
        <v>2276</v>
      </c>
      <c r="F6" s="91">
        <v>94.581275939941406</v>
      </c>
      <c r="G6" t="s">
        <v>80</v>
      </c>
      <c r="H6" t="s">
        <v>2296</v>
      </c>
      <c r="I6" s="91">
        <v>2012</v>
      </c>
      <c r="J6" t="s">
        <v>84</v>
      </c>
      <c r="K6" t="s">
        <v>181</v>
      </c>
      <c r="L6" t="s">
        <v>2310</v>
      </c>
      <c r="M6" t="s">
        <v>2313</v>
      </c>
      <c r="N6" t="s">
        <v>2315</v>
      </c>
    </row>
    <row r="7" spans="1:14" x14ac:dyDescent="0.2">
      <c r="A7" t="s">
        <v>192</v>
      </c>
      <c r="B7" t="s">
        <v>193</v>
      </c>
      <c r="C7" s="91">
        <v>21</v>
      </c>
      <c r="D7" t="s">
        <v>2105</v>
      </c>
      <c r="E7" t="s">
        <v>2276</v>
      </c>
      <c r="F7" s="91">
        <v>97.530487804878035</v>
      </c>
      <c r="G7" t="s">
        <v>80</v>
      </c>
      <c r="H7" t="s">
        <v>2296</v>
      </c>
      <c r="I7" s="91">
        <v>2015</v>
      </c>
      <c r="J7" t="s">
        <v>84</v>
      </c>
      <c r="K7" t="s">
        <v>182</v>
      </c>
      <c r="L7" t="s">
        <v>2309</v>
      </c>
      <c r="M7" t="s">
        <v>2314</v>
      </c>
      <c r="N7" t="s">
        <v>191</v>
      </c>
    </row>
    <row r="8" spans="1:14" x14ac:dyDescent="0.2">
      <c r="A8" t="s">
        <v>192</v>
      </c>
      <c r="B8" t="s">
        <v>193</v>
      </c>
      <c r="C8" s="91">
        <v>21</v>
      </c>
      <c r="D8" t="s">
        <v>2105</v>
      </c>
      <c r="E8" t="s">
        <v>2276</v>
      </c>
      <c r="F8" s="91">
        <v>95.360000610351563</v>
      </c>
      <c r="G8" t="s">
        <v>80</v>
      </c>
      <c r="H8" t="s">
        <v>2296</v>
      </c>
      <c r="I8" s="91">
        <v>2015</v>
      </c>
      <c r="J8" t="s">
        <v>84</v>
      </c>
      <c r="K8" t="s">
        <v>182</v>
      </c>
      <c r="L8" t="s">
        <v>2311</v>
      </c>
      <c r="M8" t="s">
        <v>2303</v>
      </c>
      <c r="N8" t="s">
        <v>2316</v>
      </c>
    </row>
    <row r="65" customFormat="1" x14ac:dyDescent="0.2"/>
    <row r="66" customFormat="1" x14ac:dyDescent="0.2"/>
    <row r="67" customFormat="1" x14ac:dyDescent="0.2"/>
    <row r="68" customFormat="1" x14ac:dyDescent="0.2"/>
    <row r="69" customFormat="1" x14ac:dyDescent="0.2"/>
    <row r="70" customFormat="1" x14ac:dyDescent="0.2"/>
    <row r="71" customFormat="1" x14ac:dyDescent="0.2"/>
    <row r="72" customFormat="1" x14ac:dyDescent="0.2"/>
    <row r="73" customFormat="1" x14ac:dyDescent="0.2"/>
    <row r="74" customFormat="1" x14ac:dyDescent="0.2"/>
    <row r="75" customFormat="1" x14ac:dyDescent="0.2"/>
    <row r="76" customFormat="1" x14ac:dyDescent="0.2"/>
    <row r="77" customFormat="1" x14ac:dyDescent="0.2"/>
    <row r="78" customFormat="1" x14ac:dyDescent="0.2"/>
    <row r="79" customFormat="1" x14ac:dyDescent="0.2"/>
    <row r="80" customFormat="1" x14ac:dyDescent="0.2"/>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customFormat="1" x14ac:dyDescent="0.2"/>
    <row r="98" customFormat="1" x14ac:dyDescent="0.2"/>
    <row r="99" customFormat="1" x14ac:dyDescent="0.2"/>
    <row r="100" customFormat="1" x14ac:dyDescent="0.2"/>
    <row r="101" customFormat="1" x14ac:dyDescent="0.2"/>
    <row r="102" customFormat="1" x14ac:dyDescent="0.2"/>
    <row r="103" customFormat="1" x14ac:dyDescent="0.2"/>
    <row r="104" customFormat="1" x14ac:dyDescent="0.2"/>
    <row r="105" customFormat="1" x14ac:dyDescent="0.2"/>
    <row r="106" customFormat="1" x14ac:dyDescent="0.2"/>
    <row r="107" customFormat="1" x14ac:dyDescent="0.2"/>
    <row r="108" customFormat="1" x14ac:dyDescent="0.2"/>
    <row r="109" customFormat="1" x14ac:dyDescent="0.2"/>
    <row r="110" customFormat="1" x14ac:dyDescent="0.2"/>
    <row r="111" customFormat="1" x14ac:dyDescent="0.2"/>
    <row r="112" customFormat="1" x14ac:dyDescent="0.2"/>
    <row r="113" customFormat="1" x14ac:dyDescent="0.2"/>
    <row r="114" customFormat="1" x14ac:dyDescent="0.2"/>
    <row r="115" customFormat="1" x14ac:dyDescent="0.2"/>
    <row r="116" customFormat="1" x14ac:dyDescent="0.2"/>
    <row r="117" customFormat="1" x14ac:dyDescent="0.2"/>
    <row r="118" customFormat="1" x14ac:dyDescent="0.2"/>
    <row r="119" customFormat="1" x14ac:dyDescent="0.2"/>
    <row r="120" customFormat="1" x14ac:dyDescent="0.2"/>
    <row r="121" customFormat="1" x14ac:dyDescent="0.2"/>
    <row r="122" customFormat="1" x14ac:dyDescent="0.2"/>
    <row r="123" customFormat="1" x14ac:dyDescent="0.2"/>
    <row r="124" customFormat="1" x14ac:dyDescent="0.2"/>
    <row r="125" customFormat="1" x14ac:dyDescent="0.2"/>
    <row r="126" customFormat="1" x14ac:dyDescent="0.2"/>
    <row r="127" customFormat="1" x14ac:dyDescent="0.2"/>
    <row r="128" customFormat="1" x14ac:dyDescent="0.2"/>
    <row r="129" customFormat="1" x14ac:dyDescent="0.2"/>
    <row r="130" customFormat="1" x14ac:dyDescent="0.2"/>
    <row r="131" customFormat="1" x14ac:dyDescent="0.2"/>
    <row r="132" customFormat="1" x14ac:dyDescent="0.2"/>
    <row r="133" customFormat="1" x14ac:dyDescent="0.2"/>
    <row r="134" customFormat="1" x14ac:dyDescent="0.2"/>
    <row r="135" customFormat="1" x14ac:dyDescent="0.2"/>
    <row r="136" customFormat="1" x14ac:dyDescent="0.2"/>
    <row r="137" customFormat="1" x14ac:dyDescent="0.2"/>
    <row r="138" customFormat="1" x14ac:dyDescent="0.2"/>
    <row r="139" customFormat="1" x14ac:dyDescent="0.2"/>
    <row r="140" customFormat="1" x14ac:dyDescent="0.2"/>
    <row r="141" customFormat="1" x14ac:dyDescent="0.2"/>
    <row r="142" customFormat="1" x14ac:dyDescent="0.2"/>
    <row r="143" customFormat="1" x14ac:dyDescent="0.2"/>
    <row r="144" customFormat="1" x14ac:dyDescent="0.2"/>
    <row r="161" customFormat="1" x14ac:dyDescent="0.2"/>
    <row r="162" customFormat="1" x14ac:dyDescent="0.2"/>
    <row r="163" customFormat="1" x14ac:dyDescent="0.2"/>
    <row r="164" customFormat="1" x14ac:dyDescent="0.2"/>
    <row r="165" customFormat="1" x14ac:dyDescent="0.2"/>
    <row r="166" customFormat="1" x14ac:dyDescent="0.2"/>
    <row r="167" customFormat="1" x14ac:dyDescent="0.2"/>
    <row r="168" customFormat="1" x14ac:dyDescent="0.2"/>
    <row r="169" customFormat="1" x14ac:dyDescent="0.2"/>
    <row r="170" customFormat="1" x14ac:dyDescent="0.2"/>
    <row r="171" customFormat="1" x14ac:dyDescent="0.2"/>
    <row r="172" customFormat="1" x14ac:dyDescent="0.2"/>
    <row r="173" customFormat="1" x14ac:dyDescent="0.2"/>
    <row r="174" customFormat="1" x14ac:dyDescent="0.2"/>
    <row r="175" customFormat="1" x14ac:dyDescent="0.2"/>
    <row r="176" customFormat="1" x14ac:dyDescent="0.2"/>
    <row r="177" customFormat="1" x14ac:dyDescent="0.2"/>
    <row r="178" customFormat="1" x14ac:dyDescent="0.2"/>
    <row r="179" customFormat="1" x14ac:dyDescent="0.2"/>
    <row r="180" customFormat="1" x14ac:dyDescent="0.2"/>
    <row r="181" customFormat="1" x14ac:dyDescent="0.2"/>
    <row r="182" customFormat="1" x14ac:dyDescent="0.2"/>
    <row r="183" customFormat="1" x14ac:dyDescent="0.2"/>
    <row r="184" customFormat="1" x14ac:dyDescent="0.2"/>
    <row r="185" customFormat="1" x14ac:dyDescent="0.2"/>
    <row r="186" customFormat="1" x14ac:dyDescent="0.2"/>
    <row r="187" customFormat="1" x14ac:dyDescent="0.2"/>
    <row r="188" customFormat="1" x14ac:dyDescent="0.2"/>
    <row r="189" customFormat="1" x14ac:dyDescent="0.2"/>
    <row r="190" customFormat="1" x14ac:dyDescent="0.2"/>
    <row r="191" customFormat="1" x14ac:dyDescent="0.2"/>
    <row r="192" customFormat="1" x14ac:dyDescent="0.2"/>
    <row r="193" customFormat="1" x14ac:dyDescent="0.2"/>
    <row r="194" customFormat="1" x14ac:dyDescent="0.2"/>
    <row r="195" customFormat="1" x14ac:dyDescent="0.2"/>
    <row r="196" customFormat="1" x14ac:dyDescent="0.2"/>
    <row r="197" customFormat="1" x14ac:dyDescent="0.2"/>
    <row r="198" customFormat="1" x14ac:dyDescent="0.2"/>
    <row r="199" customFormat="1" x14ac:dyDescent="0.2"/>
    <row r="200" customFormat="1" x14ac:dyDescent="0.2"/>
    <row r="201" customFormat="1" x14ac:dyDescent="0.2"/>
    <row r="202" customFormat="1" x14ac:dyDescent="0.2"/>
    <row r="203" customFormat="1" x14ac:dyDescent="0.2"/>
    <row r="204" customFormat="1" x14ac:dyDescent="0.2"/>
    <row r="205" customFormat="1" x14ac:dyDescent="0.2"/>
    <row r="206" customFormat="1" x14ac:dyDescent="0.2"/>
    <row r="207" customFormat="1" x14ac:dyDescent="0.2"/>
    <row r="208" customFormat="1" x14ac:dyDescent="0.2"/>
    <row r="209" customFormat="1" x14ac:dyDescent="0.2"/>
    <row r="210" customFormat="1" x14ac:dyDescent="0.2"/>
    <row r="211" customFormat="1" x14ac:dyDescent="0.2"/>
    <row r="212" customFormat="1" x14ac:dyDescent="0.2"/>
    <row r="213" customFormat="1" x14ac:dyDescent="0.2"/>
    <row r="214" customFormat="1" x14ac:dyDescent="0.2"/>
    <row r="215" customFormat="1" x14ac:dyDescent="0.2"/>
    <row r="216" customFormat="1" x14ac:dyDescent="0.2"/>
    <row r="217" customFormat="1" x14ac:dyDescent="0.2"/>
    <row r="218" customFormat="1" x14ac:dyDescent="0.2"/>
    <row r="219" customFormat="1" x14ac:dyDescent="0.2"/>
    <row r="220" customFormat="1" x14ac:dyDescent="0.2"/>
    <row r="221" customFormat="1" x14ac:dyDescent="0.2"/>
    <row r="222" customFormat="1" x14ac:dyDescent="0.2"/>
    <row r="223" customFormat="1" x14ac:dyDescent="0.2"/>
    <row r="224"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row r="244" customFormat="1" x14ac:dyDescent="0.2"/>
    <row r="245" customFormat="1" x14ac:dyDescent="0.2"/>
    <row r="246" customFormat="1" x14ac:dyDescent="0.2"/>
    <row r="247" customFormat="1" x14ac:dyDescent="0.2"/>
    <row r="248" customFormat="1" x14ac:dyDescent="0.2"/>
    <row r="249" customFormat="1" x14ac:dyDescent="0.2"/>
    <row r="250" customFormat="1"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baseColWidth="10" defaultColWidth="11.5546875" defaultRowHeight="15" x14ac:dyDescent="0.2"/>
  <cols>
    <col min="1" max="1" width="39" style="135" bestFit="1" customWidth="1"/>
    <col min="2" max="2" width="23.5546875" style="135" customWidth="1"/>
    <col min="3" max="3" width="11.5546875" style="135" customWidth="1"/>
    <col min="4" max="4" width="14.5546875" style="135" customWidth="1"/>
    <col min="5" max="9" width="27.6640625" style="135" customWidth="1"/>
    <col min="10" max="11" width="11.5546875" style="135"/>
    <col min="12" max="12" width="7.109375" style="143"/>
    <col min="13" max="13" width="35.33203125" style="143" bestFit="1" customWidth="1"/>
    <col min="14" max="20" width="7.109375" style="143"/>
    <col min="21" max="22" width="11.5546875" style="135"/>
    <col min="23" max="25" width="121.88671875" style="135" customWidth="1"/>
    <col min="26" max="16384" width="11.5546875" style="135"/>
  </cols>
  <sheetData>
    <row r="1" spans="1:20"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r="2" spans="1:20"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r="3" spans="1:20"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r="4" spans="1:20"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r="5" spans="1:20"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r="6" spans="1:20"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r="7" spans="1:20"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r="8" spans="1:20"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r="9" spans="1:20"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r="10" spans="1:2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r="11" spans="1:20"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r="12" spans="1:20"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r="13" spans="1:20"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r="14" spans="1:20"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r="15" spans="1:20"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r="16" spans="1:20"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r="17" spans="1:20"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r="18" spans="1:20"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r="19" spans="1:20"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r="20" spans="1: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r="21" spans="1:20"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r="22" spans="1:20"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r="23" spans="1:20"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r="24" spans="1:20"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r="25" spans="1:20"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r="26" spans="1:20"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r="27" spans="1:20"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r="28" spans="1:20"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r="29" spans="1:20"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r="30" spans="1:2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r="31" spans="1:20"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r="32" spans="1:20"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r="33" spans="1:20"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r="34" spans="1:20"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r="35" spans="1:20"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r="36" spans="1:20"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r="37" spans="1:20"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r="38" spans="1:20"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r="39" spans="1:20"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r="40" spans="1:2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r="41" spans="1:20"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r="42" spans="1:20"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r="43" spans="1:20"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r="44" spans="1:20"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r="45" spans="1:20"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r="46" spans="1:20"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r="47" spans="1:20"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r="48" spans="1:20"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r="49" spans="1:20"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r="50" spans="1:2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r="51" spans="1:20"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r="52" spans="1:20"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r="53" spans="1:20"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r="54" spans="1:20"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r="55" spans="1:20"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r="56" spans="1:20"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r="57" spans="1:20"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r="58" spans="1:20"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r="59" spans="1:20"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r="60" spans="1:2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r="61" spans="1:20"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r="62" spans="1:20"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r="63" spans="1:20"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r="64" spans="1:20"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r="65" spans="1:20"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r="66" spans="1:20"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r="67" spans="1:20"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r="68" spans="1:20"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r="69" spans="1:20"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r="70" spans="1:2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r="71" spans="1:20"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r="72" spans="1:20"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r="73" spans="1:20"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r="74" spans="1:20"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r="75" spans="1:20"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r="76" spans="1:20"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r="77" spans="1:20"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r="78" spans="1:20"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r="79" spans="1:20"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r="80" spans="1:2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r="81" spans="1:20"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r="82" spans="1:20"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r="83" spans="1:20"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r="84" spans="1:20"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r="85" spans="1:20"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r="86" spans="1:20"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r="87" spans="1:20"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r="88" spans="1:20"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r="89" spans="1:20"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r="90" spans="1:2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r="91" spans="1:20"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r="92" spans="1:20"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r="93" spans="1:20"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r="94" spans="1:20"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r="95" spans="1:20"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r="96" spans="1:20"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r="97" spans="1:20"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r="98" spans="1:20"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r="99" spans="1:20"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r="100" spans="1:2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r="101" spans="1:20"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r="102" spans="1:20" ht="45"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r="103" spans="1:20" ht="48"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r="104" spans="1:20" ht="45"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r="105" spans="1:20"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r="106" spans="1:20"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r="107" spans="1:20"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r="108" spans="1:20"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r="109" spans="1:20"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r="110" spans="1:2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r="111" spans="1:20"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r="112" spans="1:20"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r="113" spans="1:20"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r="114" spans="1:20"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r="115" spans="1:20"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r="116" spans="1:20"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r="117" spans="1:20"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r="118" spans="1:20"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r="119" spans="1:20"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r="120" spans="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r="121" spans="1:20"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r="122" spans="1:20"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r="123" spans="1:20"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r="124" spans="1:20"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r="125" spans="1:20"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r="126" spans="1:20"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r="127" spans="1:20"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r="128" spans="1:20"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r="129" spans="1:20"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r="130" spans="1:2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r="131" spans="1:20"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r="132" spans="1:20"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r="133" spans="1:20"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r="134" spans="1:20"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r="135" spans="1:20"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r="136" spans="1:20"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r="137" spans="1:20"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r="138" spans="1:20"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r="139" spans="1:20"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r="140" spans="1:2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r="141" spans="1:20"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r="142" spans="1:20"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r="143" spans="1:20" ht="105"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r="144" spans="1:20" ht="105"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r="145" spans="1:20"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r="146" spans="1:20"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r="147" spans="1:20"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r="148" spans="1:20"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r="149" spans="1:20"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r="150" spans="1:2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r="151" spans="1:20"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r="152" spans="1:20"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r="153" spans="1:20"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r="154" spans="1:20"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r="155" spans="1:20"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r="156" spans="1:20"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r="157" spans="1:20"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r="158" spans="1:20"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r="159" spans="1:20"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r="160" spans="1:2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r="161" spans="1:20"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r="162" spans="1:20"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r="163" spans="1:20"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r="164" spans="1:20"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r="165" spans="1:20"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r="166" spans="1:20"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r="167" spans="1:20"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r="168" spans="1:20"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r="169" spans="1:20"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r="170" spans="1:2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r="171" spans="1:20"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r="172" spans="1:20"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r="173" spans="1:20"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r="174" spans="1:20"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r="175" spans="1:20"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r="176" spans="1:20"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r="177" spans="1:20"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r="178" spans="1:20"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r="179" spans="1:20"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r="180" spans="1:2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r="181" spans="1:20"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r="182" spans="1:20"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r="183" spans="1:20" x14ac:dyDescent="0.2">
      <c r="L183" s="142" t="s">
        <v>1736</v>
      </c>
      <c r="M183" s="142" t="s">
        <v>2250</v>
      </c>
      <c r="N183" s="142" t="s">
        <v>2252</v>
      </c>
      <c r="O183" s="142" t="s">
        <v>2251</v>
      </c>
      <c r="P183" s="142" t="s">
        <v>2253</v>
      </c>
      <c r="Q183" s="142" t="s">
        <v>2254</v>
      </c>
      <c r="R183" s="142"/>
      <c r="S183" s="142"/>
      <c r="T183" s="142" t="s">
        <v>1736</v>
      </c>
    </row>
    <row r="184" spans="1:20" x14ac:dyDescent="0.2">
      <c r="L184" s="142" t="s">
        <v>1737</v>
      </c>
      <c r="M184" s="142" t="s">
        <v>1738</v>
      </c>
      <c r="N184" s="142" t="s">
        <v>1739</v>
      </c>
      <c r="O184" s="142" t="s">
        <v>1740</v>
      </c>
      <c r="P184" s="142" t="s">
        <v>1741</v>
      </c>
      <c r="Q184" s="142" t="s">
        <v>1742</v>
      </c>
      <c r="R184" s="142"/>
      <c r="S184" s="142"/>
      <c r="T184" s="142" t="s">
        <v>1737</v>
      </c>
    </row>
    <row r="185" spans="1:20" x14ac:dyDescent="0.2">
      <c r="L185" s="142" t="s">
        <v>1743</v>
      </c>
      <c r="M185" s="142" t="s">
        <v>1744</v>
      </c>
      <c r="N185" s="142" t="s">
        <v>1744</v>
      </c>
      <c r="O185" s="142" t="s">
        <v>1744</v>
      </c>
      <c r="P185" s="142" t="s">
        <v>1745</v>
      </c>
      <c r="Q185" s="142" t="s">
        <v>1746</v>
      </c>
      <c r="R185" s="142"/>
      <c r="S185" s="142"/>
      <c r="T185" s="142" t="s">
        <v>1743</v>
      </c>
    </row>
    <row r="186" spans="1:20" x14ac:dyDescent="0.2">
      <c r="L186" s="142" t="s">
        <v>1747</v>
      </c>
      <c r="M186" s="142" t="s">
        <v>1748</v>
      </c>
      <c r="N186" s="142" t="s">
        <v>1748</v>
      </c>
      <c r="O186" s="142" t="s">
        <v>1749</v>
      </c>
      <c r="P186" s="142" t="s">
        <v>1750</v>
      </c>
      <c r="Q186" s="142" t="s">
        <v>1751</v>
      </c>
      <c r="R186" s="142"/>
      <c r="S186" s="142"/>
      <c r="T186" s="142" t="s">
        <v>1747</v>
      </c>
    </row>
    <row r="187" spans="1:20" x14ac:dyDescent="0.2">
      <c r="L187" s="142" t="s">
        <v>1752</v>
      </c>
      <c r="M187" s="142" t="s">
        <v>1753</v>
      </c>
      <c r="N187" s="142" t="s">
        <v>1754</v>
      </c>
      <c r="O187" s="142" t="s">
        <v>1755</v>
      </c>
      <c r="P187" s="142" t="s">
        <v>1756</v>
      </c>
      <c r="Q187" s="142" t="s">
        <v>1757</v>
      </c>
      <c r="R187" s="142"/>
      <c r="S187" s="142"/>
      <c r="T187" s="142" t="s">
        <v>1752</v>
      </c>
    </row>
    <row r="188" spans="1:20" x14ac:dyDescent="0.2">
      <c r="L188" s="142" t="s">
        <v>1758</v>
      </c>
      <c r="M188" s="142" t="s">
        <v>1759</v>
      </c>
      <c r="N188" s="142" t="s">
        <v>1760</v>
      </c>
      <c r="O188" s="142" t="s">
        <v>1761</v>
      </c>
      <c r="P188" s="142" t="s">
        <v>1762</v>
      </c>
      <c r="Q188" s="142" t="s">
        <v>1763</v>
      </c>
      <c r="R188" s="142"/>
      <c r="S188" s="142"/>
      <c r="T188" s="142" t="s">
        <v>1758</v>
      </c>
    </row>
    <row r="189" spans="1:20" x14ac:dyDescent="0.2">
      <c r="L189" s="142" t="s">
        <v>1764</v>
      </c>
      <c r="M189" s="142" t="s">
        <v>1765</v>
      </c>
      <c r="N189" s="142" t="s">
        <v>1765</v>
      </c>
      <c r="O189" s="142" t="s">
        <v>1765</v>
      </c>
      <c r="P189" s="142" t="s">
        <v>1766</v>
      </c>
      <c r="Q189" s="142" t="s">
        <v>1767</v>
      </c>
      <c r="R189" s="142"/>
      <c r="S189" s="142"/>
      <c r="T189" s="142" t="s">
        <v>1764</v>
      </c>
    </row>
    <row r="190" spans="1:20" x14ac:dyDescent="0.2">
      <c r="L190" s="142" t="s">
        <v>1768</v>
      </c>
      <c r="M190" s="142" t="s">
        <v>1769</v>
      </c>
      <c r="N190" s="142" t="s">
        <v>1770</v>
      </c>
      <c r="O190" s="142" t="s">
        <v>1771</v>
      </c>
      <c r="P190" s="142" t="s">
        <v>1772</v>
      </c>
      <c r="Q190" s="142" t="s">
        <v>1773</v>
      </c>
      <c r="R190" s="142"/>
      <c r="S190" s="142"/>
      <c r="T190" s="142" t="s">
        <v>1768</v>
      </c>
    </row>
    <row r="191" spans="1:20" x14ac:dyDescent="0.2">
      <c r="L191" s="142" t="s">
        <v>1774</v>
      </c>
      <c r="M191" s="142" t="s">
        <v>1775</v>
      </c>
      <c r="N191" s="142" t="s">
        <v>1776</v>
      </c>
      <c r="O191" s="142" t="s">
        <v>1777</v>
      </c>
      <c r="P191" s="142" t="s">
        <v>1778</v>
      </c>
      <c r="Q191" s="142" t="s">
        <v>1779</v>
      </c>
      <c r="R191" s="142"/>
      <c r="S191" s="142"/>
      <c r="T191" s="142" t="s">
        <v>1774</v>
      </c>
    </row>
    <row r="192" spans="1:20" x14ac:dyDescent="0.2">
      <c r="L192" s="142" t="s">
        <v>1780</v>
      </c>
      <c r="M192" s="142" t="s">
        <v>1781</v>
      </c>
      <c r="N192" s="142" t="s">
        <v>1782</v>
      </c>
      <c r="O192" s="142" t="s">
        <v>1781</v>
      </c>
      <c r="P192" s="142" t="s">
        <v>1783</v>
      </c>
      <c r="Q192" s="142" t="s">
        <v>1784</v>
      </c>
      <c r="R192" s="142"/>
      <c r="S192" s="142"/>
      <c r="T192" s="142" t="s">
        <v>1780</v>
      </c>
    </row>
    <row r="193" spans="12:20" x14ac:dyDescent="0.2">
      <c r="L193" s="142" t="s">
        <v>1785</v>
      </c>
      <c r="M193" s="142" t="s">
        <v>1786</v>
      </c>
      <c r="N193" s="142" t="s">
        <v>1787</v>
      </c>
      <c r="O193" s="142" t="s">
        <v>1788</v>
      </c>
      <c r="P193" s="142" t="s">
        <v>1789</v>
      </c>
      <c r="Q193" s="142" t="s">
        <v>1790</v>
      </c>
      <c r="R193" s="142"/>
      <c r="S193" s="142"/>
      <c r="T193" s="142" t="s">
        <v>1785</v>
      </c>
    </row>
    <row r="194" spans="12:20" x14ac:dyDescent="0.2">
      <c r="L194" s="142" t="s">
        <v>1791</v>
      </c>
      <c r="M194" s="142" t="s">
        <v>1792</v>
      </c>
      <c r="N194" s="142" t="s">
        <v>1793</v>
      </c>
      <c r="O194" s="142" t="s">
        <v>1794</v>
      </c>
      <c r="P194" s="142" t="s">
        <v>1795</v>
      </c>
      <c r="Q194" s="142" t="s">
        <v>1796</v>
      </c>
      <c r="R194" s="142"/>
      <c r="S194" s="142"/>
      <c r="T194" s="142" t="s">
        <v>1791</v>
      </c>
    </row>
    <row r="195" spans="12:20" x14ac:dyDescent="0.2">
      <c r="L195" s="142" t="s">
        <v>1797</v>
      </c>
      <c r="M195" s="142" t="s">
        <v>1798</v>
      </c>
      <c r="N195" s="142" t="s">
        <v>1799</v>
      </c>
      <c r="O195" s="142" t="s">
        <v>1800</v>
      </c>
      <c r="P195" s="142" t="s">
        <v>1801</v>
      </c>
      <c r="Q195" s="142" t="s">
        <v>1802</v>
      </c>
      <c r="R195" s="142"/>
      <c r="S195" s="142"/>
      <c r="T195" s="142" t="s">
        <v>1797</v>
      </c>
    </row>
    <row r="196" spans="12:20" x14ac:dyDescent="0.2">
      <c r="L196" s="142" t="s">
        <v>1803</v>
      </c>
      <c r="M196" s="142" t="s">
        <v>1804</v>
      </c>
      <c r="N196" s="142" t="s">
        <v>1805</v>
      </c>
      <c r="O196" s="142" t="s">
        <v>1806</v>
      </c>
      <c r="P196" s="142" t="s">
        <v>1807</v>
      </c>
      <c r="Q196" s="142" t="s">
        <v>1808</v>
      </c>
      <c r="R196" s="142"/>
      <c r="S196" s="142"/>
      <c r="T196" s="142" t="s">
        <v>1803</v>
      </c>
    </row>
    <row r="197" spans="12:20" x14ac:dyDescent="0.2">
      <c r="L197" s="142" t="s">
        <v>1809</v>
      </c>
      <c r="M197" s="142" t="s">
        <v>1810</v>
      </c>
      <c r="N197" s="142" t="s">
        <v>1811</v>
      </c>
      <c r="O197" s="142" t="s">
        <v>1812</v>
      </c>
      <c r="P197" s="142" t="s">
        <v>1813</v>
      </c>
      <c r="Q197" s="142" t="s">
        <v>1814</v>
      </c>
      <c r="R197" s="142"/>
      <c r="S197" s="142"/>
      <c r="T197" s="142" t="s">
        <v>1809</v>
      </c>
    </row>
    <row r="198" spans="12:20" x14ac:dyDescent="0.2">
      <c r="L198" s="142" t="s">
        <v>1815</v>
      </c>
      <c r="M198" s="142" t="s">
        <v>1816</v>
      </c>
      <c r="N198" s="142" t="s">
        <v>1816</v>
      </c>
      <c r="O198" s="142" t="s">
        <v>1817</v>
      </c>
      <c r="P198" s="142" t="s">
        <v>1818</v>
      </c>
      <c r="Q198" s="142" t="s">
        <v>1819</v>
      </c>
      <c r="R198" s="142"/>
      <c r="S198" s="142"/>
      <c r="T198" s="142" t="s">
        <v>1815</v>
      </c>
    </row>
    <row r="199" spans="12:20" x14ac:dyDescent="0.2">
      <c r="L199" s="142" t="s">
        <v>1820</v>
      </c>
      <c r="M199" s="142" t="s">
        <v>1821</v>
      </c>
      <c r="N199" s="142" t="s">
        <v>1821</v>
      </c>
      <c r="O199" s="142" t="s">
        <v>1821</v>
      </c>
      <c r="P199" s="142" t="s">
        <v>1822</v>
      </c>
      <c r="Q199" s="142" t="s">
        <v>1823</v>
      </c>
      <c r="R199" s="142"/>
      <c r="S199" s="142"/>
      <c r="T199" s="142" t="s">
        <v>1820</v>
      </c>
    </row>
    <row r="200" spans="12:20" x14ac:dyDescent="0.2">
      <c r="L200" s="142" t="s">
        <v>1824</v>
      </c>
      <c r="M200" s="142" t="s">
        <v>1825</v>
      </c>
      <c r="N200" s="142" t="s">
        <v>1826</v>
      </c>
      <c r="O200" s="142" t="s">
        <v>1825</v>
      </c>
      <c r="P200" s="142" t="s">
        <v>1827</v>
      </c>
      <c r="Q200" s="142" t="s">
        <v>1828</v>
      </c>
      <c r="R200" s="142"/>
      <c r="S200" s="142"/>
      <c r="T200" s="142" t="s">
        <v>1824</v>
      </c>
    </row>
    <row r="201" spans="12:20" x14ac:dyDescent="0.2">
      <c r="L201" s="142" t="s">
        <v>1829</v>
      </c>
      <c r="M201" s="142" t="s">
        <v>1830</v>
      </c>
      <c r="N201" s="142" t="s">
        <v>1831</v>
      </c>
      <c r="O201" s="142" t="s">
        <v>1830</v>
      </c>
      <c r="P201" s="142" t="s">
        <v>1832</v>
      </c>
      <c r="Q201" s="142" t="s">
        <v>1833</v>
      </c>
      <c r="R201" s="142"/>
      <c r="S201" s="142"/>
      <c r="T201" s="142" t="s">
        <v>1829</v>
      </c>
    </row>
    <row r="202" spans="12:20" x14ac:dyDescent="0.2">
      <c r="L202" s="142" t="s">
        <v>1834</v>
      </c>
      <c r="M202" s="142" t="s">
        <v>1835</v>
      </c>
      <c r="N202" s="142" t="s">
        <v>1836</v>
      </c>
      <c r="O202" s="142" t="s">
        <v>1837</v>
      </c>
      <c r="P202" s="142" t="s">
        <v>1838</v>
      </c>
      <c r="Q202" s="142" t="s">
        <v>1839</v>
      </c>
      <c r="R202" s="142"/>
      <c r="S202" s="142"/>
      <c r="T202" s="142" t="s">
        <v>1834</v>
      </c>
    </row>
    <row r="203" spans="12:20" x14ac:dyDescent="0.2">
      <c r="L203" s="142" t="s">
        <v>1840</v>
      </c>
      <c r="M203" s="142" t="s">
        <v>1841</v>
      </c>
      <c r="N203" s="142" t="s">
        <v>1842</v>
      </c>
      <c r="O203" s="142" t="s">
        <v>1841</v>
      </c>
      <c r="P203" s="142" t="s">
        <v>1843</v>
      </c>
      <c r="Q203" s="142" t="s">
        <v>1844</v>
      </c>
      <c r="R203" s="142"/>
      <c r="S203" s="142"/>
      <c r="T203" s="142" t="s">
        <v>1840</v>
      </c>
    </row>
    <row r="204" spans="12:20" x14ac:dyDescent="0.2">
      <c r="L204" s="142" t="s">
        <v>1845</v>
      </c>
      <c r="M204" s="142" t="s">
        <v>1846</v>
      </c>
      <c r="N204" s="142" t="s">
        <v>1847</v>
      </c>
      <c r="O204" s="142" t="s">
        <v>1848</v>
      </c>
      <c r="P204" s="142" t="s">
        <v>1849</v>
      </c>
      <c r="Q204" s="142" t="s">
        <v>1850</v>
      </c>
      <c r="R204" s="142"/>
      <c r="S204" s="142"/>
      <c r="T204" s="142" t="s">
        <v>1845</v>
      </c>
    </row>
    <row r="205" spans="12:20" x14ac:dyDescent="0.2">
      <c r="L205" s="142" t="s">
        <v>1851</v>
      </c>
      <c r="M205" s="142" t="s">
        <v>1852</v>
      </c>
      <c r="N205" s="142" t="s">
        <v>1853</v>
      </c>
      <c r="O205" s="142" t="s">
        <v>1854</v>
      </c>
      <c r="P205" s="142" t="s">
        <v>1855</v>
      </c>
      <c r="Q205" s="142" t="s">
        <v>1856</v>
      </c>
      <c r="R205" s="142"/>
      <c r="S205" s="142"/>
      <c r="T205" s="142" t="s">
        <v>1851</v>
      </c>
    </row>
    <row r="206" spans="12:20" x14ac:dyDescent="0.2">
      <c r="L206" s="142" t="s">
        <v>1857</v>
      </c>
      <c r="M206" s="142" t="s">
        <v>1858</v>
      </c>
      <c r="N206" s="142" t="s">
        <v>1858</v>
      </c>
      <c r="O206" s="142" t="s">
        <v>1858</v>
      </c>
      <c r="P206" s="142" t="s">
        <v>1859</v>
      </c>
      <c r="Q206" s="142" t="s">
        <v>1860</v>
      </c>
      <c r="R206" s="142"/>
      <c r="S206" s="142"/>
      <c r="T206" s="142" t="s">
        <v>1857</v>
      </c>
    </row>
    <row r="207" spans="12:20" x14ac:dyDescent="0.2">
      <c r="L207" s="142" t="s">
        <v>1861</v>
      </c>
      <c r="M207" s="142" t="s">
        <v>1862</v>
      </c>
      <c r="N207" s="142" t="s">
        <v>1863</v>
      </c>
      <c r="O207" s="142" t="s">
        <v>1864</v>
      </c>
      <c r="P207" s="142" t="s">
        <v>1865</v>
      </c>
      <c r="Q207" s="142" t="s">
        <v>1866</v>
      </c>
      <c r="R207" s="142"/>
      <c r="S207" s="142"/>
      <c r="T207" s="142" t="s">
        <v>1861</v>
      </c>
    </row>
    <row r="208" spans="12:20" x14ac:dyDescent="0.2">
      <c r="L208" s="142" t="s">
        <v>1867</v>
      </c>
      <c r="M208" s="142" t="s">
        <v>1868</v>
      </c>
      <c r="N208" s="142" t="s">
        <v>1869</v>
      </c>
      <c r="O208" s="142" t="s">
        <v>1870</v>
      </c>
      <c r="P208" s="142" t="s">
        <v>1871</v>
      </c>
      <c r="Q208" s="142" t="s">
        <v>1872</v>
      </c>
      <c r="R208" s="142"/>
      <c r="S208" s="142"/>
      <c r="T208" s="142" t="s">
        <v>1867</v>
      </c>
    </row>
    <row r="209" spans="12:20" x14ac:dyDescent="0.2">
      <c r="L209" s="142" t="s">
        <v>1873</v>
      </c>
      <c r="M209" s="142" t="s">
        <v>1874</v>
      </c>
      <c r="N209" s="142" t="s">
        <v>1875</v>
      </c>
      <c r="O209" s="142" t="s">
        <v>1876</v>
      </c>
      <c r="P209" s="142" t="s">
        <v>1877</v>
      </c>
      <c r="Q209" s="142" t="s">
        <v>1878</v>
      </c>
      <c r="R209" s="142"/>
      <c r="S209" s="142"/>
      <c r="T209" s="142" t="s">
        <v>1873</v>
      </c>
    </row>
    <row r="210" spans="12:20" x14ac:dyDescent="0.2">
      <c r="L210" s="142" t="s">
        <v>1879</v>
      </c>
      <c r="M210" s="142" t="s">
        <v>1880</v>
      </c>
      <c r="N210" s="142" t="s">
        <v>1880</v>
      </c>
      <c r="O210" s="142" t="s">
        <v>1880</v>
      </c>
      <c r="P210" s="142" t="s">
        <v>1881</v>
      </c>
      <c r="Q210" s="142" t="s">
        <v>1882</v>
      </c>
      <c r="R210" s="142"/>
      <c r="S210" s="142"/>
      <c r="T210" s="142" t="s">
        <v>1879</v>
      </c>
    </row>
    <row r="211" spans="12:20" x14ac:dyDescent="0.2">
      <c r="L211" s="142" t="s">
        <v>1883</v>
      </c>
      <c r="M211" s="142" t="s">
        <v>1884</v>
      </c>
      <c r="N211" s="142" t="s">
        <v>1885</v>
      </c>
      <c r="O211" s="142" t="s">
        <v>1886</v>
      </c>
      <c r="P211" s="142" t="s">
        <v>1887</v>
      </c>
      <c r="Q211" s="142" t="s">
        <v>1888</v>
      </c>
      <c r="R211" s="142"/>
      <c r="S211" s="142"/>
      <c r="T211" s="142" t="s">
        <v>1883</v>
      </c>
    </row>
    <row r="212" spans="12:20" x14ac:dyDescent="0.2">
      <c r="L212" s="142" t="s">
        <v>1889</v>
      </c>
      <c r="M212" s="142" t="s">
        <v>1890</v>
      </c>
      <c r="N212" s="142" t="s">
        <v>1890</v>
      </c>
      <c r="O212" s="142" t="s">
        <v>1890</v>
      </c>
      <c r="P212" s="142" t="s">
        <v>1891</v>
      </c>
      <c r="Q212" s="142" t="s">
        <v>1892</v>
      </c>
      <c r="R212" s="142"/>
      <c r="S212" s="142"/>
      <c r="T212" s="142" t="s">
        <v>1889</v>
      </c>
    </row>
    <row r="213" spans="12:20" x14ac:dyDescent="0.2">
      <c r="L213" s="142" t="s">
        <v>1893</v>
      </c>
      <c r="M213" s="142" t="s">
        <v>1894</v>
      </c>
      <c r="N213" s="142" t="s">
        <v>1895</v>
      </c>
      <c r="O213" s="142" t="s">
        <v>1896</v>
      </c>
      <c r="P213" s="142" t="s">
        <v>1897</v>
      </c>
      <c r="Q213" s="142" t="s">
        <v>1898</v>
      </c>
      <c r="R213" s="142"/>
      <c r="S213" s="142"/>
      <c r="T213" s="142" t="s">
        <v>1893</v>
      </c>
    </row>
    <row r="214" spans="12:20" x14ac:dyDescent="0.2">
      <c r="L214" s="142" t="s">
        <v>1899</v>
      </c>
      <c r="M214" s="142" t="s">
        <v>1900</v>
      </c>
      <c r="N214" s="142" t="s">
        <v>1901</v>
      </c>
      <c r="O214" s="142" t="s">
        <v>1902</v>
      </c>
      <c r="P214" s="142" t="s">
        <v>1903</v>
      </c>
      <c r="Q214" s="142" t="s">
        <v>1904</v>
      </c>
      <c r="R214" s="142"/>
      <c r="S214" s="142"/>
      <c r="T214" s="142" t="s">
        <v>1899</v>
      </c>
    </row>
    <row r="215" spans="12:20" x14ac:dyDescent="0.2">
      <c r="L215" s="142" t="s">
        <v>1905</v>
      </c>
      <c r="M215" s="142" t="s">
        <v>1906</v>
      </c>
      <c r="N215" s="142" t="s">
        <v>1907</v>
      </c>
      <c r="O215" s="142" t="s">
        <v>1906</v>
      </c>
      <c r="P215" s="142" t="s">
        <v>1908</v>
      </c>
      <c r="Q215" s="142" t="s">
        <v>1909</v>
      </c>
      <c r="R215" s="142"/>
      <c r="S215" s="142"/>
      <c r="T215" s="142" t="s">
        <v>1905</v>
      </c>
    </row>
    <row r="216" spans="12:20" x14ac:dyDescent="0.2">
      <c r="L216" s="142" t="s">
        <v>1910</v>
      </c>
      <c r="M216" s="142" t="s">
        <v>1911</v>
      </c>
      <c r="N216" s="142" t="s">
        <v>1911</v>
      </c>
      <c r="O216" s="142" t="s">
        <v>1911</v>
      </c>
      <c r="P216" s="142" t="s">
        <v>1912</v>
      </c>
      <c r="Q216" s="142" t="s">
        <v>1913</v>
      </c>
      <c r="R216" s="142"/>
      <c r="S216" s="142"/>
      <c r="T216" s="142" t="s">
        <v>1910</v>
      </c>
    </row>
    <row r="217" spans="12:20" x14ac:dyDescent="0.2">
      <c r="L217" s="142" t="s">
        <v>1914</v>
      </c>
      <c r="M217" s="142" t="s">
        <v>1915</v>
      </c>
      <c r="N217" s="142" t="s">
        <v>1916</v>
      </c>
      <c r="O217" s="142" t="s">
        <v>1917</v>
      </c>
      <c r="P217" s="142" t="s">
        <v>1918</v>
      </c>
      <c r="Q217" s="142" t="s">
        <v>1919</v>
      </c>
      <c r="R217" s="142"/>
      <c r="S217" s="142"/>
      <c r="T217" s="142" t="s">
        <v>1914</v>
      </c>
    </row>
    <row r="218" spans="12:20" x14ac:dyDescent="0.2">
      <c r="L218" s="142" t="s">
        <v>1920</v>
      </c>
      <c r="M218" s="142" t="s">
        <v>1921</v>
      </c>
      <c r="N218" s="142" t="s">
        <v>1922</v>
      </c>
      <c r="O218" s="142" t="s">
        <v>1923</v>
      </c>
      <c r="P218" s="142" t="s">
        <v>1924</v>
      </c>
      <c r="Q218" s="142" t="s">
        <v>1925</v>
      </c>
      <c r="R218" s="142"/>
      <c r="S218" s="142"/>
      <c r="T218" s="142" t="s">
        <v>1920</v>
      </c>
    </row>
    <row r="219" spans="12:20" x14ac:dyDescent="0.2">
      <c r="L219" s="142" t="s">
        <v>1926</v>
      </c>
      <c r="M219" s="142" t="s">
        <v>1927</v>
      </c>
      <c r="N219" s="142" t="s">
        <v>1928</v>
      </c>
      <c r="O219" s="142" t="s">
        <v>1927</v>
      </c>
      <c r="P219" s="142" t="s">
        <v>1929</v>
      </c>
      <c r="Q219" s="142" t="s">
        <v>1930</v>
      </c>
      <c r="R219" s="142"/>
      <c r="S219" s="142"/>
      <c r="T219" s="142" t="s">
        <v>1926</v>
      </c>
    </row>
    <row r="220" spans="12:20" x14ac:dyDescent="0.2">
      <c r="L220" s="142" t="s">
        <v>1931</v>
      </c>
      <c r="M220" s="142" t="s">
        <v>1932</v>
      </c>
      <c r="N220" s="142" t="s">
        <v>1933</v>
      </c>
      <c r="O220" s="142" t="s">
        <v>1934</v>
      </c>
      <c r="P220" s="142" t="s">
        <v>1935</v>
      </c>
      <c r="Q220" s="142" t="s">
        <v>1936</v>
      </c>
      <c r="R220" s="142"/>
      <c r="S220" s="142"/>
      <c r="T220" s="142" t="s">
        <v>1931</v>
      </c>
    </row>
    <row r="221" spans="12:20" x14ac:dyDescent="0.2">
      <c r="L221" s="142" t="s">
        <v>1937</v>
      </c>
      <c r="M221" s="142" t="s">
        <v>1938</v>
      </c>
      <c r="N221" s="142" t="s">
        <v>1938</v>
      </c>
      <c r="O221" s="142" t="s">
        <v>1938</v>
      </c>
      <c r="P221" s="142" t="s">
        <v>1939</v>
      </c>
      <c r="Q221" s="142" t="s">
        <v>1940</v>
      </c>
      <c r="R221" s="142"/>
      <c r="S221" s="142"/>
      <c r="T221" s="142" t="s">
        <v>1937</v>
      </c>
    </row>
    <row r="222" spans="12:20" x14ac:dyDescent="0.2">
      <c r="L222" s="142" t="s">
        <v>1941</v>
      </c>
      <c r="M222" s="142" t="s">
        <v>1942</v>
      </c>
      <c r="N222" s="142" t="s">
        <v>1942</v>
      </c>
      <c r="O222" s="142" t="s">
        <v>1942</v>
      </c>
      <c r="P222" s="142" t="s">
        <v>1943</v>
      </c>
      <c r="Q222" s="142" t="s">
        <v>1944</v>
      </c>
      <c r="R222" s="142"/>
      <c r="S222" s="142"/>
      <c r="T222" s="142" t="s">
        <v>1941</v>
      </c>
    </row>
    <row r="223" spans="12:20" x14ac:dyDescent="0.2">
      <c r="L223" s="142" t="s">
        <v>1945</v>
      </c>
      <c r="M223" s="142" t="s">
        <v>1946</v>
      </c>
      <c r="N223" s="142" t="s">
        <v>1947</v>
      </c>
      <c r="O223" s="142" t="s">
        <v>1948</v>
      </c>
      <c r="P223" s="142" t="s">
        <v>1949</v>
      </c>
      <c r="Q223" s="142" t="s">
        <v>1950</v>
      </c>
      <c r="R223" s="142"/>
      <c r="S223" s="142"/>
      <c r="T223" s="142" t="s">
        <v>1945</v>
      </c>
    </row>
    <row r="224" spans="12:20" x14ac:dyDescent="0.2">
      <c r="L224" s="142" t="s">
        <v>1951</v>
      </c>
      <c r="M224" s="142" t="s">
        <v>1952</v>
      </c>
      <c r="N224" s="142" t="s">
        <v>1953</v>
      </c>
      <c r="O224" s="142" t="s">
        <v>1954</v>
      </c>
      <c r="P224" s="142" t="s">
        <v>1955</v>
      </c>
      <c r="Q224" s="142" t="s">
        <v>1956</v>
      </c>
      <c r="R224" s="142"/>
      <c r="S224" s="142"/>
      <c r="T224" s="142" t="s">
        <v>1951</v>
      </c>
    </row>
    <row r="225" spans="12:20" x14ac:dyDescent="0.2">
      <c r="L225" s="142" t="s">
        <v>1957</v>
      </c>
      <c r="M225" s="142" t="s">
        <v>1958</v>
      </c>
      <c r="N225" s="142" t="s">
        <v>1959</v>
      </c>
      <c r="O225" s="142" t="s">
        <v>1960</v>
      </c>
      <c r="P225" s="142" t="s">
        <v>1961</v>
      </c>
      <c r="Q225" s="142" t="s">
        <v>1962</v>
      </c>
      <c r="R225" s="142"/>
      <c r="S225" s="142"/>
      <c r="T225" s="142" t="s">
        <v>1957</v>
      </c>
    </row>
    <row r="226" spans="12:20" x14ac:dyDescent="0.2">
      <c r="L226" s="142" t="s">
        <v>1963</v>
      </c>
      <c r="M226" s="142" t="s">
        <v>1964</v>
      </c>
      <c r="N226" s="142" t="s">
        <v>1964</v>
      </c>
      <c r="O226" s="142" t="s">
        <v>1964</v>
      </c>
      <c r="P226" s="142" t="s">
        <v>1965</v>
      </c>
      <c r="Q226" s="142" t="s">
        <v>1966</v>
      </c>
      <c r="R226" s="142"/>
      <c r="S226" s="142"/>
      <c r="T226" s="142" t="s">
        <v>1963</v>
      </c>
    </row>
    <row r="227" spans="12:20" x14ac:dyDescent="0.2">
      <c r="L227" s="142" t="s">
        <v>1967</v>
      </c>
      <c r="M227" s="142" t="s">
        <v>1968</v>
      </c>
      <c r="N227" s="142" t="s">
        <v>1969</v>
      </c>
      <c r="O227" s="142" t="s">
        <v>1970</v>
      </c>
      <c r="P227" s="142" t="s">
        <v>1971</v>
      </c>
      <c r="Q227" s="142" t="s">
        <v>1972</v>
      </c>
      <c r="R227" s="142"/>
      <c r="S227" s="142"/>
      <c r="T227" s="142" t="s">
        <v>1967</v>
      </c>
    </row>
    <row r="228" spans="12:20" x14ac:dyDescent="0.2">
      <c r="L228" s="142" t="s">
        <v>1973</v>
      </c>
      <c r="M228" s="142" t="s">
        <v>1974</v>
      </c>
      <c r="N228" s="142" t="s">
        <v>1975</v>
      </c>
      <c r="O228" s="142" t="s">
        <v>1974</v>
      </c>
      <c r="P228" s="142" t="s">
        <v>1976</v>
      </c>
      <c r="Q228" s="142" t="s">
        <v>1977</v>
      </c>
      <c r="R228" s="142"/>
      <c r="S228" s="142"/>
      <c r="T228" s="142" t="s">
        <v>1973</v>
      </c>
    </row>
    <row r="229" spans="12:20" x14ac:dyDescent="0.2">
      <c r="L229" s="142" t="s">
        <v>1978</v>
      </c>
      <c r="M229" s="142" t="s">
        <v>1979</v>
      </c>
      <c r="N229" s="142" t="s">
        <v>1979</v>
      </c>
      <c r="O229" s="142" t="s">
        <v>1980</v>
      </c>
      <c r="P229" s="142" t="s">
        <v>1981</v>
      </c>
      <c r="Q229" s="142" t="s">
        <v>1982</v>
      </c>
      <c r="R229" s="142"/>
      <c r="S229" s="142"/>
      <c r="T229" s="142" t="s">
        <v>1978</v>
      </c>
    </row>
    <row r="230" spans="12:20" x14ac:dyDescent="0.2">
      <c r="L230" s="142" t="s">
        <v>1983</v>
      </c>
      <c r="M230" s="142" t="s">
        <v>1984</v>
      </c>
      <c r="N230" s="142" t="s">
        <v>1985</v>
      </c>
      <c r="O230" s="142" t="s">
        <v>1986</v>
      </c>
      <c r="P230" s="142" t="s">
        <v>1987</v>
      </c>
      <c r="Q230" s="142" t="s">
        <v>1988</v>
      </c>
      <c r="R230" s="142"/>
      <c r="S230" s="142"/>
      <c r="T230" s="142" t="s">
        <v>1983</v>
      </c>
    </row>
    <row r="231" spans="12:20" x14ac:dyDescent="0.2">
      <c r="L231" s="142" t="s">
        <v>1989</v>
      </c>
      <c r="M231" s="142" t="s">
        <v>1990</v>
      </c>
      <c r="N231" s="142" t="s">
        <v>1990</v>
      </c>
      <c r="O231" s="142" t="s">
        <v>1990</v>
      </c>
      <c r="P231" s="142" t="s">
        <v>1991</v>
      </c>
      <c r="Q231" s="142" t="s">
        <v>1992</v>
      </c>
      <c r="R231" s="142"/>
      <c r="S231" s="142"/>
      <c r="T231" s="142" t="s">
        <v>1989</v>
      </c>
    </row>
    <row r="232" spans="12:20" x14ac:dyDescent="0.2">
      <c r="L232" s="142" t="s">
        <v>1993</v>
      </c>
      <c r="M232" s="142" t="s">
        <v>1994</v>
      </c>
      <c r="N232" s="142" t="s">
        <v>1995</v>
      </c>
      <c r="O232" s="142" t="s">
        <v>1996</v>
      </c>
      <c r="P232" s="142" t="s">
        <v>1997</v>
      </c>
      <c r="Q232" s="142" t="s">
        <v>1998</v>
      </c>
      <c r="R232" s="142"/>
      <c r="S232" s="142"/>
      <c r="T232" s="142" t="s">
        <v>1993</v>
      </c>
    </row>
    <row r="233" spans="12:20" x14ac:dyDescent="0.2">
      <c r="L233" s="142" t="s">
        <v>1999</v>
      </c>
      <c r="M233" s="142" t="s">
        <v>2000</v>
      </c>
      <c r="N233" s="142" t="s">
        <v>2001</v>
      </c>
      <c r="O233" s="142" t="s">
        <v>2002</v>
      </c>
      <c r="P233" s="142" t="s">
        <v>2003</v>
      </c>
      <c r="Q233" s="142" t="s">
        <v>2004</v>
      </c>
      <c r="R233" s="142"/>
      <c r="S233" s="142"/>
      <c r="T233" s="142" t="s">
        <v>1999</v>
      </c>
    </row>
    <row r="234" spans="12:20" x14ac:dyDescent="0.2">
      <c r="L234" s="142" t="s">
        <v>2005</v>
      </c>
      <c r="M234" s="142" t="s">
        <v>2006</v>
      </c>
      <c r="N234" s="142" t="s">
        <v>2007</v>
      </c>
      <c r="O234" s="142" t="s">
        <v>2008</v>
      </c>
      <c r="P234" s="142" t="s">
        <v>2009</v>
      </c>
      <c r="Q234" s="142" t="s">
        <v>2010</v>
      </c>
      <c r="R234" s="142"/>
      <c r="S234" s="142"/>
      <c r="T234" s="142" t="s">
        <v>2005</v>
      </c>
    </row>
    <row r="235" spans="12:20" x14ac:dyDescent="0.2">
      <c r="L235" s="142" t="s">
        <v>2011</v>
      </c>
      <c r="M235" s="142" t="s">
        <v>2012</v>
      </c>
      <c r="N235" s="142" t="s">
        <v>2013</v>
      </c>
      <c r="O235" s="142" t="s">
        <v>2014</v>
      </c>
      <c r="P235" s="142" t="s">
        <v>2015</v>
      </c>
      <c r="Q235" s="142" t="s">
        <v>2016</v>
      </c>
      <c r="R235" s="142"/>
      <c r="S235" s="142"/>
      <c r="T235" s="142" t="s">
        <v>2011</v>
      </c>
    </row>
    <row r="236" spans="12:20" x14ac:dyDescent="0.2">
      <c r="L236" s="142" t="s">
        <v>2017</v>
      </c>
      <c r="M236" s="142" t="s">
        <v>2018</v>
      </c>
      <c r="N236" s="142" t="s">
        <v>2019</v>
      </c>
      <c r="O236" s="142" t="s">
        <v>2020</v>
      </c>
      <c r="P236" s="142" t="s">
        <v>2021</v>
      </c>
      <c r="Q236" s="142" t="s">
        <v>2022</v>
      </c>
      <c r="R236" s="142"/>
      <c r="S236" s="142"/>
      <c r="T236" s="142" t="s">
        <v>2017</v>
      </c>
    </row>
    <row r="237" spans="12:20" x14ac:dyDescent="0.2">
      <c r="L237" s="142" t="s">
        <v>2023</v>
      </c>
      <c r="M237" s="142" t="s">
        <v>2024</v>
      </c>
      <c r="N237" s="142" t="s">
        <v>2025</v>
      </c>
      <c r="O237" s="142" t="s">
        <v>2026</v>
      </c>
      <c r="P237" s="142" t="s">
        <v>2027</v>
      </c>
      <c r="Q237" s="142" t="s">
        <v>2028</v>
      </c>
      <c r="R237" s="142"/>
      <c r="S237" s="142"/>
      <c r="T237" s="142" t="s">
        <v>2023</v>
      </c>
    </row>
    <row r="238" spans="12:20" x14ac:dyDescent="0.2">
      <c r="L238" s="142" t="s">
        <v>2029</v>
      </c>
      <c r="M238" s="142" t="s">
        <v>2030</v>
      </c>
      <c r="N238" s="142" t="s">
        <v>2031</v>
      </c>
      <c r="O238" s="142" t="s">
        <v>2032</v>
      </c>
      <c r="P238" s="142" t="s">
        <v>2033</v>
      </c>
      <c r="Q238" s="142" t="s">
        <v>2034</v>
      </c>
      <c r="R238" s="142"/>
      <c r="S238" s="142"/>
      <c r="T238" s="142" t="s">
        <v>2029</v>
      </c>
    </row>
    <row r="239" spans="12:20" x14ac:dyDescent="0.2">
      <c r="L239" s="142" t="s">
        <v>2035</v>
      </c>
      <c r="M239" s="142" t="s">
        <v>2036</v>
      </c>
      <c r="N239" s="142" t="s">
        <v>2036</v>
      </c>
      <c r="O239" s="142" t="s">
        <v>2036</v>
      </c>
      <c r="P239" s="142" t="s">
        <v>2037</v>
      </c>
      <c r="Q239" s="142" t="s">
        <v>2038</v>
      </c>
      <c r="R239" s="142"/>
      <c r="S239" s="142"/>
      <c r="T239" s="142" t="s">
        <v>2035</v>
      </c>
    </row>
    <row r="240" spans="12:20" x14ac:dyDescent="0.2">
      <c r="L240" s="142" t="s">
        <v>2039</v>
      </c>
      <c r="M240" s="142" t="s">
        <v>2040</v>
      </c>
      <c r="N240" s="142" t="s">
        <v>2040</v>
      </c>
      <c r="O240" s="142" t="s">
        <v>2040</v>
      </c>
      <c r="P240" s="142" t="s">
        <v>2041</v>
      </c>
      <c r="Q240" s="142" t="s">
        <v>2042</v>
      </c>
      <c r="R240" s="142"/>
      <c r="S240" s="142"/>
      <c r="T240" s="142" t="s">
        <v>2039</v>
      </c>
    </row>
    <row r="241" spans="12:25" x14ac:dyDescent="0.2">
      <c r="L241" s="142" t="s">
        <v>2043</v>
      </c>
      <c r="M241" s="142" t="s">
        <v>2044</v>
      </c>
      <c r="N241" s="142" t="s">
        <v>2045</v>
      </c>
      <c r="O241" s="142" t="s">
        <v>2046</v>
      </c>
      <c r="P241" s="142" t="s">
        <v>2047</v>
      </c>
      <c r="Q241" s="142" t="s">
        <v>2048</v>
      </c>
      <c r="R241" s="142"/>
      <c r="S241" s="142"/>
      <c r="T241" s="142" t="s">
        <v>2043</v>
      </c>
    </row>
    <row r="242" spans="12:25" x14ac:dyDescent="0.2">
      <c r="L242" s="142" t="s">
        <v>2049</v>
      </c>
      <c r="M242" s="142" t="s">
        <v>2050</v>
      </c>
      <c r="N242" s="142" t="s">
        <v>2050</v>
      </c>
      <c r="O242" s="142" t="s">
        <v>2050</v>
      </c>
      <c r="P242" s="142" t="s">
        <v>2051</v>
      </c>
      <c r="Q242" s="142" t="s">
        <v>2052</v>
      </c>
      <c r="R242" s="142"/>
      <c r="S242" s="142"/>
      <c r="T242" s="142" t="s">
        <v>2049</v>
      </c>
    </row>
    <row r="243" spans="12:25" x14ac:dyDescent="0.2">
      <c r="L243" s="142" t="s">
        <v>2053</v>
      </c>
      <c r="M243" s="142" t="s">
        <v>2054</v>
      </c>
      <c r="N243" s="142" t="s">
        <v>2055</v>
      </c>
      <c r="O243" s="142" t="s">
        <v>2054</v>
      </c>
      <c r="P243" s="142" t="s">
        <v>2056</v>
      </c>
      <c r="Q243" s="142" t="s">
        <v>2057</v>
      </c>
      <c r="R243" s="142"/>
      <c r="S243" s="142"/>
      <c r="T243" s="142" t="s">
        <v>2053</v>
      </c>
    </row>
    <row r="244" spans="12:25" x14ac:dyDescent="0.2">
      <c r="L244" s="142" t="s">
        <v>2058</v>
      </c>
      <c r="M244" s="142" t="s">
        <v>2059</v>
      </c>
      <c r="N244" s="142" t="s">
        <v>2060</v>
      </c>
      <c r="O244" s="142" t="s">
        <v>2061</v>
      </c>
      <c r="P244" s="142" t="s">
        <v>2062</v>
      </c>
      <c r="Q244" s="142" t="s">
        <v>2063</v>
      </c>
      <c r="R244" s="142"/>
      <c r="S244" s="142"/>
      <c r="T244" s="142" t="s">
        <v>2058</v>
      </c>
    </row>
    <row r="245" spans="12:25" x14ac:dyDescent="0.2">
      <c r="L245" s="142" t="s">
        <v>2064</v>
      </c>
      <c r="M245" s="142" t="s">
        <v>2065</v>
      </c>
      <c r="N245" s="142" t="s">
        <v>2066</v>
      </c>
      <c r="O245" s="142" t="s">
        <v>2065</v>
      </c>
      <c r="P245" s="142" t="s">
        <v>2067</v>
      </c>
      <c r="Q245" s="142" t="s">
        <v>2068</v>
      </c>
      <c r="R245" s="142"/>
      <c r="S245" s="142"/>
      <c r="T245" s="142" t="s">
        <v>2064</v>
      </c>
    </row>
    <row r="246" spans="12:25" x14ac:dyDescent="0.2">
      <c r="L246" s="142" t="s">
        <v>2069</v>
      </c>
      <c r="M246" s="142" t="s">
        <v>2070</v>
      </c>
      <c r="N246" s="142" t="s">
        <v>2070</v>
      </c>
      <c r="O246" s="142" t="s">
        <v>2070</v>
      </c>
      <c r="P246" s="142" t="s">
        <v>2071</v>
      </c>
      <c r="Q246" s="142" t="s">
        <v>2072</v>
      </c>
      <c r="R246" s="142"/>
      <c r="S246" s="142"/>
      <c r="T246" s="142" t="s">
        <v>2069</v>
      </c>
    </row>
    <row r="247" spans="12:25" x14ac:dyDescent="0.2">
      <c r="L247" s="142" t="s">
        <v>2073</v>
      </c>
      <c r="M247" s="142" t="s">
        <v>2074</v>
      </c>
      <c r="N247" s="142" t="s">
        <v>2074</v>
      </c>
      <c r="O247" s="142" t="s">
        <v>2074</v>
      </c>
      <c r="P247" s="142" t="s">
        <v>2074</v>
      </c>
      <c r="Q247" s="142" t="s">
        <v>2074</v>
      </c>
      <c r="R247" s="142" t="s">
        <v>2074</v>
      </c>
      <c r="S247" s="142" t="s">
        <v>2074</v>
      </c>
      <c r="T247" s="142" t="s">
        <v>2073</v>
      </c>
    </row>
    <row r="248" spans="12:25" x14ac:dyDescent="0.2">
      <c r="L248" s="174" t="s">
        <v>2118</v>
      </c>
      <c r="M248" s="174" t="s">
        <v>2119</v>
      </c>
      <c r="N248" s="174" t="s">
        <v>2120</v>
      </c>
      <c r="O248" s="174" t="s">
        <v>2121</v>
      </c>
      <c r="P248" s="174" t="s">
        <v>2122</v>
      </c>
      <c r="Q248" s="174" t="s">
        <v>2123</v>
      </c>
      <c r="R248" s="174"/>
      <c r="S248" s="174"/>
      <c r="T248" s="174" t="s">
        <v>2118</v>
      </c>
      <c r="U248" s="174"/>
    </row>
    <row r="249" spans="12:25" x14ac:dyDescent="0.2">
      <c r="L249" s="143" t="s">
        <v>2244</v>
      </c>
      <c r="M249" s="143" t="s">
        <v>2245</v>
      </c>
      <c r="N249" s="143" t="s">
        <v>2247</v>
      </c>
      <c r="O249" s="143" t="s">
        <v>2246</v>
      </c>
      <c r="P249" s="143" t="s">
        <v>2248</v>
      </c>
      <c r="Q249" s="143" t="s">
        <v>2249</v>
      </c>
      <c r="T249" s="143" t="s">
        <v>2244</v>
      </c>
    </row>
    <row r="251" spans="12:25" ht="409.5" customHeight="1" x14ac:dyDescent="0.25">
      <c r="V251" s="135" t="s">
        <v>106</v>
      </c>
      <c r="Y251" s="99"/>
    </row>
    <row r="252" spans="12:25" ht="409.5" customHeight="1" x14ac:dyDescent="0.2">
      <c r="V252" s="135" t="s">
        <v>195</v>
      </c>
    </row>
    <row r="253" spans="12:25" ht="409.5" customHeight="1" x14ac:dyDescent="0.2">
      <c r="V253" s="135" t="s">
        <v>196</v>
      </c>
    </row>
    <row r="254" spans="12:25" ht="409.5" customHeight="1" x14ac:dyDescent="0.2">
      <c r="V254" s="135" t="s">
        <v>198</v>
      </c>
    </row>
    <row r="255" spans="12:25" ht="409.5" customHeight="1"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baseColWidth="10" defaultColWidth="11.5546875" defaultRowHeight="15" x14ac:dyDescent="0.2"/>
  <cols>
    <col min="1" max="1" width="10.6640625"/>
    <col min="2" max="2" width="90.109375" bestFit="1" customWidth="1"/>
    <col min="3" max="4" width="14.109375" customWidth="1"/>
    <col min="5" max="5" width="11.109375" customWidth="1"/>
    <col min="6" max="7" width="16.109375" bestFit="1" customWidth="1"/>
  </cols>
  <sheetData>
    <row r="1" spans="1:7" x14ac:dyDescent="0.2">
      <c r="A1" s="6" t="s">
        <v>114</v>
      </c>
      <c r="B1" s="6" t="s">
        <v>109</v>
      </c>
      <c r="C1" s="6" t="s">
        <v>2241</v>
      </c>
      <c r="D1" s="6" t="s">
        <v>2240</v>
      </c>
      <c r="E1" s="6" t="s">
        <v>110</v>
      </c>
      <c r="F1" s="6" t="s">
        <v>2242</v>
      </c>
      <c r="G1" s="6" t="s">
        <v>2243</v>
      </c>
    </row>
    <row r="2" spans="1:7" x14ac:dyDescent="0.2">
      <c r="A2" s="6" t="s">
        <v>81</v>
      </c>
      <c r="B2" s="6" t="s">
        <v>90</v>
      </c>
      <c r="C2" s="173">
        <f>v6_</f>
        <v>3515.4704516980128</v>
      </c>
      <c r="D2" s="173">
        <f>'A- Generated'!D12</f>
        <v>3515.4704516980128</v>
      </c>
      <c r="E2" s="173">
        <f>'_Data inputs (all)'!F7</f>
        <v>3515.470458984375</v>
      </c>
      <c r="F2" s="182">
        <f>IF(E2=0,1,ROUND(D2/E2,10))</f>
        <v>0.99999999790000005</v>
      </c>
      <c r="G2" s="182">
        <f>IF(D2=0,1,ROUND(C2/D2,10))</f>
        <v>1</v>
      </c>
    </row>
    <row r="3" spans="1:7" x14ac:dyDescent="0.2">
      <c r="A3" s="6" t="s">
        <v>81</v>
      </c>
      <c r="B3" s="6" t="s">
        <v>87</v>
      </c>
      <c r="C3" s="173">
        <f>v8_</f>
        <v>2812.3763613584101</v>
      </c>
      <c r="D3" s="173">
        <f>'A- Generated'!D15</f>
        <v>2812.3763613584101</v>
      </c>
      <c r="E3" s="173">
        <f>'_Data inputs (all)'!F9</f>
        <v>2812.37646484375</v>
      </c>
      <c r="F3" s="182">
        <f t="shared" ref="F3:F17" si="0">IF(E3=0,1,ROUND(D3/E3,10))</f>
        <v>0.99999996319999995</v>
      </c>
      <c r="G3" s="182">
        <f t="shared" ref="G3:G17" si="1">IF(D3=0,1,ROUND(C3/D3,10))</f>
        <v>1</v>
      </c>
    </row>
    <row r="4" spans="1:7" x14ac:dyDescent="0.2">
      <c r="A4" s="6" t="s">
        <v>115</v>
      </c>
      <c r="B4" s="6" t="s">
        <v>2227</v>
      </c>
      <c r="C4" s="173">
        <f>v8_</f>
        <v>2812.3763613584101</v>
      </c>
      <c r="D4" s="173">
        <f>'B- Generated by facility type'!F10</f>
        <v>2812.3763613584097</v>
      </c>
      <c r="E4" s="173"/>
      <c r="F4" s="182">
        <f t="shared" si="0"/>
        <v>1</v>
      </c>
      <c r="G4" s="182">
        <f t="shared" si="1"/>
        <v>1</v>
      </c>
    </row>
    <row r="5" spans="1:7" x14ac:dyDescent="0.2">
      <c r="A5" s="6" t="s">
        <v>115</v>
      </c>
      <c r="B5" t="s">
        <v>112</v>
      </c>
      <c r="C5" s="173">
        <f>v14_</f>
        <v>2776.8339777046276</v>
      </c>
      <c r="D5" s="173">
        <f>'B- Generated by facility type'!F5</f>
        <v>2776.8339777046276</v>
      </c>
      <c r="E5" s="173">
        <f>'_Data inputs (all)'!F15</f>
        <v>2776.833984375</v>
      </c>
      <c r="F5" s="182">
        <f t="shared" si="0"/>
        <v>0.99999999760000002</v>
      </c>
      <c r="G5" s="182">
        <f t="shared" si="1"/>
        <v>1</v>
      </c>
    </row>
    <row r="6" spans="1:7" x14ac:dyDescent="0.2">
      <c r="A6" s="6" t="s">
        <v>115</v>
      </c>
      <c r="B6" t="s">
        <v>113</v>
      </c>
      <c r="C6" s="173">
        <f>v15_</f>
        <v>34.990737534101847</v>
      </c>
      <c r="D6" s="173">
        <f>'B- Generated by facility type'!F6</f>
        <v>34.990737534101847</v>
      </c>
      <c r="E6" s="173">
        <f>'_Data inputs (all)'!F16</f>
        <v>34.990737915039063</v>
      </c>
      <c r="F6" s="182">
        <f t="shared" si="0"/>
        <v>0.99999998909999999</v>
      </c>
      <c r="G6" s="182">
        <f t="shared" si="1"/>
        <v>1</v>
      </c>
    </row>
    <row r="7" spans="1:7" x14ac:dyDescent="0.2">
      <c r="A7" s="6" t="s">
        <v>115</v>
      </c>
      <c r="B7" t="s">
        <v>1</v>
      </c>
      <c r="C7" s="173">
        <f>v16_</f>
        <v>0.51716823720000005</v>
      </c>
      <c r="D7" s="173">
        <f>'B- Generated by facility type'!F7</f>
        <v>0.51716823720000005</v>
      </c>
      <c r="E7" s="173">
        <f>'_Data inputs (all)'!F17</f>
        <v>0.51716822385787964</v>
      </c>
      <c r="F7" s="182">
        <f t="shared" si="0"/>
        <v>1.0000000257999999</v>
      </c>
      <c r="G7" s="182">
        <f t="shared" si="1"/>
        <v>1</v>
      </c>
    </row>
    <row r="8" spans="1:7" x14ac:dyDescent="0.2">
      <c r="A8" s="6" t="s">
        <v>115</v>
      </c>
      <c r="B8" t="s">
        <v>2</v>
      </c>
      <c r="C8" s="173">
        <f>v17_</f>
        <v>3.4477882479999993E-2</v>
      </c>
      <c r="D8" s="173">
        <f>'B- Generated by facility type'!F8</f>
        <v>3.4477882479999993E-2</v>
      </c>
      <c r="E8" s="173">
        <f>'_Data inputs (all)'!F18</f>
        <v>3.4477882087230682E-2</v>
      </c>
      <c r="F8" s="182">
        <f t="shared" si="0"/>
        <v>1.0000000114000001</v>
      </c>
      <c r="G8" s="182">
        <f t="shared" si="1"/>
        <v>1</v>
      </c>
    </row>
    <row r="9" spans="1:7" x14ac:dyDescent="0.2">
      <c r="A9" s="6" t="s">
        <v>115</v>
      </c>
      <c r="B9" t="s">
        <v>3</v>
      </c>
      <c r="C9" s="173">
        <f>v18_</f>
        <v>0</v>
      </c>
      <c r="D9" s="173">
        <f>'B- Generated by facility type'!F9</f>
        <v>0</v>
      </c>
      <c r="E9" s="173">
        <f>'_Data inputs (all)'!F19</f>
        <v>0</v>
      </c>
      <c r="F9" s="182">
        <f t="shared" si="0"/>
        <v>1</v>
      </c>
      <c r="G9" s="182">
        <f t="shared" si="1"/>
        <v>1</v>
      </c>
    </row>
    <row r="10" spans="1:7" x14ac:dyDescent="0.2">
      <c r="A10" s="6" t="s">
        <v>116</v>
      </c>
      <c r="B10" s="6" t="s">
        <v>2135</v>
      </c>
      <c r="C10" s="173">
        <f>v29_</f>
        <v>2213.8768190233518</v>
      </c>
      <c r="D10" s="173">
        <f>'D- Delivered'!B4</f>
        <v>2213.8768190233518</v>
      </c>
      <c r="E10" s="173">
        <f>'_Data inputs (all)'!F30</f>
        <v>2213.876708984375</v>
      </c>
      <c r="F10" s="182">
        <f t="shared" si="0"/>
        <v>1.0000000496999999</v>
      </c>
      <c r="G10" s="182">
        <f t="shared" si="1"/>
        <v>1</v>
      </c>
    </row>
    <row r="11" spans="1:7" x14ac:dyDescent="0.2">
      <c r="A11" s="6" t="s">
        <v>116</v>
      </c>
      <c r="B11" s="6" t="s">
        <v>2136</v>
      </c>
      <c r="C11" s="173">
        <f>v30_</f>
        <v>8.7476843835254616</v>
      </c>
      <c r="D11" s="173">
        <f>'D- Delivered'!B5</f>
        <v>8.7476843835254616</v>
      </c>
      <c r="E11" s="173">
        <f>'_Data inputs (all)'!F31</f>
        <v>8.7476844787597656</v>
      </c>
      <c r="F11" s="182">
        <f t="shared" si="0"/>
        <v>0.99999998909999999</v>
      </c>
      <c r="G11" s="182">
        <f t="shared" si="1"/>
        <v>1</v>
      </c>
    </row>
    <row r="12" spans="1:7" x14ac:dyDescent="0.2">
      <c r="A12" s="6" t="s">
        <v>116</v>
      </c>
      <c r="B12" s="6" t="s">
        <v>2137</v>
      </c>
      <c r="C12" s="173">
        <f>v31_</f>
        <v>8.7476843835254616</v>
      </c>
      <c r="D12" s="173">
        <f>'D- Delivered'!B6</f>
        <v>8.7476843835254616</v>
      </c>
      <c r="E12" s="173">
        <f>'_Data inputs (all)'!F32</f>
        <v>8.7476844787597656</v>
      </c>
      <c r="F12" s="182">
        <f t="shared" si="0"/>
        <v>0.99999998909999999</v>
      </c>
      <c r="G12" s="182">
        <f t="shared" si="1"/>
        <v>1</v>
      </c>
    </row>
    <row r="13" spans="1:7" x14ac:dyDescent="0.2">
      <c r="A13" s="6" t="s">
        <v>116</v>
      </c>
      <c r="B13" s="6" t="s">
        <v>2138</v>
      </c>
      <c r="C13" s="173">
        <f>v32_</f>
        <v>2231.3721877904031</v>
      </c>
      <c r="D13" s="173">
        <f>'D- Delivered'!B7</f>
        <v>2231.3721877904031</v>
      </c>
      <c r="E13" s="173">
        <f>'_Data inputs (all)'!F33</f>
        <v>2231.3720703125</v>
      </c>
      <c r="F13" s="182">
        <f t="shared" si="0"/>
        <v>1.0000000525999999</v>
      </c>
      <c r="G13" s="182">
        <f t="shared" si="1"/>
        <v>1</v>
      </c>
    </row>
    <row r="14" spans="1:7" x14ac:dyDescent="0.2">
      <c r="A14" s="6" t="s">
        <v>194</v>
      </c>
      <c r="B14" s="6" t="s">
        <v>117</v>
      </c>
      <c r="C14" s="173">
        <f>v33_</f>
        <v>1958.3950157752793</v>
      </c>
      <c r="D14" s="173">
        <f>'E- Safely treated'!B4</f>
        <v>1958.3950157752793</v>
      </c>
      <c r="E14" s="173">
        <f>'_Data inputs (all)'!F34</f>
        <v>1958.3948974609375</v>
      </c>
      <c r="F14" s="182">
        <f t="shared" si="0"/>
        <v>1.0000000603999999</v>
      </c>
      <c r="G14" s="182">
        <f t="shared" si="1"/>
        <v>1</v>
      </c>
    </row>
    <row r="15" spans="1:7" x14ac:dyDescent="0.2">
      <c r="A15" s="6" t="s">
        <v>194</v>
      </c>
      <c r="B15" s="6" t="s">
        <v>717</v>
      </c>
      <c r="C15" s="173">
        <f>v34_</f>
        <v>7.7381999527096594</v>
      </c>
      <c r="D15" s="173">
        <f>'E- Safely treated'!B5</f>
        <v>7.7381999527096594</v>
      </c>
      <c r="E15" s="173">
        <f>'_Data inputs (all)'!F35</f>
        <v>7.7382001876831055</v>
      </c>
      <c r="F15" s="182">
        <f t="shared" si="0"/>
        <v>0.99999996960000004</v>
      </c>
      <c r="G15" s="182">
        <f t="shared" si="1"/>
        <v>1</v>
      </c>
    </row>
    <row r="16" spans="1:7" x14ac:dyDescent="0.2">
      <c r="A16" s="6" t="s">
        <v>194</v>
      </c>
      <c r="B16" s="6" t="s">
        <v>721</v>
      </c>
      <c r="C16" s="173">
        <f>v35_</f>
        <v>8.7476843835254616</v>
      </c>
      <c r="D16" s="173">
        <f>'E- Safely treated'!B6</f>
        <v>8.7476843835254616</v>
      </c>
      <c r="E16" s="173">
        <f>'_Data inputs (all)'!F36</f>
        <v>8.7476844787597656</v>
      </c>
      <c r="F16" s="182">
        <f t="shared" si="0"/>
        <v>0.99999998909999999</v>
      </c>
      <c r="G16" s="182">
        <f t="shared" si="1"/>
        <v>1</v>
      </c>
    </row>
    <row r="17" spans="1:7" x14ac:dyDescent="0.2">
      <c r="A17" s="6" t="s">
        <v>194</v>
      </c>
      <c r="B17" t="s">
        <v>55</v>
      </c>
      <c r="C17" s="173">
        <f>v36_</f>
        <v>1974.8809001115144</v>
      </c>
      <c r="D17" s="173">
        <f>'E- Safely treated'!B7</f>
        <v>1974.8809001115144</v>
      </c>
      <c r="E17" s="173">
        <f>'_Data inputs (all)'!F37</f>
        <v>1974.8807373046875</v>
      </c>
      <c r="F17" s="182">
        <f t="shared" si="0"/>
        <v>1.0000000823999999</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3"/>
  <sheetViews>
    <sheetView showGridLines="0" zoomScaleNormal="100" workbookViewId="0">
      <selection activeCell="B1" sqref="B1"/>
    </sheetView>
  </sheetViews>
  <sheetFormatPr baseColWidth="10" defaultColWidth="8.6640625" defaultRowHeight="18" x14ac:dyDescent="0.25"/>
  <cols>
    <col min="1" max="1" width="151.6640625" style="99" customWidth="1"/>
    <col min="2" max="8" width="8.6640625" style="99"/>
    <col min="9" max="9" width="8.109375" style="99" customWidth="1"/>
    <col min="10" max="16384" width="8.6640625" style="99"/>
  </cols>
  <sheetData>
    <row r="1" spans="1:1" ht="409.5" customHeight="1" x14ac:dyDescent="0.25"/>
    <row r="2" spans="1:1" ht="409.5" customHeight="1" x14ac:dyDescent="0.25">
      <c r="A2" s="99" cm="1">
        <f t="array" ref="A2">Guidance1</f>
        <v>0</v>
      </c>
    </row>
    <row r="3" spans="1:1" ht="409.5" customHeight="1" x14ac:dyDescent="0.25"/>
  </sheetData>
  <sheetProtection sheet="1" objects="1" scenarios="1"/>
  <pageMargins left="0.7" right="0.7" top="0.75" bottom="0.75" header="0.3" footer="0.3"/>
  <pageSetup paperSize="9" orientation="portrait" horizontalDpi="300" verticalDpi="300" r:id="rId1"/>
  <headerFooter scaleWithDoc="0" alignWithMargins="0">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1"/>
  </sheetPr>
  <dimension ref="A1:M41"/>
  <sheetViews>
    <sheetView zoomScaleNormal="100" workbookViewId="0">
      <pane ySplit="1" topLeftCell="A2" activePane="bottomLeft" state="frozen"/>
      <selection activeCell="F5" sqref="F5"/>
      <selection pane="bottomLeft" activeCell="F2" sqref="F2"/>
    </sheetView>
  </sheetViews>
  <sheetFormatPr baseColWidth="10" defaultColWidth="8.6640625" defaultRowHeight="15" x14ac:dyDescent="0.2"/>
  <cols>
    <col min="1" max="1" width="50.6640625" style="105" customWidth="1"/>
    <col min="2" max="2" width="15.6640625" style="1" customWidth="1"/>
    <col min="3" max="3" width="10.6640625" style="1" customWidth="1"/>
    <col min="4" max="4" width="100.6640625" customWidth="1"/>
    <col min="5" max="5" width="30.6640625" style="1" customWidth="1"/>
    <col min="6" max="6" width="18" customWidth="1"/>
    <col min="7" max="7" width="15.6640625" customWidth="1"/>
    <col min="8" max="10" width="10.6640625" style="1" customWidth="1"/>
    <col min="11" max="11" width="75.6640625" style="105" customWidth="1"/>
    <col min="12" max="12" width="20.6640625" customWidth="1"/>
    <col min="13" max="13" width="75.6640625" style="105" customWidth="1"/>
  </cols>
  <sheetData>
    <row r="1" spans="1:13" s="149" customFormat="1" ht="15.75" x14ac:dyDescent="0.25">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r="2" spans="1:13" ht="15.95"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Italy</v>
      </c>
      <c r="B2" s="42" t="str">
        <f>'_Data inputs (all)'!B2</f>
        <v>ITA</v>
      </c>
      <c r="C2" s="110">
        <f>'_Data inputs (all)'!C2</f>
        <v>1</v>
      </c>
      <c r="D2" s="6" t="str">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Country/territory population</v>
      </c>
      <c r="E2" s="110" t="str">
        <f>'_Data inputs (all)'!E2</f>
        <v>POP</v>
      </c>
      <c r="F2" s="183">
        <f>'_Data inputs (all)'!F2</f>
        <v>59037.47</v>
      </c>
      <c r="G2" s="6" t="str">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Population (1000s)</v>
      </c>
      <c r="H2" s="186" t="str">
        <f>'_Data inputs (all)'!H2</f>
        <v>E</v>
      </c>
      <c r="I2" s="187">
        <f>IF(ISNUMBER('_Data inputs (all)'!I2),'_Data inputs (all)'!I2,"")</f>
        <v>2022</v>
      </c>
      <c r="J2" s="187" t="str">
        <f>IF(ISTEXT('_Data inputs (all)'!J2),'_Data inputs (all)'!J2,"")</f>
        <v>Yes</v>
      </c>
      <c r="K2" s="188" t="str">
        <f>IF(ISTEXT('_Data inputs (all)'!K2),'_Data inputs (all)'!K2,"")</f>
        <v>2022 Revision of World Population Prospects</v>
      </c>
      <c r="L2" s="186" t="str">
        <f>IF(ISTEXT('_Data inputs (all)'!L2),'_Data inputs (all)'!L2,"")</f>
        <v/>
      </c>
      <c r="M2" s="188" t="str">
        <f>IF(ISTEXT('_Data inputs (all)'!M2),'_Data inputs (all)'!M2,"")</f>
        <v/>
      </c>
    </row>
    <row r="3" spans="1:13" ht="15.95"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Italy</v>
      </c>
      <c r="B3" s="42" t="str">
        <f>'_Data inputs (all)'!B3</f>
        <v>ITA</v>
      </c>
      <c r="C3" s="110">
        <f>'_Data inputs (all)'!C3</f>
        <v>2</v>
      </c>
      <c r="D3" s="6" t="str">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Proportion of population with drinking water supply on-premises</v>
      </c>
      <c r="E3" s="110" t="str">
        <f>'_Data inputs (all)'!E3</f>
        <v>POP_WATON_PCT</v>
      </c>
      <c r="F3" s="183">
        <f>'_Data inputs (all)'!F3</f>
        <v>97.84</v>
      </c>
      <c r="G3" s="6" t="str">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Percentage</v>
      </c>
      <c r="H3" s="186" t="str">
        <f>'_Data inputs (all)'!H3</f>
        <v>E</v>
      </c>
      <c r="I3" s="187">
        <f>IF(ISNUMBER('_Data inputs (all)'!I3),'_Data inputs (all)'!I3,"")</f>
        <v>2022</v>
      </c>
      <c r="J3" s="187" t="str">
        <f>IF(ISTEXT('_Data inputs (all)'!J3),'_Data inputs (all)'!J3,"")</f>
        <v>Yes</v>
      </c>
      <c r="K3" s="188" t="str">
        <f>IF(ISTEXT('_Data inputs (all)'!K3),'_Data inputs (all)'!K3,"")</f>
        <v>WHO/UNICEF Joint Monitoring Programme for Water Supply, Sanitation, and Hygiene (JMP) Household Country File, 2023 (link: https://washdata.org/)</v>
      </c>
      <c r="L3" s="186" t="str">
        <f>IF(ISTEXT('_Data inputs (all)'!L3),'_Data inputs (all)'!L3,"")</f>
        <v/>
      </c>
      <c r="M3" s="188" t="str">
        <f>IF(ISTEXT('_Data inputs (all)'!M3),'_Data inputs (all)'!M3,"")</f>
        <v/>
      </c>
    </row>
    <row r="4" spans="1:13" ht="15.95"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Italy</v>
      </c>
      <c r="B4" s="42" t="str">
        <f>'_Data inputs (all)'!B4</f>
        <v>ITA</v>
      </c>
      <c r="C4" s="110">
        <f>'_Data inputs (all)'!C4</f>
        <v>3</v>
      </c>
      <c r="D4" s="6" t="str">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Proportion of population with drinking water supply off-premises</v>
      </c>
      <c r="E4" s="110" t="str">
        <f>'_Data inputs (all)'!E4</f>
        <v>POP_WATOFF_PCT</v>
      </c>
      <c r="F4" s="183">
        <f>'_Data inputs (all)'!F4</f>
        <v>2.16</v>
      </c>
      <c r="G4" s="6" t="str">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Percentage</v>
      </c>
      <c r="H4" s="186" t="str">
        <f>'_Data inputs (all)'!H4</f>
        <v>E</v>
      </c>
      <c r="I4" s="187">
        <f>IF(ISNUMBER('_Data inputs (all)'!I4),'_Data inputs (all)'!I4,"")</f>
        <v>2022</v>
      </c>
      <c r="J4" s="187" t="str">
        <f>IF(ISTEXT('_Data inputs (all)'!J4),'_Data inputs (all)'!J4,"")</f>
        <v>Yes</v>
      </c>
      <c r="K4" s="188" t="str">
        <f>IF(ISTEXT('_Data inputs (all)'!K4),'_Data inputs (all)'!K4,"")</f>
        <v>WHO/UNICEF Joint Monitoring Programme for Water Supply, Sanitation, and Hygiene (JMP) Household Country File, 2023 (link: https://washdata.org/)</v>
      </c>
      <c r="L4" s="186" t="str">
        <f>IF(ISTEXT('_Data inputs (all)'!L4),'_Data inputs (all)'!L4,"")</f>
        <v/>
      </c>
      <c r="M4" s="188" t="str">
        <f>IF(ISTEXT('_Data inputs (all)'!M4),'_Data inputs (all)'!M4,"")</f>
        <v/>
      </c>
    </row>
    <row r="5" spans="1:13" ht="15.9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Italy</v>
      </c>
      <c r="B5" s="42" t="str">
        <f>'_Data inputs (all)'!B5</f>
        <v>ITA</v>
      </c>
      <c r="C5" s="110">
        <f>'_Data inputs (all)'!C5</f>
        <v>4</v>
      </c>
      <c r="D5" s="6" t="str">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Average water used by households with on-premises water supply</v>
      </c>
      <c r="E5" s="110" t="str">
        <f>'_Data inputs (all)'!E5</f>
        <v>USE_WATON_AVG</v>
      </c>
      <c r="F5" s="185">
        <f>'_Data inputs (all)'!F5</f>
        <v>166.30099999999999</v>
      </c>
      <c r="G5" s="6" t="str">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Litres/person/day</v>
      </c>
      <c r="H5" s="186" t="str">
        <f>'_Data inputs (all)'!H5</f>
        <v>R</v>
      </c>
      <c r="I5" s="187">
        <f>IF(ISNUMBER('_Data inputs (all)'!I5),'_Data inputs (all)'!I5,"")</f>
        <v>2015</v>
      </c>
      <c r="J5" s="187" t="str">
        <f>IF(ISTEXT('_Data inputs (all)'!J5),'_Data inputs (all)'!J5,"")</f>
        <v>Yes</v>
      </c>
      <c r="K5" s="188" t="str">
        <f>IF(ISTEXT('_Data inputs (all)'!K5),'_Data inputs (all)'!K5,"")</f>
        <v>Eurostat Water Statistics (link: https://ec.europa.eu/eurostat/statistics-explained/index.php?title=Water_statistics#Water_uses; accessed: November 2022)</v>
      </c>
      <c r="L5" s="186" t="str">
        <f>IF(ISTEXT('_Data inputs (all)'!L5),'_Data inputs (all)'!L5,"")</f>
        <v>ITA_2015_ES</v>
      </c>
      <c r="M5" s="188" t="str">
        <f>IF(ISTEXT('_Data inputs (all)'!M5),'_Data inputs (all)'!M5,"")</f>
        <v/>
      </c>
    </row>
    <row r="6" spans="1:13" ht="15.95"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Italy</v>
      </c>
      <c r="B6" s="42" t="str">
        <f>'_Data inputs (all)'!B6</f>
        <v>ITA</v>
      </c>
      <c r="C6" s="110">
        <f>'_Data inputs (all)'!C6</f>
        <v>5</v>
      </c>
      <c r="D6" s="6" t="str">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Average water used by households with off-premises water supply</v>
      </c>
      <c r="E6" s="110" t="str">
        <f>'_Data inputs (all)'!E6</f>
        <v>USE_WATOFF_AVG</v>
      </c>
      <c r="F6" s="185">
        <f>'_Data inputs (all)'!F6</f>
        <v>20</v>
      </c>
      <c r="G6" s="6" t="str">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Litres/person/day</v>
      </c>
      <c r="H6" s="186" t="str">
        <f>'_Data inputs (all)'!H6</f>
        <v>A</v>
      </c>
      <c r="I6" s="187">
        <f>IF(ISNUMBER('_Data inputs (all)'!I6),'_Data inputs (all)'!I6,"")</f>
        <v>2022</v>
      </c>
      <c r="J6" s="187" t="str">
        <f>IF(ISTEXT('_Data inputs (all)'!J6),'_Data inputs (all)'!J6,"")</f>
        <v>Yes</v>
      </c>
      <c r="K6" s="188" t="str">
        <f>IF(ISTEXT('_Data inputs (all)'!K6),'_Data inputs (all)'!K6,"")</f>
        <v>Default assumption</v>
      </c>
      <c r="L6" s="186" t="str">
        <f>IF(ISTEXT('_Data inputs (all)'!L6),'_Data inputs (all)'!L6,"")</f>
        <v/>
      </c>
      <c r="M6" s="188" t="str">
        <f>IF(ISTEXT('_Data inputs (all)'!M6),'_Data inputs (all)'!M6,"")</f>
        <v/>
      </c>
    </row>
    <row r="7" spans="1:13" ht="15.95"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Italy</v>
      </c>
      <c r="B7" s="42" t="str">
        <f>'_Data inputs (all)'!B7</f>
        <v>ITA</v>
      </c>
      <c r="C7" s="110">
        <f>'_Data inputs (all)'!C7</f>
        <v>6</v>
      </c>
      <c r="D7" s="6" t="str">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Volume of household water used</v>
      </c>
      <c r="E7" s="110" t="str">
        <f>'_Data inputs (all)'!E7</f>
        <v>USE_VOL</v>
      </c>
      <c r="F7" s="151">
        <f>'A- Generated'!D12</f>
        <v>3515.4704516980128</v>
      </c>
      <c r="G7" s="6" t="str">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Million m3/year</v>
      </c>
      <c r="H7" s="186" t="str">
        <f>'_Data inputs (all)'!H7</f>
        <v>C</v>
      </c>
      <c r="I7" s="187">
        <f>IF(ISNUMBER('_Data inputs (all)'!I7),'_Data inputs (all)'!I7,"")</f>
        <v>2022</v>
      </c>
      <c r="J7" s="187" t="str">
        <f>IF(ISTEXT('_Data inputs (all)'!J7),'_Data inputs (all)'!J7,"")</f>
        <v>Yes</v>
      </c>
      <c r="K7" s="188" t="str">
        <f>IF(ISTEXT('_Data inputs (all)'!K7),'_Data inputs (all)'!K7,"")</f>
        <v/>
      </c>
      <c r="L7" s="186" t="str">
        <f>IF(ISTEXT('_Data inputs (all)'!L7),'_Data inputs (all)'!L7,"")</f>
        <v/>
      </c>
      <c r="M7" s="188" t="str">
        <f>IF(ISTEXT('_Data inputs (all)'!M7),'_Data inputs (all)'!M7,"")</f>
        <v/>
      </c>
    </row>
    <row r="8" spans="1:13" ht="15.95"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Italy</v>
      </c>
      <c r="B8" s="42" t="str">
        <f>'_Data inputs (all)'!B8</f>
        <v>ITA</v>
      </c>
      <c r="C8" s="110">
        <f>'_Data inputs (all)'!C8</f>
        <v>7</v>
      </c>
      <c r="D8" s="6" t="str">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Proportion of household water use converted into wastewater generated</v>
      </c>
      <c r="E8" s="110" t="str">
        <f>'_Data inputs (all)'!E8</f>
        <v>USE_TO_WW_PCT</v>
      </c>
      <c r="F8" s="183">
        <f>'_Data inputs (all)'!F8</f>
        <v>80</v>
      </c>
      <c r="G8" s="6" t="str">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Percentage</v>
      </c>
      <c r="H8" s="186" t="str">
        <f>'_Data inputs (all)'!H8</f>
        <v>A</v>
      </c>
      <c r="I8" s="187">
        <f>IF(ISNUMBER('_Data inputs (all)'!I8),'_Data inputs (all)'!I8,"")</f>
        <v>2022</v>
      </c>
      <c r="J8" s="187" t="str">
        <f>IF(ISTEXT('_Data inputs (all)'!J8),'_Data inputs (all)'!J8,"")</f>
        <v>Yes</v>
      </c>
      <c r="K8" s="188" t="str">
        <f>IF(ISTEXT('_Data inputs (all)'!K8),'_Data inputs (all)'!K8,"")</f>
        <v>Default assumption</v>
      </c>
      <c r="L8" s="186" t="str">
        <f>IF(ISTEXT('_Data inputs (all)'!L8),'_Data inputs (all)'!L8,"")</f>
        <v/>
      </c>
      <c r="M8" s="188" t="str">
        <f>IF(ISTEXT('_Data inputs (all)'!M8),'_Data inputs (all)'!M8,"")</f>
        <v/>
      </c>
    </row>
    <row r="9" spans="1:13" ht="15.95"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Italy</v>
      </c>
      <c r="B9" s="42" t="str">
        <f>'_Data inputs (all)'!B9</f>
        <v>ITA</v>
      </c>
      <c r="C9" s="110">
        <f>'_Data inputs (all)'!C9</f>
        <v>8</v>
      </c>
      <c r="D9" s="6" t="str">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Volume of household wastewater generated</v>
      </c>
      <c r="E9" s="110" t="str">
        <f>'_Data inputs (all)'!E9</f>
        <v>GEN_VOL</v>
      </c>
      <c r="F9" s="184">
        <f>IF(H9="R",'_Data inputs (all)'!F9,'A- Generated'!D15)</f>
        <v>2812.3763613584101</v>
      </c>
      <c r="G9" s="6" t="str">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Million m3/year</v>
      </c>
      <c r="H9" s="186" t="str">
        <f>'_Data inputs (all)'!H9</f>
        <v>C</v>
      </c>
      <c r="I9" s="187">
        <f>IF(ISNUMBER('_Data inputs (all)'!I9),'_Data inputs (all)'!I9,"")</f>
        <v>2022</v>
      </c>
      <c r="J9" s="187" t="str">
        <f>IF(ISTEXT('_Data inputs (all)'!J9),'_Data inputs (all)'!J9,"")</f>
        <v>Yes</v>
      </c>
      <c r="K9" s="188" t="str">
        <f>IF(ISTEXT('_Data inputs (all)'!K9),'_Data inputs (all)'!K9,"")</f>
        <v/>
      </c>
      <c r="L9" s="186" t="str">
        <f>IF(ISTEXT('_Data inputs (all)'!L9),'_Data inputs (all)'!L9,"")</f>
        <v/>
      </c>
      <c r="M9" s="188" t="str">
        <f>IF(ISTEXT('_Data inputs (all)'!M9),'_Data inputs (all)'!M9,"")</f>
        <v/>
      </c>
    </row>
    <row r="10" spans="1:13" ht="15.95"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Italy</v>
      </c>
      <c r="B10" s="42" t="str">
        <f>'_Data inputs (all)'!B10</f>
        <v>ITA</v>
      </c>
      <c r="C10" s="110">
        <f>'_Data inputs (all)'!C10</f>
        <v>9</v>
      </c>
      <c r="D10" s="6" t="str">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Proportion of the population living in households connected to sewers</v>
      </c>
      <c r="E10" s="110" t="str">
        <f>'_Data inputs (all)'!E10</f>
        <v>SEW_PCT</v>
      </c>
      <c r="F10" s="183">
        <f>'_Data inputs (all)'!F10</f>
        <v>96.86</v>
      </c>
      <c r="G10" s="6" t="str">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Percentage</v>
      </c>
      <c r="H10" s="186" t="str">
        <f>'_Data inputs (all)'!H10</f>
        <v>E</v>
      </c>
      <c r="I10" s="187">
        <f>IF(ISNUMBER('_Data inputs (all)'!I10),'_Data inputs (all)'!I10,"")</f>
        <v>2022</v>
      </c>
      <c r="J10" s="187" t="str">
        <f>IF(ISTEXT('_Data inputs (all)'!J10),'_Data inputs (all)'!J10,"")</f>
        <v>Yes</v>
      </c>
      <c r="K10" s="188" t="str">
        <f>IF(ISTEXT('_Data inputs (all)'!K10),'_Data inputs (all)'!K10,"")</f>
        <v>WHO/UNICEF Joint Monitoring Programme for Water Supply, Sanitation, and Hygiene (JMP) Household Country File, 2023 (link: https://washdata.org/)</v>
      </c>
      <c r="L10" s="186" t="str">
        <f>IF(ISTEXT('_Data inputs (all)'!L10),'_Data inputs (all)'!L10,"")</f>
        <v/>
      </c>
      <c r="M10" s="188" t="str">
        <f>IF(ISTEXT('_Data inputs (all)'!M10),'_Data inputs (all)'!M10,"")</f>
        <v/>
      </c>
    </row>
    <row r="11" spans="1:13" ht="15.95"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Italy</v>
      </c>
      <c r="B11" s="42" t="str">
        <f>'_Data inputs (all)'!B11</f>
        <v>ITA</v>
      </c>
      <c r="C11" s="110">
        <f>'_Data inputs (all)'!C11</f>
        <v>10</v>
      </c>
      <c r="D11" s="6" t="str">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Proportion of the population living in households connected to septic tanks</v>
      </c>
      <c r="E11" s="110" t="str">
        <f>'_Data inputs (all)'!E11</f>
        <v>SEP_PCT</v>
      </c>
      <c r="F11" s="183">
        <f>'_Data inputs (all)'!F11</f>
        <v>2.98</v>
      </c>
      <c r="G11" s="6" t="str">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Percentage</v>
      </c>
      <c r="H11" s="186" t="str">
        <f>'_Data inputs (all)'!H11</f>
        <v>E</v>
      </c>
      <c r="I11" s="187">
        <f>IF(ISNUMBER('_Data inputs (all)'!I11),'_Data inputs (all)'!I11,"")</f>
        <v>2022</v>
      </c>
      <c r="J11" s="187" t="str">
        <f>IF(ISTEXT('_Data inputs (all)'!J11),'_Data inputs (all)'!J11,"")</f>
        <v>Yes</v>
      </c>
      <c r="K11" s="188" t="str">
        <f>IF(ISTEXT('_Data inputs (all)'!K11),'_Data inputs (all)'!K11,"")</f>
        <v>WHO/UNICEF Joint Monitoring Programme for Water Supply, Sanitation, and Hygiene (JMP) Household Country File, 2023 (link: https://washdata.org/)</v>
      </c>
      <c r="L11" s="186" t="str">
        <f>IF(ISTEXT('_Data inputs (all)'!L11),'_Data inputs (all)'!L11,"")</f>
        <v/>
      </c>
      <c r="M11" s="188" t="str">
        <f>IF(ISTEXT('_Data inputs (all)'!M11),'_Data inputs (all)'!M11,"")</f>
        <v/>
      </c>
    </row>
    <row r="12" spans="1:13" ht="15.95"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Italy</v>
      </c>
      <c r="B12" s="42" t="str">
        <f>'_Data inputs (all)'!B12</f>
        <v>ITA</v>
      </c>
      <c r="C12" s="110">
        <f>'_Data inputs (all)'!C12</f>
        <v>11</v>
      </c>
      <c r="D12" s="6" t="str">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Proportion of the population living in households with access to other improved sanitation facilities</v>
      </c>
      <c r="E12" s="110" t="str">
        <f>'_Data inputs (all)'!E12</f>
        <v>OTHIMP_PCT</v>
      </c>
      <c r="F12" s="183">
        <f>'_Data inputs (all)'!F12</f>
        <v>0.15</v>
      </c>
      <c r="G12" s="6" t="str">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Percentage</v>
      </c>
      <c r="H12" s="186" t="str">
        <f>'_Data inputs (all)'!H12</f>
        <v>E</v>
      </c>
      <c r="I12" s="187">
        <f>IF(ISNUMBER('_Data inputs (all)'!I12),'_Data inputs (all)'!I12,"")</f>
        <v>2022</v>
      </c>
      <c r="J12" s="187" t="str">
        <f>IF(ISTEXT('_Data inputs (all)'!J12),'_Data inputs (all)'!J12,"")</f>
        <v>Yes</v>
      </c>
      <c r="K12" s="188" t="str">
        <f>IF(ISTEXT('_Data inputs (all)'!K12),'_Data inputs (all)'!K12,"")</f>
        <v>WHO/UNICEF Joint Monitoring Programme for Water Supply, Sanitation, and Hygiene (JMP) Household Country File, 2023 (link: https://washdata.org/)</v>
      </c>
      <c r="L12" s="186" t="str">
        <f>IF(ISTEXT('_Data inputs (all)'!L12),'_Data inputs (all)'!L12,"")</f>
        <v/>
      </c>
      <c r="M12" s="188" t="str">
        <f>IF(ISTEXT('_Data inputs (all)'!M12),'_Data inputs (all)'!M12,"")</f>
        <v/>
      </c>
    </row>
    <row r="13" spans="1:13" ht="15.95"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Italy</v>
      </c>
      <c r="B13" s="42" t="str">
        <f>'_Data inputs (all)'!B13</f>
        <v>ITA</v>
      </c>
      <c r="C13" s="110">
        <f>'_Data inputs (all)'!C13</f>
        <v>12</v>
      </c>
      <c r="D13" s="6" t="str">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Proportion of the population living in households with access to unimproved sanitation facilities</v>
      </c>
      <c r="E13" s="110" t="str">
        <f>'_Data inputs (all)'!E13</f>
        <v>UNIMP_PCT</v>
      </c>
      <c r="F13" s="183">
        <f>'_Data inputs (all)'!F13</f>
        <v>0.01</v>
      </c>
      <c r="G13" s="6" t="str">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Percentage</v>
      </c>
      <c r="H13" s="186" t="str">
        <f>'_Data inputs (all)'!H13</f>
        <v>E</v>
      </c>
      <c r="I13" s="187">
        <f>IF(ISNUMBER('_Data inputs (all)'!I13),'_Data inputs (all)'!I13,"")</f>
        <v>2022</v>
      </c>
      <c r="J13" s="187" t="str">
        <f>IF(ISTEXT('_Data inputs (all)'!J13),'_Data inputs (all)'!J13,"")</f>
        <v>Yes</v>
      </c>
      <c r="K13" s="188" t="str">
        <f>IF(ISTEXT('_Data inputs (all)'!K13),'_Data inputs (all)'!K13,"")</f>
        <v>WHO/UNICEF Joint Monitoring Programme for Water Supply, Sanitation, and Hygiene (JMP) Household Country File, 2023 (link: https://washdata.org/)</v>
      </c>
      <c r="L13" s="186" t="str">
        <f>IF(ISTEXT('_Data inputs (all)'!L13),'_Data inputs (all)'!L13,"")</f>
        <v/>
      </c>
      <c r="M13" s="188" t="str">
        <f>IF(ISTEXT('_Data inputs (all)'!M13),'_Data inputs (all)'!M13,"")</f>
        <v/>
      </c>
    </row>
    <row r="14" spans="1:13" ht="15.95"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Italy</v>
      </c>
      <c r="B14" s="42" t="str">
        <f>'_Data inputs (all)'!B14</f>
        <v>ITA</v>
      </c>
      <c r="C14" s="110">
        <f>'_Data inputs (all)'!C14</f>
        <v>13</v>
      </c>
      <c r="D14" s="6" t="str">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Proportion of the population living in households where members practice open defecation</v>
      </c>
      <c r="E14" s="110" t="str">
        <f>'_Data inputs (all)'!E14</f>
        <v>OD_PCT</v>
      </c>
      <c r="F14" s="183">
        <f>'_Data inputs (all)'!F14</f>
        <v>0</v>
      </c>
      <c r="G14" s="6" t="str">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Percentage</v>
      </c>
      <c r="H14" s="186" t="str">
        <f>'_Data inputs (all)'!H14</f>
        <v>E</v>
      </c>
      <c r="I14" s="187">
        <f>IF(ISNUMBER('_Data inputs (all)'!I14),'_Data inputs (all)'!I14,"")</f>
        <v>2022</v>
      </c>
      <c r="J14" s="187" t="str">
        <f>IF(ISTEXT('_Data inputs (all)'!J14),'_Data inputs (all)'!J14,"")</f>
        <v>Yes</v>
      </c>
      <c r="K14" s="188" t="str">
        <f>IF(ISTEXT('_Data inputs (all)'!K14),'_Data inputs (all)'!K14,"")</f>
        <v>WHO/UNICEF Joint Monitoring Programme for Water Supply, Sanitation, and Hygiene (JMP) Household Country File, 2023 (link: https://washdata.org/)</v>
      </c>
      <c r="L14" s="186" t="str">
        <f>IF(ISTEXT('_Data inputs (all)'!L14),'_Data inputs (all)'!L14,"")</f>
        <v/>
      </c>
      <c r="M14" s="188" t="str">
        <f>IF(ISTEXT('_Data inputs (all)'!M14),'_Data inputs (all)'!M14,"")</f>
        <v/>
      </c>
    </row>
    <row r="15" spans="1:13" ht="15.9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Italy</v>
      </c>
      <c r="B15" s="42" t="str">
        <f>'_Data inputs (all)'!B15</f>
        <v>ITA</v>
      </c>
      <c r="C15" s="110">
        <f>'_Data inputs (all)'!C15</f>
        <v>14</v>
      </c>
      <c r="D15" s="6" t="str">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Volume of wastewater generated by households connected to sewers</v>
      </c>
      <c r="E15" s="110" t="str">
        <f>'_Data inputs (all)'!E15</f>
        <v>SEW_VOL</v>
      </c>
      <c r="F15" s="151">
        <f>'B- Generated by facility type'!F5</f>
        <v>2776.8339777046276</v>
      </c>
      <c r="G15" s="6" t="str">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Million m3/year</v>
      </c>
      <c r="H15" s="186" t="str">
        <f>'_Data inputs (all)'!H15</f>
        <v>C</v>
      </c>
      <c r="I15" s="187">
        <f>IF(ISNUMBER('_Data inputs (all)'!I15),'_Data inputs (all)'!I15,"")</f>
        <v>2022</v>
      </c>
      <c r="J15" s="187" t="str">
        <f>IF(ISTEXT('_Data inputs (all)'!J15),'_Data inputs (all)'!J15,"")</f>
        <v>Yes</v>
      </c>
      <c r="K15" s="188" t="str">
        <f>IF(ISTEXT('_Data inputs (all)'!K15),'_Data inputs (all)'!K15,"")</f>
        <v/>
      </c>
      <c r="L15" s="186" t="str">
        <f>IF(ISTEXT('_Data inputs (all)'!L15),'_Data inputs (all)'!L15,"")</f>
        <v/>
      </c>
      <c r="M15" s="188" t="str">
        <f>IF(ISTEXT('_Data inputs (all)'!M15),'_Data inputs (all)'!M15,"")</f>
        <v/>
      </c>
    </row>
    <row r="16" spans="1:13" ht="15.95"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Italy</v>
      </c>
      <c r="B16" s="42" t="str">
        <f>'_Data inputs (all)'!B16</f>
        <v>ITA</v>
      </c>
      <c r="C16" s="110">
        <f>'_Data inputs (all)'!C16</f>
        <v>15</v>
      </c>
      <c r="D16" s="6" t="str">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Volume of wastewater generated by households connected to septic tanks</v>
      </c>
      <c r="E16" s="110" t="str">
        <f>'_Data inputs (all)'!E16</f>
        <v>SEP_VOL</v>
      </c>
      <c r="F16" s="151">
        <f>'B- Generated by facility type'!F6</f>
        <v>34.990737534101847</v>
      </c>
      <c r="G16" s="6" t="str">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Million m3/year</v>
      </c>
      <c r="H16" s="186" t="str">
        <f>'_Data inputs (all)'!H16</f>
        <v>C</v>
      </c>
      <c r="I16" s="187">
        <f>IF(ISNUMBER('_Data inputs (all)'!I16),'_Data inputs (all)'!I16,"")</f>
        <v>2022</v>
      </c>
      <c r="J16" s="187" t="str">
        <f>IF(ISTEXT('_Data inputs (all)'!J16),'_Data inputs (all)'!J16,"")</f>
        <v>Yes</v>
      </c>
      <c r="K16" s="188" t="str">
        <f>IF(ISTEXT('_Data inputs (all)'!K16),'_Data inputs (all)'!K16,"")</f>
        <v/>
      </c>
      <c r="L16" s="186" t="str">
        <f>IF(ISTEXT('_Data inputs (all)'!L16),'_Data inputs (all)'!L16,"")</f>
        <v/>
      </c>
      <c r="M16" s="188" t="str">
        <f>IF(ISTEXT('_Data inputs (all)'!M16),'_Data inputs (all)'!M16,"")</f>
        <v/>
      </c>
    </row>
    <row r="17" spans="1:13" ht="15.95"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Italy</v>
      </c>
      <c r="B17" s="42" t="str">
        <f>'_Data inputs (all)'!B17</f>
        <v>ITA</v>
      </c>
      <c r="C17" s="110">
        <f>'_Data inputs (all)'!C17</f>
        <v>16</v>
      </c>
      <c r="D17" s="6" t="str">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Volume of wastewater generated by households with access to other improved sanitation facilities</v>
      </c>
      <c r="E17" s="110" t="str">
        <f>'_Data inputs (all)'!E17</f>
        <v>OTHIMP_VOL</v>
      </c>
      <c r="F17" s="151">
        <f>'B- Generated by facility type'!F7</f>
        <v>0.51716823720000005</v>
      </c>
      <c r="G17" s="6" t="str">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Million m3/year</v>
      </c>
      <c r="H17" s="186" t="str">
        <f>'_Data inputs (all)'!H17</f>
        <v>C</v>
      </c>
      <c r="I17" s="187">
        <f>IF(ISNUMBER('_Data inputs (all)'!I17),'_Data inputs (all)'!I17,"")</f>
        <v>2022</v>
      </c>
      <c r="J17" s="187" t="str">
        <f>IF(ISTEXT('_Data inputs (all)'!J17),'_Data inputs (all)'!J17,"")</f>
        <v>Yes</v>
      </c>
      <c r="K17" s="188" t="str">
        <f>IF(ISTEXT('_Data inputs (all)'!K17),'_Data inputs (all)'!K17,"")</f>
        <v/>
      </c>
      <c r="L17" s="186" t="str">
        <f>IF(ISTEXT('_Data inputs (all)'!L17),'_Data inputs (all)'!L17,"")</f>
        <v/>
      </c>
      <c r="M17" s="188" t="str">
        <f>IF(ISTEXT('_Data inputs (all)'!M17),'_Data inputs (all)'!M17,"")</f>
        <v/>
      </c>
    </row>
    <row r="18" spans="1:13" ht="15.95"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Italy</v>
      </c>
      <c r="B18" s="42" t="str">
        <f>'_Data inputs (all)'!B18</f>
        <v>ITA</v>
      </c>
      <c r="C18" s="110">
        <f>'_Data inputs (all)'!C18</f>
        <v>17</v>
      </c>
      <c r="D18" s="6" t="str">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Volume of wastewater generated by households with access to unimproved sanitation facilities</v>
      </c>
      <c r="E18" s="110" t="str">
        <f>'_Data inputs (all)'!E18</f>
        <v>UNIMP_VOL</v>
      </c>
      <c r="F18" s="151">
        <f>'B- Generated by facility type'!F8</f>
        <v>3.4477882479999993E-2</v>
      </c>
      <c r="G18" s="6" t="str">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Million m3/year</v>
      </c>
      <c r="H18" s="186" t="str">
        <f>'_Data inputs (all)'!H18</f>
        <v>C</v>
      </c>
      <c r="I18" s="187">
        <f>IF(ISNUMBER('_Data inputs (all)'!I18),'_Data inputs (all)'!I18,"")</f>
        <v>2022</v>
      </c>
      <c r="J18" s="187" t="str">
        <f>IF(ISTEXT('_Data inputs (all)'!J18),'_Data inputs (all)'!J18,"")</f>
        <v>Yes</v>
      </c>
      <c r="K18" s="188" t="str">
        <f>IF(ISTEXT('_Data inputs (all)'!K18),'_Data inputs (all)'!K18,"")</f>
        <v/>
      </c>
      <c r="L18" s="186" t="str">
        <f>IF(ISTEXT('_Data inputs (all)'!L18),'_Data inputs (all)'!L18,"")</f>
        <v/>
      </c>
      <c r="M18" s="188" t="str">
        <f>IF(ISTEXT('_Data inputs (all)'!M18),'_Data inputs (all)'!M18,"")</f>
        <v/>
      </c>
    </row>
    <row r="19" spans="1:13" ht="15.95"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Italy</v>
      </c>
      <c r="B19" s="42" t="str">
        <f>'_Data inputs (all)'!B19</f>
        <v>ITA</v>
      </c>
      <c r="C19" s="110">
        <f>'_Data inputs (all)'!C19</f>
        <v>18</v>
      </c>
      <c r="D19" s="6" t="str">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Volume of wastewater generated by households where members practice open defecation</v>
      </c>
      <c r="E19" s="110" t="str">
        <f>'_Data inputs (all)'!E19</f>
        <v>OD_VOL</v>
      </c>
      <c r="F19" s="151">
        <f>'B- Generated by facility type'!F9</f>
        <v>0</v>
      </c>
      <c r="G19" s="6" t="str">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Million m3/year</v>
      </c>
      <c r="H19" s="186" t="str">
        <f>'_Data inputs (all)'!H19</f>
        <v>C</v>
      </c>
      <c r="I19" s="187">
        <f>IF(ISNUMBER('_Data inputs (all)'!I19),'_Data inputs (all)'!I19,"")</f>
        <v>2022</v>
      </c>
      <c r="J19" s="187" t="str">
        <f>IF(ISTEXT('_Data inputs (all)'!J19),'_Data inputs (all)'!J19,"")</f>
        <v>Yes</v>
      </c>
      <c r="K19" s="188" t="str">
        <f>IF(ISTEXT('_Data inputs (all)'!K19),'_Data inputs (all)'!K19,"")</f>
        <v/>
      </c>
      <c r="L19" s="186" t="str">
        <f>IF(ISTEXT('_Data inputs (all)'!L19),'_Data inputs (all)'!L19,"")</f>
        <v/>
      </c>
      <c r="M19" s="188" t="str">
        <f>IF(ISTEXT('_Data inputs (all)'!M19),'_Data inputs (all)'!M19,"")</f>
        <v/>
      </c>
    </row>
    <row r="20" spans="1:13" ht="15.95"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Italy</v>
      </c>
      <c r="B20" s="42" t="str">
        <f>'_Data inputs (all)'!B20</f>
        <v>ITA</v>
      </c>
      <c r="C20" s="110">
        <f>'_Data inputs (all)'!C20</f>
        <v>19</v>
      </c>
      <c r="D20" s="6" t="str">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Proportion of sewer wastewater delivered to treatment plants</v>
      </c>
      <c r="E20" s="110" t="str">
        <f>'_Data inputs (all)'!E20</f>
        <v>SEW_DEL_WWTP_PCT</v>
      </c>
      <c r="F20" s="183">
        <f>'_Data inputs (all)'!F20</f>
        <v>79.726654052734375</v>
      </c>
      <c r="G20" s="6" t="str">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Percentage</v>
      </c>
      <c r="H20" s="186" t="str">
        <f>'_Data inputs (all)'!H20</f>
        <v>R</v>
      </c>
      <c r="I20" s="187">
        <f>IF(ISNUMBER('_Data inputs (all)'!I20),'_Data inputs (all)'!I20,"")</f>
        <v>2018</v>
      </c>
      <c r="J20" s="187" t="str">
        <f>IF(ISTEXT('_Data inputs (all)'!J20),'_Data inputs (all)'!J20,"")</f>
        <v>Yes</v>
      </c>
      <c r="K20" s="188" t="str">
        <f>IF(ISTEXT('_Data inputs (all)'!K20),'_Data inputs (all)'!K20,"")</f>
        <v>Eurostat, Country data from the Eurostat/OECD Joint Questionnaire on Inland Waters, 2018 (link: https://ec.europa.eu/eurostat/web/environment/water; date accessed: September 2022)</v>
      </c>
      <c r="L20" s="186" t="str">
        <f>IF(ISTEXT('_Data inputs (all)'!L20),'_Data inputs (all)'!L20,"")</f>
        <v>ITA_2018_ES</v>
      </c>
      <c r="M20" s="188" t="str">
        <f>IF(ISTEXT('_Data inputs (all)'!M20),'_Data inputs (all)'!M20,"")</f>
        <v>Table: Population connected to wastewater treatment plants (ENV_WW_CON); derived from the proportion of the population connected to urban and other wastewater treatment plants (URB_OTH=70%) divided by the proportion of the population connected to wastewater collecting systems (sewers; URB_CS=87.8%)</v>
      </c>
    </row>
    <row r="21" spans="1:13" ht="15.95"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Italy</v>
      </c>
      <c r="B21" s="42" t="str">
        <f>'_Data inputs (all)'!B21</f>
        <v>ITA</v>
      </c>
      <c r="C21" s="110">
        <f>'_Data inputs (all)'!C21</f>
        <v>20</v>
      </c>
      <c r="D21" s="6" t="str">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Proportion of received sewer wastewater safely treated (by compliance) at treatment plants</v>
      </c>
      <c r="E21" s="110" t="str">
        <f>'_Data inputs (all)'!E21</f>
        <v>SEW_ST_WWTP_CMP_PCT</v>
      </c>
      <c r="F21" s="183">
        <f>IF(ISNUMBER('_Data inputs (all)'!F21),'_Data inputs (all)'!F21,"")</f>
        <v>88.459981104062607</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Percentage</v>
      </c>
      <c r="H21" s="186" t="str">
        <f>'_Data inputs (all)'!H21</f>
        <v>R</v>
      </c>
      <c r="I21" s="187">
        <f>IF(ISNUMBER('_Data inputs (all)'!I21),'_Data inputs (all)'!I21,"")</f>
        <v>2018</v>
      </c>
      <c r="J21" s="187" t="str">
        <f>IF(ISTEXT('_Data inputs (all)'!J21),'_Data inputs (all)'!J21,"")</f>
        <v>Yes</v>
      </c>
      <c r="K21" s="188" t="str">
        <f>IF(ISTEXT('_Data inputs (all)'!K21),'_Data inputs (all)'!K21,"")</f>
        <v>WISE: Freshwater Information System for Europe, Country Profile, 2018 (link: https://water.europa.eu/freshwater/countries/uwwt, date accessed: September 2022)</v>
      </c>
      <c r="L21" s="186" t="str">
        <f>IF(ISTEXT('_Data inputs (all)'!L21),'_Data inputs (all)'!L21,"")</f>
        <v>ITA_2018_EU</v>
      </c>
      <c r="M21" s="188" t="str">
        <f>IF(ISTEXT('_Data inputs (all)'!M21),'_Data inputs (all)'!M21,"")</f>
        <v>Derived based on data for wastewater loadings (million population equivalents) associated with agglomerations complying with Article 3 (collection) and Article 4 (secondary treatment) of the European Union Urban Wastewater Treatment Directive. A: Loading non-compliant with Art. 3.; B: Loading compliant with Art. 4; C: Loading non-compliant with Art. 4.  Calculated as: B (65.54) / [B (65.54) + C (9.12) - A (.57)].  Note: The non-compliant load associated with Article 3 (A) is considered in the compliance calculation for Article 4, and therefore A has been removed from the denominator of the Art. 4 compliance calculation to eliminate the load associated with agglomerations without sewers.</v>
      </c>
    </row>
    <row r="22" spans="1:13" ht="15.95"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Italy</v>
      </c>
      <c r="B22" s="42" t="str">
        <f>'_Data inputs (all)'!B22</f>
        <v>ITA</v>
      </c>
      <c r="C22" s="110">
        <f>'_Data inputs (all)'!C22</f>
        <v>21</v>
      </c>
      <c r="D22" s="6" t="str">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Proportion of received sewer wastewater safely treated (by technology) at treatment plants</v>
      </c>
      <c r="E22" s="110" t="str">
        <f>'_Data inputs (all)'!E22</f>
        <v>SEW_ST_WWTP_TCH_PCT</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t="str">
        <f>'_Data inputs (all)'!H22</f>
        <v/>
      </c>
      <c r="I22" s="187" t="str">
        <f>IF(ISNUMBER('_Data inputs (all)'!I22),'_Data inputs (all)'!I22,"")</f>
        <v/>
      </c>
      <c r="J22" s="187" t="str">
        <f>IF(ISTEXT('_Data inputs (all)'!J22),'_Data inputs (all)'!J22,"")</f>
        <v>No</v>
      </c>
      <c r="K22" s="188" t="str">
        <f>IF(ISTEXT('_Data inputs (all)'!K22),'_Data inputs (all)'!K22,"")</f>
        <v/>
      </c>
      <c r="L22" s="186" t="str">
        <f>IF(ISTEXT('_Data inputs (all)'!L22),'_Data inputs (all)'!L22,"")</f>
        <v/>
      </c>
      <c r="M22" s="188" t="str">
        <f>IF(ISTEXT('_Data inputs (all)'!M22),'_Data inputs (all)'!M22,"")</f>
        <v/>
      </c>
    </row>
    <row r="23" spans="1:13" ht="15.95"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Italy</v>
      </c>
      <c r="B23" s="42" t="str">
        <f>'_Data inputs (all)'!B23</f>
        <v>ITA</v>
      </c>
      <c r="C23" s="110">
        <f>'_Data inputs (all)'!C23</f>
        <v>22</v>
      </c>
      <c r="D23" s="6" t="str">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Proportion of septic tanks with wastewater collected and contained</v>
      </c>
      <c r="E23" s="110" t="str">
        <f>'_Data inputs (all)'!E23</f>
        <v>SEP_CONT_PCT</v>
      </c>
      <c r="F23" s="183">
        <f>'_Data inputs (all)'!F23</f>
        <v>50</v>
      </c>
      <c r="G23" s="6" t="str">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Percentage</v>
      </c>
      <c r="H23" s="186" t="str">
        <f>'_Data inputs (all)'!H23</f>
        <v>A</v>
      </c>
      <c r="I23" s="187">
        <f>IF(ISNUMBER('_Data inputs (all)'!I23),'_Data inputs (all)'!I23,"")</f>
        <v>2022</v>
      </c>
      <c r="J23" s="187" t="str">
        <f>IF(ISTEXT('_Data inputs (all)'!J23),'_Data inputs (all)'!J23,"")</f>
        <v>Yes</v>
      </c>
      <c r="K23" s="188" t="str">
        <f>IF(ISTEXT('_Data inputs (all)'!K23),'_Data inputs (all)'!K23,"")</f>
        <v>Default assumption</v>
      </c>
      <c r="L23" s="186" t="str">
        <f>IF(ISTEXT('_Data inputs (all)'!L23),'_Data inputs (all)'!L23,"")</f>
        <v/>
      </c>
      <c r="M23" s="188" t="str">
        <f>IF(ISTEXT('_Data inputs (all)'!M23),'_Data inputs (all)'!M23,"")</f>
        <v/>
      </c>
    </row>
    <row r="24" spans="1:13" ht="15.95"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Italy</v>
      </c>
      <c r="B24" s="42" t="str">
        <f>'_Data inputs (all)'!B24</f>
        <v>ITA</v>
      </c>
      <c r="C24" s="110">
        <f>'_Data inputs (all)'!C24</f>
        <v>23</v>
      </c>
      <c r="D24" s="6" t="str">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Proportion of septic tanks with faecal sludge emptied and buried on-site</v>
      </c>
      <c r="E24" s="110" t="str">
        <f>'_Data inputs (all)'!E24</f>
        <v>SEP_ON_BUR_PCT</v>
      </c>
      <c r="F24" s="183">
        <f>'_Data inputs (all)'!F24</f>
        <v>0</v>
      </c>
      <c r="G24" s="6" t="str">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Percentage</v>
      </c>
      <c r="H24" s="186" t="str">
        <f>'_Data inputs (all)'!H24</f>
        <v>A</v>
      </c>
      <c r="I24" s="187">
        <f>IF(ISNUMBER('_Data inputs (all)'!I24),'_Data inputs (all)'!I24,"")</f>
        <v>2022</v>
      </c>
      <c r="J24" s="187" t="str">
        <f>IF(ISTEXT('_Data inputs (all)'!J24),'_Data inputs (all)'!J24,"")</f>
        <v>Yes</v>
      </c>
      <c r="K24" s="188" t="str">
        <f>IF(ISTEXT('_Data inputs (all)'!K24),'_Data inputs (all)'!K24,"")</f>
        <v>Default assumption</v>
      </c>
      <c r="L24" s="186" t="str">
        <f>IF(ISTEXT('_Data inputs (all)'!L24),'_Data inputs (all)'!L24,"")</f>
        <v/>
      </c>
      <c r="M24" s="188" t="str">
        <f>IF(ISTEXT('_Data inputs (all)'!M24),'_Data inputs (all)'!M24,"")</f>
        <v/>
      </c>
    </row>
    <row r="25" spans="1:13" ht="15.9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Italy</v>
      </c>
      <c r="B25" s="42" t="str">
        <f>'_Data inputs (all)'!B25</f>
        <v>ITA</v>
      </c>
      <c r="C25" s="110">
        <f>'_Data inputs (all)'!C25</f>
        <v>24</v>
      </c>
      <c r="D25" s="6" t="str">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Proportion of septic tanks with faecal sludge emptied and discharged locally (not delivered to treatment)</v>
      </c>
      <c r="E25" s="110" t="str">
        <f>'_Data inputs (all)'!E25</f>
        <v>SEP_LOCAL_PCT</v>
      </c>
      <c r="F25" s="183">
        <f>'_Data inputs (all)'!F25</f>
        <v>0</v>
      </c>
      <c r="G25" s="6" t="str">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Percentage</v>
      </c>
      <c r="H25" s="186" t="str">
        <f>'_Data inputs (all)'!H25</f>
        <v>A</v>
      </c>
      <c r="I25" s="187">
        <f>IF(ISNUMBER('_Data inputs (all)'!I25),'_Data inputs (all)'!I25,"")</f>
        <v>2022</v>
      </c>
      <c r="J25" s="187" t="str">
        <f>IF(ISTEXT('_Data inputs (all)'!J25),'_Data inputs (all)'!J25,"")</f>
        <v>Yes</v>
      </c>
      <c r="K25" s="188" t="str">
        <f>IF(ISTEXT('_Data inputs (all)'!K25),'_Data inputs (all)'!K25,"")</f>
        <v>Default assumption</v>
      </c>
      <c r="L25" s="186" t="str">
        <f>IF(ISTEXT('_Data inputs (all)'!L25),'_Data inputs (all)'!L25,"")</f>
        <v/>
      </c>
      <c r="M25" s="188" t="str">
        <f>IF(ISTEXT('_Data inputs (all)'!M25),'_Data inputs (all)'!M25,"")</f>
        <v/>
      </c>
    </row>
    <row r="26" spans="1:13" ht="15.95"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Italy</v>
      </c>
      <c r="B26" s="42" t="str">
        <f>'_Data inputs (all)'!B26</f>
        <v>ITA</v>
      </c>
      <c r="C26" s="110">
        <f>'_Data inputs (all)'!C26</f>
        <v>25</v>
      </c>
      <c r="D26" s="6" t="str">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Proportion of septic tanks with faecal sludge emptied and removed off-site</v>
      </c>
      <c r="E26" s="110" t="str">
        <f>'_Data inputs (all)'!E26</f>
        <v>SEP_OFF_EMPT_PCT</v>
      </c>
      <c r="F26" s="183">
        <f>'_Data inputs (all)'!F26</f>
        <v>50</v>
      </c>
      <c r="G26" s="6" t="str">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Percentage</v>
      </c>
      <c r="H26" s="186" t="str">
        <f>'_Data inputs (all)'!H26</f>
        <v>A</v>
      </c>
      <c r="I26" s="187">
        <f>IF(ISNUMBER('_Data inputs (all)'!I26),'_Data inputs (all)'!I26,"")</f>
        <v>2022</v>
      </c>
      <c r="J26" s="187" t="str">
        <f>IF(ISTEXT('_Data inputs (all)'!J26),'_Data inputs (all)'!J26,"")</f>
        <v>Yes</v>
      </c>
      <c r="K26" s="188" t="str">
        <f>IF(ISTEXT('_Data inputs (all)'!K26),'_Data inputs (all)'!K26,"")</f>
        <v>Default assumption</v>
      </c>
      <c r="L26" s="186" t="str">
        <f>IF(ISTEXT('_Data inputs (all)'!L26),'_Data inputs (all)'!L26,"")</f>
        <v/>
      </c>
      <c r="M26" s="188" t="str">
        <f>IF(ISTEXT('_Data inputs (all)'!M26),'_Data inputs (all)'!M26,"")</f>
        <v/>
      </c>
    </row>
    <row r="27" spans="1:13" ht="15.95"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Italy</v>
      </c>
      <c r="B27" s="42" t="str">
        <f>'_Data inputs (all)'!B27</f>
        <v>ITA</v>
      </c>
      <c r="C27" s="110">
        <f>'_Data inputs (all)'!C27</f>
        <v>26</v>
      </c>
      <c r="D27" s="6" t="str">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Proportion of septic tanks with faecal sludge not yet emptied</v>
      </c>
      <c r="E27" s="110" t="str">
        <f>'_Data inputs (all)'!E27</f>
        <v>SEP_ON_NOEMPT_PCT</v>
      </c>
      <c r="F27" s="183">
        <f>'_Data inputs (all)'!F27</f>
        <v>50</v>
      </c>
      <c r="G27" s="6" t="str">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Percentage</v>
      </c>
      <c r="H27" s="186" t="str">
        <f>'_Data inputs (all)'!H27</f>
        <v>A</v>
      </c>
      <c r="I27" s="187">
        <f>IF(ISNUMBER('_Data inputs (all)'!I27),'_Data inputs (all)'!I27,"")</f>
        <v>2022</v>
      </c>
      <c r="J27" s="187" t="str">
        <f>IF(ISTEXT('_Data inputs (all)'!J27),'_Data inputs (all)'!J27,"")</f>
        <v>Yes</v>
      </c>
      <c r="K27" s="188" t="str">
        <f>IF(ISTEXT('_Data inputs (all)'!K27),'_Data inputs (all)'!K27,"")</f>
        <v>Default assumption</v>
      </c>
      <c r="L27" s="186" t="str">
        <f>IF(ISTEXT('_Data inputs (all)'!L27),'_Data inputs (all)'!L27,"")</f>
        <v/>
      </c>
      <c r="M27" s="188" t="str">
        <f>IF(ISTEXT('_Data inputs (all)'!M27),'_Data inputs (all)'!M27,"")</f>
        <v/>
      </c>
    </row>
    <row r="28" spans="1:13" ht="15.95"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Italy</v>
      </c>
      <c r="B28" s="42" t="str">
        <f>'_Data inputs (all)'!B28</f>
        <v>ITA</v>
      </c>
      <c r="C28" s="110">
        <f>'_Data inputs (all)'!C28</f>
        <v>27</v>
      </c>
      <c r="D28" s="6" t="str">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Proportion of septic tanks with faecal sludge removed and delivered to off-site treatment plants</v>
      </c>
      <c r="E28" s="110" t="str">
        <f>'_Data inputs (all)'!E28</f>
        <v>SEP_OFF_DEL_WWTP_PCT</v>
      </c>
      <c r="F28" s="189">
        <f>'_Data inputs (all)'!F28</f>
        <v>100</v>
      </c>
      <c r="G28" s="6" t="str">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Percentage</v>
      </c>
      <c r="H28" s="186" t="str">
        <f>'_Data inputs (all)'!H28</f>
        <v>A</v>
      </c>
      <c r="I28" s="187">
        <f>IF(ISNUMBER('_Data inputs (all)'!I28),'_Data inputs (all)'!I28,"")</f>
        <v>2022</v>
      </c>
      <c r="J28" s="187" t="str">
        <f>IF(ISTEXT('_Data inputs (all)'!J28),'_Data inputs (all)'!J28,"")</f>
        <v>Yes</v>
      </c>
      <c r="K28" s="188" t="str">
        <f>IF(ISTEXT('_Data inputs (all)'!K28),'_Data inputs (all)'!K28,"")</f>
        <v>Default assumption</v>
      </c>
      <c r="L28" s="186" t="str">
        <f>IF(ISTEXT('_Data inputs (all)'!L28),'_Data inputs (all)'!L28,"")</f>
        <v/>
      </c>
      <c r="M28" s="188" t="str">
        <f>IF(ISTEXT('_Data inputs (all)'!M28),'_Data inputs (all)'!M28,"")</f>
        <v/>
      </c>
    </row>
    <row r="29" spans="1:13" ht="15.95"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Italy</v>
      </c>
      <c r="B29" s="42" t="str">
        <f>'_Data inputs (all)'!B29</f>
        <v>ITA</v>
      </c>
      <c r="C29" s="110">
        <f>'_Data inputs (all)'!C29</f>
        <v>28</v>
      </c>
      <c r="D29" s="6" t="str">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Proportion of septic tanks with faecal sludge delivered to and safely treated at off-site treatment plants</v>
      </c>
      <c r="E29" s="110" t="str">
        <f>'_Data inputs (all)'!E29</f>
        <v>SEP_OFF_ST_WWTP_PCT</v>
      </c>
      <c r="F29" s="183">
        <f>'_Data inputs (all)'!F29</f>
        <v>88.459981104062607</v>
      </c>
      <c r="G29" s="6" t="str">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Percentage</v>
      </c>
      <c r="H29" s="186" t="str">
        <f>'_Data inputs (all)'!H29</f>
        <v>A</v>
      </c>
      <c r="I29" s="187">
        <f>IF(ISNUMBER('_Data inputs (all)'!I29),'_Data inputs (all)'!I29,"")</f>
        <v>2022</v>
      </c>
      <c r="J29" s="187" t="str">
        <f>IF(ISTEXT('_Data inputs (all)'!J29),'_Data inputs (all)'!J29,"")</f>
        <v>Yes</v>
      </c>
      <c r="K29" s="188" t="str">
        <f>IF(ISTEXT('_Data inputs (all)'!K29),'_Data inputs (all)'!K29,"")</f>
        <v/>
      </c>
      <c r="L29" s="186" t="str">
        <f>IF(ISTEXT('_Data inputs (all)'!L29),'_Data inputs (all)'!L29,"")</f>
        <v/>
      </c>
      <c r="M29" s="188" t="str">
        <f>IF(ISTEXT('_Data inputs (all)'!M29),'_Data inputs (all)'!M29,"")</f>
        <v>Assumes that performance of faecal sludge treatment at centralized treatment facilities is the same as that for sewer wastewater treatment</v>
      </c>
    </row>
    <row r="30" spans="1:13" ht="15.95"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Italy</v>
      </c>
      <c r="B30" s="42" t="str">
        <f>'_Data inputs (all)'!B30</f>
        <v>ITA</v>
      </c>
      <c r="C30" s="110">
        <f>'_Data inputs (all)'!C30</f>
        <v>29</v>
      </c>
      <c r="D30" s="6" t="str">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Volume of sewer wastewater delivered to wastewater treatment plants</v>
      </c>
      <c r="E30" s="110" t="str">
        <f>'_Data inputs (all)'!E30</f>
        <v>SEW_DEL_TRT_VOL</v>
      </c>
      <c r="F30" s="151">
        <f>'D- Delivered'!B4</f>
        <v>2213.8768190233518</v>
      </c>
      <c r="G30" s="6" t="str">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Million m3/year</v>
      </c>
      <c r="H30" s="110" t="str">
        <f>'_Data inputs (all)'!H30</f>
        <v>C</v>
      </c>
      <c r="I30" s="1">
        <f>IF(ISNUMBER('_Data inputs (all)'!I30),'_Data inputs (all)'!I30,"")</f>
        <v>2022</v>
      </c>
      <c r="J30" s="1" t="str">
        <f>IF(ISTEXT('_Data inputs (all)'!J30),'_Data inputs (all)'!J30,"")</f>
        <v>Yes</v>
      </c>
      <c r="K30" s="144" t="str">
        <f>IF(ISTEXT('_Data inputs (all)'!K30),'_Data inputs (all)'!K30,"")</f>
        <v/>
      </c>
      <c r="L30" s="110" t="str">
        <f>IF(ISTEXT('_Data inputs (all)'!L30),'_Data inputs (all)'!L30,"")</f>
        <v/>
      </c>
      <c r="M30" s="144" t="str">
        <f>IF(ISTEXT('_Data inputs (all)'!M30),'_Data inputs (all)'!M30,"")</f>
        <v/>
      </c>
    </row>
    <row r="31" spans="1:13" ht="15.95"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Italy</v>
      </c>
      <c r="B31" s="42" t="str">
        <f>'_Data inputs (all)'!B31</f>
        <v>ITA</v>
      </c>
      <c r="C31" s="110">
        <f>'_Data inputs (all)'!C31</f>
        <v>30</v>
      </c>
      <c r="D31" s="6" t="str">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Volume of septic tank wastewater collected in septic tanks with faecal sludge delivered to off-site treatment plants</v>
      </c>
      <c r="E31" s="110" t="str">
        <f>'_Data inputs (all)'!E31</f>
        <v>SEP_OFF_DEL_TRT_VOL</v>
      </c>
      <c r="F31" s="151">
        <f>'D- Delivered'!B5</f>
        <v>8.7476843835254616</v>
      </c>
      <c r="G31" s="6" t="str">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Million m3/year</v>
      </c>
      <c r="H31" s="110" t="str">
        <f>'_Data inputs (all)'!H31</f>
        <v>C</v>
      </c>
      <c r="I31" s="1">
        <f>IF(ISNUMBER('_Data inputs (all)'!I31),'_Data inputs (all)'!I31,"")</f>
        <v>2022</v>
      </c>
      <c r="J31" s="1" t="str">
        <f>IF(ISTEXT('_Data inputs (all)'!J31),'_Data inputs (all)'!J31,"")</f>
        <v>Yes</v>
      </c>
      <c r="K31" s="144" t="str">
        <f>IF(ISTEXT('_Data inputs (all)'!K31),'_Data inputs (all)'!K31,"")</f>
        <v/>
      </c>
      <c r="L31" s="110" t="str">
        <f>IF(ISTEXT('_Data inputs (all)'!L31),'_Data inputs (all)'!L31,"")</f>
        <v/>
      </c>
      <c r="M31" s="144" t="str">
        <f>IF(ISTEXT('_Data inputs (all)'!M31),'_Data inputs (all)'!M31,"")</f>
        <v/>
      </c>
    </row>
    <row r="32" spans="1:13" ht="15.95"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Italy</v>
      </c>
      <c r="B32" s="42" t="str">
        <f>'_Data inputs (all)'!B32</f>
        <v>ITA</v>
      </c>
      <c r="C32" s="110">
        <f>'_Data inputs (all)'!C32</f>
        <v>31</v>
      </c>
      <c r="D32" s="6" t="str">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Volume of septic tank wastewater collected in septic tanks with faecal sludge remaining on-site</v>
      </c>
      <c r="E32" s="110" t="str">
        <f>'_Data inputs (all)'!E32</f>
        <v>SEP_ON_DEL_TRT_VOL</v>
      </c>
      <c r="F32" s="151">
        <f>'D- Delivered'!B6</f>
        <v>8.7476843835254616</v>
      </c>
      <c r="G32" s="6" t="str">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Million m3/year</v>
      </c>
      <c r="H32" s="110" t="str">
        <f>'_Data inputs (all)'!H32</f>
        <v>C</v>
      </c>
      <c r="I32" s="1">
        <f>IF(ISNUMBER('_Data inputs (all)'!I32),'_Data inputs (all)'!I32,"")</f>
        <v>2022</v>
      </c>
      <c r="J32" s="1" t="str">
        <f>IF(ISTEXT('_Data inputs (all)'!J32),'_Data inputs (all)'!J32,"")</f>
        <v>Yes</v>
      </c>
      <c r="K32" s="144" t="str">
        <f>IF(ISTEXT('_Data inputs (all)'!K32),'_Data inputs (all)'!K32,"")</f>
        <v/>
      </c>
      <c r="L32" s="110" t="str">
        <f>IF(ISTEXT('_Data inputs (all)'!L32),'_Data inputs (all)'!L32,"")</f>
        <v/>
      </c>
      <c r="M32" s="144" t="str">
        <f>IF(ISTEXT('_Data inputs (all)'!M32),'_Data inputs (all)'!M32,"")</f>
        <v/>
      </c>
    </row>
    <row r="33" spans="1:13" ht="15.95"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Italy</v>
      </c>
      <c r="B33" s="42" t="str">
        <f>'_Data inputs (all)'!B33</f>
        <v>ITA</v>
      </c>
      <c r="C33" s="110">
        <f>'_Data inputs (all)'!C33</f>
        <v>32</v>
      </c>
      <c r="D33" s="6" t="str">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Volume of household wastewater delivered to treatment facilities</v>
      </c>
      <c r="E33" s="110" t="str">
        <f>'_Data inputs (all)'!E33</f>
        <v>DEL_TRT_VOL</v>
      </c>
      <c r="F33" s="151">
        <f>'D- Delivered'!B7</f>
        <v>2231.3721877904031</v>
      </c>
      <c r="G33" s="6" t="str">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Million m3/year</v>
      </c>
      <c r="H33" s="110" t="str">
        <f>'_Data inputs (all)'!H33</f>
        <v>C</v>
      </c>
      <c r="I33" s="1">
        <f>IF(ISNUMBER('_Data inputs (all)'!I33),'_Data inputs (all)'!I33,"")</f>
        <v>2022</v>
      </c>
      <c r="J33" s="1" t="str">
        <f>IF(ISTEXT('_Data inputs (all)'!J33),'_Data inputs (all)'!J33,"")</f>
        <v>Yes</v>
      </c>
      <c r="K33" s="144" t="str">
        <f>IF(ISTEXT('_Data inputs (all)'!K33),'_Data inputs (all)'!K33,"")</f>
        <v/>
      </c>
      <c r="L33" s="110" t="str">
        <f>IF(ISTEXT('_Data inputs (all)'!L33),'_Data inputs (all)'!L33,"")</f>
        <v/>
      </c>
      <c r="M33" s="144" t="str">
        <f>IF(ISTEXT('_Data inputs (all)'!M33),'_Data inputs (all)'!M33,"")</f>
        <v/>
      </c>
    </row>
    <row r="34" spans="1:13" ht="15.95"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Italy</v>
      </c>
      <c r="B34" s="42" t="str">
        <f>'_Data inputs (all)'!B34</f>
        <v>ITA</v>
      </c>
      <c r="C34" s="110">
        <f>'_Data inputs (all)'!C34</f>
        <v>33</v>
      </c>
      <c r="D34" s="6" t="str">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Volume of sewer wastewater safely treated at wastewater treatment plants</v>
      </c>
      <c r="E34" s="110" t="str">
        <f>'_Data inputs (all)'!E34</f>
        <v>SEW_STWW_VOL</v>
      </c>
      <c r="F34" s="151">
        <f>'E- Safely treated'!B4</f>
        <v>1958.3950157752793</v>
      </c>
      <c r="G34" s="6" t="str">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Million m3/year</v>
      </c>
      <c r="H34" s="110" t="str">
        <f>'_Data inputs (all)'!H34</f>
        <v>C</v>
      </c>
      <c r="I34" s="1">
        <f>IF(ISNUMBER('_Data inputs (all)'!I34),'_Data inputs (all)'!I34,"")</f>
        <v>2022</v>
      </c>
      <c r="J34" s="1" t="str">
        <f>IF(ISTEXT('_Data inputs (all)'!J34),'_Data inputs (all)'!J34,"")</f>
        <v>Yes</v>
      </c>
      <c r="K34" s="144" t="str">
        <f>IF(ISTEXT('_Data inputs (all)'!K34),'_Data inputs (all)'!K34,"")</f>
        <v/>
      </c>
      <c r="L34" s="110" t="str">
        <f>IF(ISTEXT('_Data inputs (all)'!L34),'_Data inputs (all)'!L34,"")</f>
        <v/>
      </c>
      <c r="M34" s="144" t="str">
        <f>IF(ISTEXT('_Data inputs (all)'!M34),'_Data inputs (all)'!M34,"")</f>
        <v/>
      </c>
    </row>
    <row r="35" spans="1:13" ht="15.9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Italy</v>
      </c>
      <c r="B35" s="42" t="str">
        <f>'_Data inputs (all)'!B35</f>
        <v>ITA</v>
      </c>
      <c r="C35" s="110">
        <f>'_Data inputs (all)'!C35</f>
        <v>34</v>
      </c>
      <c r="D35" s="6" t="str">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Volume of septic tank wastewater safely treated in septic tanks with faecal sludge safely treated at off-site treatment plants</v>
      </c>
      <c r="E35" s="110" t="str">
        <f>'_Data inputs (all)'!E35</f>
        <v>SEP_OFF_STWW_VOL</v>
      </c>
      <c r="F35" s="151">
        <f>'E- Safely treated'!B5</f>
        <v>7.7381999527096594</v>
      </c>
      <c r="G35" s="6" t="str">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Million m3/year</v>
      </c>
      <c r="H35" s="110" t="str">
        <f>'_Data inputs (all)'!H35</f>
        <v>C</v>
      </c>
      <c r="I35" s="1">
        <f>IF(ISNUMBER('_Data inputs (all)'!I35),'_Data inputs (all)'!I35,"")</f>
        <v>2022</v>
      </c>
      <c r="J35" s="1" t="str">
        <f>IF(ISTEXT('_Data inputs (all)'!J35),'_Data inputs (all)'!J35,"")</f>
        <v>Yes</v>
      </c>
      <c r="K35" s="144" t="str">
        <f>IF(ISTEXT('_Data inputs (all)'!K35),'_Data inputs (all)'!K35,"")</f>
        <v/>
      </c>
      <c r="L35" s="110" t="str">
        <f>IF(ISTEXT('_Data inputs (all)'!L35),'_Data inputs (all)'!L35,"")</f>
        <v/>
      </c>
      <c r="M35" s="144" t="str">
        <f>IF(ISTEXT('_Data inputs (all)'!M35),'_Data inputs (all)'!M35,"")</f>
        <v/>
      </c>
    </row>
    <row r="36" spans="1:13" ht="15.95"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Italy</v>
      </c>
      <c r="B36" s="42" t="str">
        <f>'_Data inputs (all)'!B36</f>
        <v>ITA</v>
      </c>
      <c r="C36" s="110">
        <f>'_Data inputs (all)'!C36</f>
        <v>35</v>
      </c>
      <c r="D36" s="6" t="str">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Volume of septic tank wastewater safely treated in septic tanks with faecal sludge safely treated on-site</v>
      </c>
      <c r="E36" s="110" t="str">
        <f>'_Data inputs (all)'!E36</f>
        <v>SEP_ON_STWW_VOL</v>
      </c>
      <c r="F36" s="151">
        <f>'E- Safely treated'!B6</f>
        <v>8.7476843835254616</v>
      </c>
      <c r="G36" s="6" t="str">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Million m3/year</v>
      </c>
      <c r="H36" s="110" t="str">
        <f>'_Data inputs (all)'!H36</f>
        <v>C</v>
      </c>
      <c r="I36" s="1">
        <f>IF(ISNUMBER('_Data inputs (all)'!I36),'_Data inputs (all)'!I36,"")</f>
        <v>2022</v>
      </c>
      <c r="J36" s="1" t="str">
        <f>IF(ISTEXT('_Data inputs (all)'!J36),'_Data inputs (all)'!J36,"")</f>
        <v>Yes</v>
      </c>
      <c r="K36" s="144" t="str">
        <f>IF(ISTEXT('_Data inputs (all)'!K36),'_Data inputs (all)'!K36,"")</f>
        <v/>
      </c>
      <c r="L36" s="110" t="str">
        <f>IF(ISTEXT('_Data inputs (all)'!L36),'_Data inputs (all)'!L36,"")</f>
        <v/>
      </c>
      <c r="M36" s="144" t="str">
        <f>IF(ISTEXT('_Data inputs (all)'!M36),'_Data inputs (all)'!M36,"")</f>
        <v/>
      </c>
    </row>
    <row r="37" spans="1:13" ht="15.95"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Italy</v>
      </c>
      <c r="B37" s="42" t="str">
        <f>'_Data inputs (all)'!B37</f>
        <v>ITA</v>
      </c>
      <c r="C37" s="110">
        <f>'_Data inputs (all)'!C37</f>
        <v>36</v>
      </c>
      <c r="D37" s="6" t="str">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Volume of safely treated household wastewater</v>
      </c>
      <c r="E37" s="110" t="str">
        <f>'_Data inputs (all)'!E37</f>
        <v>STWW_VOL</v>
      </c>
      <c r="F37" s="151">
        <f>'E- Safely treated'!B7</f>
        <v>1974.8809001115144</v>
      </c>
      <c r="G37" s="6" t="str">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Million m3/year</v>
      </c>
      <c r="H37" s="110" t="str">
        <f>'_Data inputs (all)'!H37</f>
        <v>C</v>
      </c>
      <c r="I37" s="1">
        <f>IF(ISNUMBER('_Data inputs (all)'!I37),'_Data inputs (all)'!I37,"")</f>
        <v>2022</v>
      </c>
      <c r="J37" s="1" t="str">
        <f>IF(ISTEXT('_Data inputs (all)'!J37),'_Data inputs (all)'!J37,"")</f>
        <v>Yes</v>
      </c>
      <c r="K37" s="144" t="str">
        <f>IF(ISTEXT('_Data inputs (all)'!K37),'_Data inputs (all)'!K37,"")</f>
        <v/>
      </c>
      <c r="L37" s="110" t="str">
        <f>IF(ISTEXT('_Data inputs (all)'!L37),'_Data inputs (all)'!L37,"")</f>
        <v/>
      </c>
      <c r="M37" s="144" t="str">
        <f>IF(ISTEXT('_Data inputs (all)'!M37),'_Data inputs (all)'!M37,"")</f>
        <v/>
      </c>
    </row>
    <row r="38" spans="1:13" ht="15.95"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Italy</v>
      </c>
      <c r="B38" s="42" t="str">
        <f>'_Data inputs (all)'!B38</f>
        <v>ITA</v>
      </c>
      <c r="C38" s="110">
        <f>'_Data inputs (all)'!C38</f>
        <v>37</v>
      </c>
      <c r="D38" s="6" t="str">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Proportion of sewer wastewater safely treated</v>
      </c>
      <c r="E38" s="110" t="str">
        <f>'_Data inputs (all)'!E38</f>
        <v>SEW_STWW_PCT</v>
      </c>
      <c r="F38" s="150">
        <f>v33_/v8_*100</f>
        <v>69.634883960884665</v>
      </c>
      <c r="G38" s="6" t="str">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Percentage</v>
      </c>
      <c r="H38" s="110" t="str">
        <f>'_Data inputs (all)'!H38</f>
        <v>C</v>
      </c>
      <c r="I38" s="1">
        <f>IF(ISNUMBER('_Data inputs (all)'!I38),'_Data inputs (all)'!I38,"")</f>
        <v>2022</v>
      </c>
      <c r="J38" s="1" t="str">
        <f>IF(ISTEXT('_Data inputs (all)'!J38),'_Data inputs (all)'!J38,"")</f>
        <v>Yes</v>
      </c>
      <c r="K38" s="144" t="str">
        <f>IF(ISTEXT('_Data inputs (all)'!K38),'_Data inputs (all)'!K38,"")</f>
        <v/>
      </c>
      <c r="L38" s="110" t="str">
        <f>IF(ISTEXT('_Data inputs (all)'!L38),'_Data inputs (all)'!L38,"")</f>
        <v/>
      </c>
      <c r="M38" s="144" t="str">
        <f>IF(ISTEXT('_Data inputs (all)'!M38),'_Data inputs (all)'!M38,"")</f>
        <v/>
      </c>
    </row>
    <row r="39" spans="1:13" ht="15.95"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Italy</v>
      </c>
      <c r="B39" s="42" t="str">
        <f>'_Data inputs (all)'!B39</f>
        <v>ITA</v>
      </c>
      <c r="C39" s="110">
        <f>'_Data inputs (all)'!C39</f>
        <v>38</v>
      </c>
      <c r="D39" s="6" t="str">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Proportion of septic tank wastewater and faecal sludge safely treated off-site</v>
      </c>
      <c r="E39" s="110" t="str">
        <f>'_Data inputs (all)'!E39</f>
        <v>SEP_OFF_STWW_PCT</v>
      </c>
      <c r="F39" s="150">
        <f>v34_/v8_*100</f>
        <v>0.27514809394045753</v>
      </c>
      <c r="G39" s="6" t="str">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Percentage</v>
      </c>
      <c r="H39" s="110" t="str">
        <f>'_Data inputs (all)'!H39</f>
        <v>C</v>
      </c>
      <c r="I39" s="1">
        <f>IF(ISNUMBER('_Data inputs (all)'!I39),'_Data inputs (all)'!I39,"")</f>
        <v>2022</v>
      </c>
      <c r="J39" s="1" t="str">
        <f>IF(ISTEXT('_Data inputs (all)'!J39),'_Data inputs (all)'!J39,"")</f>
        <v>Yes</v>
      </c>
      <c r="K39" s="144" t="str">
        <f>IF(ISTEXT('_Data inputs (all)'!K39),'_Data inputs (all)'!K39,"")</f>
        <v/>
      </c>
      <c r="L39" s="110" t="str">
        <f>IF(ISTEXT('_Data inputs (all)'!L39),'_Data inputs (all)'!L39,"")</f>
        <v/>
      </c>
      <c r="M39" s="144" t="str">
        <f>IF(ISTEXT('_Data inputs (all)'!M39),'_Data inputs (all)'!M39,"")</f>
        <v/>
      </c>
    </row>
    <row r="40" spans="1:13"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Italy</v>
      </c>
      <c r="B40" s="42" t="str">
        <f>'_Data inputs (all)'!B40</f>
        <v>ITA</v>
      </c>
      <c r="C40" s="110">
        <f>'_Data inputs (all)'!C40</f>
        <v>39</v>
      </c>
      <c r="D40" s="6" t="str">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Proportion of septic tank wastewater and faecal sludge safely treated on-site</v>
      </c>
      <c r="E40" s="110" t="str">
        <f>'_Data inputs (all)'!E40</f>
        <v>SEP_ON_STWW_PCT</v>
      </c>
      <c r="F40" s="150">
        <f>v35_/v8_*100</f>
        <v>0.31104245163333083</v>
      </c>
      <c r="G40" s="6" t="str">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Percentage</v>
      </c>
      <c r="H40" s="110" t="str">
        <f>'_Data inputs (all)'!H40</f>
        <v>C</v>
      </c>
      <c r="I40" s="1">
        <f>IF(ISNUMBER('_Data inputs (all)'!I40),'_Data inputs (all)'!I40,"")</f>
        <v>2022</v>
      </c>
      <c r="J40" s="1" t="str">
        <f>IF(ISTEXT('_Data inputs (all)'!J40),'_Data inputs (all)'!J40,"")</f>
        <v>Yes</v>
      </c>
      <c r="K40" s="144" t="str">
        <f>IF(ISTEXT('_Data inputs (all)'!K40),'_Data inputs (all)'!K40,"")</f>
        <v/>
      </c>
      <c r="L40" s="110" t="str">
        <f>IF(ISTEXT('_Data inputs (all)'!L40),'_Data inputs (all)'!L40,"")</f>
        <v/>
      </c>
      <c r="M40" s="144" t="str">
        <f>IF(ISTEXT('_Data inputs (all)'!M40),'_Data inputs (all)'!M40,"")</f>
        <v/>
      </c>
    </row>
    <row r="41" spans="1:13"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Italy</v>
      </c>
      <c r="B41" s="42" t="str">
        <f>'_Data inputs (all)'!B41</f>
        <v>ITA</v>
      </c>
      <c r="C41" s="110">
        <f>'_Data inputs (all)'!C41</f>
        <v>40</v>
      </c>
      <c r="D41" s="6" t="str">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Proportion of safely treated household wastewater (SDG 6.3.1)</v>
      </c>
      <c r="E41" s="110" t="str">
        <f>'_Data inputs (all)'!E41</f>
        <v>STWW_PCT</v>
      </c>
      <c r="F41" s="150">
        <f>SUM(F38:F40)</f>
        <v>70.22107450645845</v>
      </c>
      <c r="G41" s="6" t="str">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Percentage</v>
      </c>
      <c r="H41" s="110" t="str">
        <f>'_Data inputs (all)'!H41</f>
        <v>C</v>
      </c>
      <c r="I41" s="1">
        <f>IF(ISNUMBER('_Data inputs (all)'!I41),'_Data inputs (all)'!I41,"")</f>
        <v>2022</v>
      </c>
      <c r="J41" s="1" t="str">
        <f>IF(ISTEXT('_Data inputs (all)'!J41),'_Data inputs (all)'!J41,"")</f>
        <v>Yes</v>
      </c>
      <c r="K41" s="144" t="str">
        <f>IF(ISTEXT('_Data inputs (all)'!K41),'_Data inputs (all)'!K41,"")</f>
        <v/>
      </c>
      <c r="L41" s="110" t="str">
        <f>IF(ISTEXT('_Data inputs (all)'!L41),'_Data inputs (all)'!L41,"")</f>
        <v/>
      </c>
      <c r="M41" s="144" t="str">
        <f>IF(ISTEXT('_Data inputs (all)'!M41),'_Data inputs (all)'!M41,"")</f>
        <v/>
      </c>
    </row>
  </sheetData>
  <sheetProtection sheet="1" selectLockedCells="1"/>
  <autoFilter ref="A1:M41" xr:uid="{00000000-0009-0000-0000-000002000000}"/>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baseColWidth="10" defaultColWidth="11.5546875" defaultRowHeight="15" x14ac:dyDescent="0.2"/>
  <cols>
    <col min="1" max="1" width="50.6640625" style="105" customWidth="1"/>
    <col min="2" max="2" width="15.6640625" style="1" customWidth="1"/>
    <col min="3" max="3" width="10.6640625" style="1" customWidth="1"/>
    <col min="4" max="4" width="100.6640625" style="105" customWidth="1"/>
    <col min="5" max="5" width="30.6640625" style="106" customWidth="1"/>
    <col min="6" max="6" width="10.6640625" style="106" customWidth="1"/>
    <col min="7" max="7" width="15.6640625" style="105" customWidth="1"/>
    <col min="8" max="8" width="10.6640625" style="106" customWidth="1"/>
    <col min="9" max="10" width="10.6640625" style="1" customWidth="1"/>
    <col min="11" max="12" width="75.6640625" style="105" customWidth="1"/>
    <col min="13" max="13" width="20.6640625" style="1" customWidth="1"/>
    <col min="14" max="14" width="75.6640625" style="105" customWidth="1"/>
  </cols>
  <sheetData>
    <row r="1" spans="1:14" s="149" customFormat="1" ht="15.75" x14ac:dyDescent="0.25">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r="2" spans="1:14" ht="15.95"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Italy</v>
      </c>
      <c r="B2" s="1" t="str">
        <f>IF(ISTEXT('_Data inputs (reported)'!B2),'_Data inputs (reported)'!B2,"")</f>
        <v>ITA</v>
      </c>
      <c r="C2" s="179">
        <f>IF(ISBLANK('_Data inputs (reported)'!C2),"",'_Data inputs (reported)'!C2)</f>
        <v>4</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Average water used by households with on-premises water supply</v>
      </c>
      <c r="E2" s="1" t="str">
        <f>IF(ISTEXT('_Data inputs (reported)'!E2),'_Data inputs (reported)'!E2,"")</f>
        <v>USE_WATON_AVG</v>
      </c>
      <c r="F2" s="8">
        <f>IF(ISNUMBER('_Data inputs (reported)'!F2),'_Data inputs (reported)'!F2,"")</f>
        <v>166.30099999999999</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Litres/person/day</v>
      </c>
      <c r="H2" s="1" t="str">
        <f>IF(ISTEXT('_Data inputs (reported)'!H2),'_Data inputs (reported)'!H2,"")</f>
        <v>R</v>
      </c>
      <c r="I2" s="42">
        <f>IF(ISNUMBER('_Data inputs (reported)'!I2),'_Data inputs (reported)'!I2,"")</f>
        <v>2015</v>
      </c>
      <c r="J2" s="1" t="str">
        <f>IF(ISTEXT('_Data inputs (reported)'!J2),'_Data inputs (reported)'!J2,"")</f>
        <v>Yes</v>
      </c>
      <c r="K2" s="105" t="str">
        <f>IF(ISTEXT('_Data inputs (reported)'!K2),'_Data inputs (reported)'!K2,"")</f>
        <v/>
      </c>
      <c r="L2" s="105" t="str">
        <f>IF(ISTEXT('_Data inputs (reported)'!L2),'_Data inputs (reported)'!L2,"")</f>
        <v>Eurostat Water Statistics (link: https://ec.europa.eu/eurostat/statistics-explained/index.php?title=Water_statistics#Water_uses; accessed: November 2022)</v>
      </c>
      <c r="M2" s="1" t="str">
        <f>IF(ISTEXT('_Data inputs (reported)'!M2),'_Data inputs (reported)'!M2,"")</f>
        <v>ITA_2015_ES</v>
      </c>
      <c r="N2" s="105" t="str">
        <f>IF(ISTEXT('_Data inputs (reported)'!N2),'_Data inputs (reported)'!N2,"")</f>
        <v/>
      </c>
    </row>
    <row r="3" spans="1:14" ht="15.95"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Italy</v>
      </c>
      <c r="B3" s="1" t="str">
        <f>IF(ISTEXT('_Data inputs (reported)'!B3),'_Data inputs (reported)'!B3,"")</f>
        <v>ITA</v>
      </c>
      <c r="C3" s="179">
        <f>IF(ISBLANK('_Data inputs (reported)'!C3),"",'_Data inputs (reported)'!C3)</f>
        <v>19</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Proportion of sewer wastewater delivered to treatment plants</v>
      </c>
      <c r="E3" s="1" t="str">
        <f>IF(ISTEXT('_Data inputs (reported)'!E3),'_Data inputs (reported)'!E3,"")</f>
        <v>SEW_DEL_WWTP_PCT</v>
      </c>
      <c r="F3" s="8">
        <f>IF(ISNUMBER('_Data inputs (reported)'!F3),'_Data inputs (reported)'!F3,"")</f>
        <v>79.726654052734375</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Percentage</v>
      </c>
      <c r="H3" s="1" t="str">
        <f>IF(ISTEXT('_Data inputs (reported)'!H3),'_Data inputs (reported)'!H3,"")</f>
        <v>R</v>
      </c>
      <c r="I3" s="42">
        <f>IF(ISNUMBER('_Data inputs (reported)'!I3),'_Data inputs (reported)'!I3,"")</f>
        <v>2018</v>
      </c>
      <c r="J3" s="1" t="str">
        <f>IF(ISTEXT('_Data inputs (reported)'!J3),'_Data inputs (reported)'!J3,"")</f>
        <v>Yes</v>
      </c>
      <c r="K3" s="105" t="str">
        <f>IF(ISTEXT('_Data inputs (reported)'!K3),'_Data inputs (reported)'!K3,"")</f>
        <v/>
      </c>
      <c r="L3" s="105" t="str">
        <f>IF(ISTEXT('_Data inputs (reported)'!L3),'_Data inputs (reported)'!L3,"")</f>
        <v>Eurostat, Country data from the Eurostat/OECD Joint Questionnaire on Inland Waters, 2018 (link: https://ec.europa.eu/eurostat/web/environment/water; date accessed: September 2022)</v>
      </c>
      <c r="M3" s="1" t="str">
        <f>IF(ISTEXT('_Data inputs (reported)'!M3),'_Data inputs (reported)'!M3,"")</f>
        <v>ITA_2018_ES</v>
      </c>
      <c r="N3" s="105" t="str">
        <f>IF(ISTEXT('_Data inputs (reported)'!N3),'_Data inputs (reported)'!N3,"")</f>
        <v>Table: Population connected to wastewater treatment plants (ENV_WW_CON); derived from the proportion of the population connected to urban and other wastewater treatment plants (URB_OTH=70%) divided by the proportion of the population connected to wastewater collecting systems (sewers; URB_CS=87.8%)</v>
      </c>
    </row>
    <row r="4" spans="1:14" ht="15.95"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Italy</v>
      </c>
      <c r="B4" s="1" t="str">
        <f>IF(ISTEXT('_Data inputs (reported)'!B4),'_Data inputs (reported)'!B4,"")</f>
        <v>ITA</v>
      </c>
      <c r="C4" s="179">
        <f>IF(ISBLANK('_Data inputs (reported)'!C4),"",'_Data inputs (reported)'!C4)</f>
        <v>20</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Proportion of received sewer wastewater safely treated (by compliance) at treatment plants</v>
      </c>
      <c r="E4" s="1" t="str">
        <f>IF(ISTEXT('_Data inputs (reported)'!E4),'_Data inputs (reported)'!E4,"")</f>
        <v>SEW_ST_WWTP_CMP_PCT</v>
      </c>
      <c r="F4" s="8">
        <f>IF(ISNUMBER('_Data inputs (reported)'!F4),'_Data inputs (reported)'!F4,"")</f>
        <v>88.459981104062607</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Percentage</v>
      </c>
      <c r="H4" s="1" t="str">
        <f>IF(ISTEXT('_Data inputs (reported)'!H4),'_Data inputs (reported)'!H4,"")</f>
        <v>R</v>
      </c>
      <c r="I4" s="42">
        <f>IF(ISNUMBER('_Data inputs (reported)'!I4),'_Data inputs (reported)'!I4,"")</f>
        <v>2018</v>
      </c>
      <c r="J4" s="1" t="str">
        <f>IF(ISTEXT('_Data inputs (reported)'!J4),'_Data inputs (reported)'!J4,"")</f>
        <v>Yes</v>
      </c>
      <c r="K4" s="105" t="str">
        <f>IF(ISTEXT('_Data inputs (reported)'!K4),'_Data inputs (reported)'!K4,"")</f>
        <v/>
      </c>
      <c r="L4" s="105" t="str">
        <f>IF(ISTEXT('_Data inputs (reported)'!L4),'_Data inputs (reported)'!L4,"")</f>
        <v>WISE: Freshwater Information System for Europe, Country Profile, 2018 (link: https://water.europa.eu/freshwater/countries/uwwt, date accessed: September 2022)</v>
      </c>
      <c r="M4" s="1" t="str">
        <f>IF(ISTEXT('_Data inputs (reported)'!M4),'_Data inputs (reported)'!M4,"")</f>
        <v>ITA_2018_EU</v>
      </c>
      <c r="N4" s="105" t="str">
        <f>IF(ISTEXT('_Data inputs (reported)'!N4),'_Data inputs (reported)'!N4,"")</f>
        <v>Derived based on data for wastewater loadings (million population equivalents) associated with agglomerations complying with Article 3 (collection) and Article 4 (secondary treatment) of the European Union Urban Wastewater Treatment Directive. A: Loading non-compliant with Art. 3.; B: Loading compliant with Art. 4; C: Loading non-compliant with Art. 4.  Calculated as: B (65.54) / [B (65.54) + C (9.12) - A (.57)].  Note: The non-compliant load associated with Article 3 (A) is considered in the compliance calculation for Article 4, and therefore A has been removed from the denominator of the Art. 4 compliance calculation to eliminate the load associated with agglomerations without sewers.</v>
      </c>
    </row>
    <row r="5" spans="1:14" ht="15.9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Italy</v>
      </c>
      <c r="B5" s="1" t="str">
        <f>IF(ISTEXT('_Data inputs (reported)'!B5),'_Data inputs (reported)'!B5,"")</f>
        <v>ITA</v>
      </c>
      <c r="C5" s="179">
        <f>IF(ISBLANK('_Data inputs (reported)'!C5),"",'_Data inputs (reported)'!C5)</f>
        <v>21</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Proportion of received sewer wastewater safely treated (by technology) at treatment plants</v>
      </c>
      <c r="E5" s="1" t="str">
        <f>IF(ISTEXT('_Data inputs (reported)'!E5),'_Data inputs (reported)'!E5,"")</f>
        <v>SEW_ST_WWTP_TCH_PCT</v>
      </c>
      <c r="F5" s="8">
        <f>IF(ISNUMBER('_Data inputs (reported)'!F5),'_Data inputs (reported)'!F5,"")</f>
        <v>96.605691056910572</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Percentage</v>
      </c>
      <c r="H5" s="1" t="str">
        <f>IF(ISTEXT('_Data inputs (reported)'!H5),'_Data inputs (reported)'!H5,"")</f>
        <v>R</v>
      </c>
      <c r="I5" s="42">
        <f>IF(ISNUMBER('_Data inputs (reported)'!I5),'_Data inputs (reported)'!I5,"")</f>
        <v>2012</v>
      </c>
      <c r="J5" s="1" t="str">
        <f>IF(ISTEXT('_Data inputs (reported)'!J5),'_Data inputs (reported)'!J5,"")</f>
        <v>No</v>
      </c>
      <c r="K5" s="105" t="str">
        <f>IF(ISTEXT('_Data inputs (reported)'!K5),'_Data inputs (reported)'!K5,"")</f>
        <v>Not the most recent data point for this variable</v>
      </c>
      <c r="L5" s="105" t="str">
        <f>IF(ISTEXT('_Data inputs (reported)'!L5),'_Data inputs (reported)'!L5,"")</f>
        <v>ISTAT; Censimento delle acque</v>
      </c>
      <c r="M5" s="1" t="str">
        <f>IF(ISTEXT('_Data inputs (reported)'!M5),'_Data inputs (reported)'!M5,"")</f>
        <v>ITA_2012_CA</v>
      </c>
      <c r="N5" s="105" t="str">
        <f>IF(ISTEXT('_Data inputs (reported)'!N5),'_Data inputs (reported)'!N5,"")</f>
        <v/>
      </c>
    </row>
    <row r="6" spans="1:14" ht="15.95"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Italy</v>
      </c>
      <c r="B6" s="1" t="str">
        <f>IF(ISTEXT('_Data inputs (reported)'!B6),'_Data inputs (reported)'!B6,"")</f>
        <v>ITA</v>
      </c>
      <c r="C6" s="179">
        <f>IF(ISBLANK('_Data inputs (reported)'!C6),"",'_Data inputs (reported)'!C6)</f>
        <v>21</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Proportion of received sewer wastewater safely treated (by technology) at treatment plants</v>
      </c>
      <c r="E6" s="1" t="str">
        <f>IF(ISTEXT('_Data inputs (reported)'!E6),'_Data inputs (reported)'!E6,"")</f>
        <v>SEW_ST_WWTP_TCH_PCT</v>
      </c>
      <c r="F6" s="8">
        <f>IF(ISNUMBER('_Data inputs (reported)'!F6),'_Data inputs (reported)'!F6,"")</f>
        <v>94.581275939941406</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Percentage</v>
      </c>
      <c r="H6" s="1" t="str">
        <f>IF(ISTEXT('_Data inputs (reported)'!H6),'_Data inputs (reported)'!H6,"")</f>
        <v>R</v>
      </c>
      <c r="I6" s="42">
        <f>IF(ISNUMBER('_Data inputs (reported)'!I6),'_Data inputs (reported)'!I6,"")</f>
        <v>2012</v>
      </c>
      <c r="J6" s="1" t="str">
        <f>IF(ISTEXT('_Data inputs (reported)'!J6),'_Data inputs (reported)'!J6,"")</f>
        <v>No</v>
      </c>
      <c r="K6" s="105" t="str">
        <f>IF(ISTEXT('_Data inputs (reported)'!K6),'_Data inputs (reported)'!K6,"")</f>
        <v>Not the most recent data point for this variable</v>
      </c>
      <c r="L6" s="105" t="str">
        <f>IF(ISTEXT('_Data inputs (reported)'!L6),'_Data inputs (reported)'!L6,"")</f>
        <v>Eurostat, Country data from the Eurostat/OECD Joint Questionnaire on Inland Waters, 2012 (link: https://ec.europa.eu/eurostat/web/environment/water; date accessed: September 2022)</v>
      </c>
      <c r="M6" s="1" t="str">
        <f>IF(ISTEXT('_Data inputs (reported)'!M6),'_Data inputs (reported)'!M6,"")</f>
        <v>ITA_2012_ES</v>
      </c>
      <c r="N6" s="105" t="str">
        <f>IF(ISTEXT('_Data inputs (reported)'!N6),'_Data inputs (reported)'!N6,"")</f>
        <v>Table: Population connected to wastewater treatment plants (ENV_WW_CON); derived from the proportion of the population connected to wastewater treatment plants of at least secondary treatment [secondary (URB_OTH_T2=22.4%) &amp; tertiary (URB_OTH_T3=35.2%) treatment] divided by the proportion of the population connected to wastewater treatment plants of any treatment [primary (URB_OTH_T1=3.3%), secondary (URB_OTH_T2=22.4%), &amp; tertiary (URB_OTH_T3=35.2%) treatment].</v>
      </c>
    </row>
    <row r="7" spans="1:14" ht="15.95"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Italy</v>
      </c>
      <c r="B7" s="1" t="str">
        <f>IF(ISTEXT('_Data inputs (reported)'!B7),'_Data inputs (reported)'!B7,"")</f>
        <v>ITA</v>
      </c>
      <c r="C7" s="179">
        <f>IF(ISBLANK('_Data inputs (reported)'!C7),"",'_Data inputs (reported)'!C7)</f>
        <v>21</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Proportion of received sewer wastewater safely treated (by technology) at treatment plants</v>
      </c>
      <c r="E7" s="1" t="str">
        <f>IF(ISTEXT('_Data inputs (reported)'!E7),'_Data inputs (reported)'!E7,"")</f>
        <v>SEW_ST_WWTP_TCH_PCT</v>
      </c>
      <c r="F7" s="8">
        <f>IF(ISNUMBER('_Data inputs (reported)'!F7),'_Data inputs (reported)'!F7,"")</f>
        <v>97.530487804878035</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Percentage</v>
      </c>
      <c r="H7" s="1" t="str">
        <f>IF(ISTEXT('_Data inputs (reported)'!H7),'_Data inputs (reported)'!H7,"")</f>
        <v>R</v>
      </c>
      <c r="I7" s="42">
        <f>IF(ISNUMBER('_Data inputs (reported)'!I7),'_Data inputs (reported)'!I7,"")</f>
        <v>2015</v>
      </c>
      <c r="J7" s="1" t="str">
        <f>IF(ISTEXT('_Data inputs (reported)'!J7),'_Data inputs (reported)'!J7,"")</f>
        <v>No</v>
      </c>
      <c r="K7" s="105" t="str">
        <f>IF(ISTEXT('_Data inputs (reported)'!K7),'_Data inputs (reported)'!K7,"")</f>
        <v>Data on wastewater treatment by compliance with standards is preferred over data by treatment technology level</v>
      </c>
      <c r="L7" s="105" t="str">
        <f>IF(ISTEXT('_Data inputs (reported)'!L7),'_Data inputs (reported)'!L7,"")</f>
        <v>ISTAT; Censimento delle acque</v>
      </c>
      <c r="M7" s="1" t="str">
        <f>IF(ISTEXT('_Data inputs (reported)'!M7),'_Data inputs (reported)'!M7,"")</f>
        <v>ITA_2015_CA</v>
      </c>
      <c r="N7" s="105" t="str">
        <f>IF(ISTEXT('_Data inputs (reported)'!N7),'_Data inputs (reported)'!N7,"")</f>
        <v/>
      </c>
    </row>
    <row r="8" spans="1:14" ht="15.95"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Italy</v>
      </c>
      <c r="B8" s="1" t="str">
        <f>IF(ISTEXT('_Data inputs (reported)'!B8),'_Data inputs (reported)'!B8,"")</f>
        <v>ITA</v>
      </c>
      <c r="C8" s="179">
        <f>IF(ISBLANK('_Data inputs (reported)'!C8),"",'_Data inputs (reported)'!C8)</f>
        <v>21</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Proportion of received sewer wastewater safely treated (by technology) at treatment plants</v>
      </c>
      <c r="E8" s="1" t="str">
        <f>IF(ISTEXT('_Data inputs (reported)'!E8),'_Data inputs (reported)'!E8,"")</f>
        <v>SEW_ST_WWTP_TCH_PCT</v>
      </c>
      <c r="F8" s="8">
        <f>IF(ISNUMBER('_Data inputs (reported)'!F8),'_Data inputs (reported)'!F8,"")</f>
        <v>95.360000610351563</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Percentage</v>
      </c>
      <c r="H8" s="1" t="str">
        <f>IF(ISTEXT('_Data inputs (reported)'!H8),'_Data inputs (reported)'!H8,"")</f>
        <v>R</v>
      </c>
      <c r="I8" s="42">
        <f>IF(ISNUMBER('_Data inputs (reported)'!I8),'_Data inputs (reported)'!I8,"")</f>
        <v>2015</v>
      </c>
      <c r="J8" s="1" t="str">
        <f>IF(ISTEXT('_Data inputs (reported)'!J8),'_Data inputs (reported)'!J8,"")</f>
        <v>No</v>
      </c>
      <c r="K8" s="105" t="str">
        <f>IF(ISTEXT('_Data inputs (reported)'!K8),'_Data inputs (reported)'!K8,"")</f>
        <v>Data on wastewater treatment by compliance with standards is preferred over data by treatment technology level</v>
      </c>
      <c r="L8" s="105" t="str">
        <f>IF(ISTEXT('_Data inputs (reported)'!L8),'_Data inputs (reported)'!L8,"")</f>
        <v>Eurostat, Country data from the Eurostat/OECD Joint Questionnaire on Inland Waters, 2015 (link: https://ec.europa.eu/eurostat/web/environment/water; date accessed: September 2022)</v>
      </c>
      <c r="M8" s="1" t="str">
        <f>IF(ISTEXT('_Data inputs (reported)'!M8),'_Data inputs (reported)'!M8,"")</f>
        <v>ITA_2015_ES</v>
      </c>
      <c r="N8" s="105" t="str">
        <f>IF(ISTEXT('_Data inputs (reported)'!N8),'_Data inputs (reported)'!N8,"")</f>
        <v>Table: Population connected to wastewater treatment plants (ENV_WW_CON); derived from the proportion of the population connected to wastewater treatment plants of at least secondary treatment [secondary (URB_OTH_T2=18.7%) &amp; tertiary (URB_OTH_T3=40.9%) treatment] divided by the proportion of the population connected to wastewater treatment plants of any treatment [primary (URB_OTH_T1=2.9%), secondary (URB_OTH_T2=18.7%), &amp; tertiary (URB_OTH_T3=40.9%) treatment].</v>
      </c>
    </row>
    <row r="9" spans="1:14" ht="15.95"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r="10" spans="1:14" ht="15.95"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r="11" spans="1:14" ht="15.95"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r="12" spans="1:14" ht="15.95"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r="13" spans="1:14" ht="15.95"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r="14" spans="1:14" ht="15.95"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r="15" spans="1:14" ht="15.9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r="16" spans="1:14" ht="15.95"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r="17" spans="1:14" ht="15.95"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r="18" spans="1:14" ht="15.95"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r="19" spans="1:14" ht="15.95"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r="20" spans="1:14" ht="15.95"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r="21" spans="1:14" ht="15.95"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r="22" spans="1:14" ht="15.95"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r="23" spans="1:14" ht="15.95"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r="24" spans="1:14" ht="15.95"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r="25" spans="1:14" ht="15.9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r="26" spans="1:14" ht="15.95"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r="27" spans="1:14" ht="15.95"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r="28" spans="1:14" ht="15.95"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r="29" spans="1:14" ht="15.95"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r="30" spans="1:14" ht="15.95"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r="31" spans="1:14" ht="15.95"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r="32" spans="1:14" ht="15.95"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r="33" spans="1:14" ht="15.95"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r="34" spans="1:14" ht="15.95"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r="35" spans="1:14" ht="15.9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r="36" spans="1:14" ht="15.95"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r="37" spans="1:14" ht="15.95"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r="38" spans="1:14" ht="15.95"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r="39" spans="1:14" ht="15.95"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r="40" spans="1:14"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r="41" spans="1:14"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r="42" spans="1:14"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r="43" spans="1:14"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r="44" spans="1:1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r="45" spans="1:14"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r="46" spans="1:14"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r="47" spans="1:14"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r="48" spans="1:14"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r="49" spans="1:14"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r="50" spans="1:14"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r="51" spans="1:14"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r="52" spans="1:14"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r="53" spans="1:14"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r="54" spans="1:1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r="55" spans="1:14"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r="56" spans="1:14"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r="57" spans="1:14"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r="58" spans="1:14"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r="59" spans="1:14"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r="60" spans="1:14"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r="61" spans="1:14"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r="62" spans="1:14"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r="63" spans="1:14"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r="64" spans="1:1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r="65" spans="1:14"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r="66" spans="1:14"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r="67" spans="1:14"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r="68" spans="1:14"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r="69" spans="1:14"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r="70" spans="1:14"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r="71" spans="1:14"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r="72" spans="1:14"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r="73" spans="1:14"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r="74" spans="1:1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r="75" spans="1:14"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r="76" spans="1:14"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r="77" spans="1:14"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r="78" spans="1:14"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r="79" spans="1:14"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r="80" spans="1:14"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r="81" spans="1:14"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r="82" spans="1:14"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r="83" spans="1:14"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r="84" spans="1:1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r="85" spans="1:14"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r="86" spans="1:14"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r="87" spans="1:14"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r="88" spans="1:14"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r="89" spans="1:14"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r="90" spans="1:14"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r="91" spans="1:14"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r="92" spans="1:14"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r="93" spans="1:14"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r="94" spans="1:1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r="95" spans="1:14"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r="96" spans="1:14"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r="97" spans="1:14"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r="98" spans="1:14"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r="99" spans="1:14"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r="100" spans="1:14"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r="101" spans="1:14"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r="102" spans="1:14"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r="103" spans="1:14"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r="104" spans="1:1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r="105" spans="1:14"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r="106" spans="1:14"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r="107" spans="1:14"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r="108" spans="1:14"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r="109" spans="1:14"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r="110" spans="1:14"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r="111" spans="1:14"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r="112" spans="1:14"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r="113" spans="1:14"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r="114" spans="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r="115" spans="1:14"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r="116" spans="1:14"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r="117" spans="1:14"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r="118" spans="1:14"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r="119" spans="1:14"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r="120" spans="1:14"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r="121" spans="1:14"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r="122" spans="1:14"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r="123" spans="1:14"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r="124" spans="1:1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r="125" spans="1:14"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r="126" spans="1:14"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r="127" spans="1:14"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r="128" spans="1:14"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r="129" spans="1:14"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r="130" spans="1:14"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r="131" spans="1:14"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r="132" spans="1:14"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r="133" spans="1:14"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r="134" spans="1:1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r="135" spans="1:14"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r="136" spans="1:14"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r="137" spans="1:14"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r="138" spans="1:14"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r="139" spans="1:14"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r="140" spans="1:14"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r="141" spans="1:14"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r="142" spans="1:14"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r="143" spans="1:14"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r="144" spans="1:1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r="145" spans="1:14"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r="146" spans="1:14"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r="147" spans="1:14"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r="148" spans="1:14"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r="149" spans="1:14"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r="150" spans="1:14"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r="151" spans="1:14"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r="152" spans="1:14"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r="153" spans="1:14"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r="154" spans="1:1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r="155" spans="1:14"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r="156" spans="1:14"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r="157" spans="1:14"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r="158" spans="1:14"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r="159" spans="1:14"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r="160" spans="1:14"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r="161" spans="2:14"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r="162" spans="2:14"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r="163" spans="2:14"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r="164" spans="2:1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r="165" spans="2:14"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r="166" spans="2:14"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r="167" spans="2:14"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r="168" spans="2:14"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r="169" spans="2:14"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r="170" spans="2:14"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r="171" spans="2:14"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r="172" spans="2:14"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r="173" spans="2:14"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r="174" spans="2:1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r="175" spans="2:14"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r="176" spans="2:14"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r="177" spans="2:14"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r="178" spans="2:14"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r="179" spans="2:14"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r="180" spans="2:14"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r="181" spans="2:14"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r="182" spans="2:14"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r="183" spans="2:14"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r="184" spans="2:1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r="185" spans="2:14"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r="186" spans="2:14"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r="187" spans="2:14"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r="188" spans="2:14"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r="189" spans="2:14"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r="190" spans="2:14"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r="191" spans="2:14"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r="192" spans="2:14"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r="193" spans="2:14"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r="194" spans="2:1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r="195" spans="2:14"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r="196" spans="2:14"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r="197" spans="2:14"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r="198" spans="2:14"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r="199" spans="2:14"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r="200" spans="2:14"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r="201" spans="2:14"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r="202" spans="2:14"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r="203" spans="2:14"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r="204" spans="2:1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r="205" spans="2:14"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r="206" spans="2:14"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r="207" spans="2:14"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r="208" spans="2:14"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r="209" spans="2:14"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r="210" spans="2:14"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r="211" spans="2:14"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r="212" spans="2:14"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r="213" spans="2:14"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r="214" spans="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r="215" spans="2:14"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r="216" spans="2:14"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r="217" spans="2:14"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r="218" spans="2:14"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r="219" spans="2:14"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r="220" spans="2:14"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r="221" spans="2:14"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r="222" spans="2:14"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r="223" spans="2:14"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r="224" spans="2:1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r="225" spans="2:14"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r="226" spans="2:14"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r="227" spans="2:14"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r="228" spans="2:14"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r="229" spans="2:14"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r="230" spans="2:14"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r="231" spans="2:14"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r="232" spans="2:14"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r="233" spans="2:14"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r="234" spans="2:1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r="235" spans="2:14"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r="236" spans="2:14"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r="237" spans="2:14"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r="238" spans="2:14"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r="239" spans="2:14"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r="240" spans="2:14"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r="241" spans="2:14"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r="242" spans="2:14"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r="243" spans="2:14"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r="244" spans="2:1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r="245" spans="2:14"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r="246" spans="2:14"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r="247" spans="2:14"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r="248" spans="2:14"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r="249" spans="2:14"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r="250" spans="2:14"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1" objects="1" scenarios="1"/>
  <autoFilter ref="A1:N1" xr:uid="{00000000-0009-0000-0000-000003000000}"/>
  <conditionalFormatting sqref="A2:N2 A3:B150 D3:N150 C3:C250">
    <cfRule type="expression" dxfId="4" priority="2">
      <formula>$J2="Yes"</formula>
    </cfRule>
  </conditionalFormatting>
  <dataValidations count="3">
    <dataValidation type="list" allowBlank="1" showInputMessage="1" showErrorMessage="1" sqref="J151:J250" xr:uid="{00000000-0002-0000-0300-000000000000}">
      <formula1>#REF!</formula1>
    </dataValidation>
    <dataValidation type="list" allowBlank="1" showInputMessage="1" sqref="G151:G250 K151:K250" xr:uid="{00000000-0002-0000-0300-000001000000}">
      <formula1>#REF!</formula1>
    </dataValidation>
    <dataValidation type="list" showInputMessage="1" sqref="D151:D250" xr:uid="{00000000-0002-0000-0300-00000200000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1"/>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baseColWidth="10" defaultColWidth="8.6640625" defaultRowHeight="15" x14ac:dyDescent="0.2"/>
  <cols>
    <col min="1" max="1" width="10.109375" customWidth="1"/>
    <col min="2" max="2" width="70.44140625" customWidth="1"/>
    <col min="3" max="3" width="15.5546875" customWidth="1"/>
    <col min="4" max="4" width="17.88671875" customWidth="1"/>
    <col min="5" max="5" width="17.88671875" bestFit="1" customWidth="1"/>
    <col min="6" max="6" width="6.6640625" customWidth="1"/>
    <col min="7" max="7" width="84.44140625" customWidth="1"/>
    <col min="8" max="8" width="2.33203125" customWidth="1"/>
    <col min="9" max="9" width="4.33203125" customWidth="1"/>
    <col min="10" max="10" width="10.33203125" customWidth="1"/>
    <col min="11" max="11" width="2.33203125" customWidth="1"/>
    <col min="12" max="12" width="4.33203125" customWidth="1"/>
    <col min="13" max="13" width="10.33203125" customWidth="1"/>
    <col min="14" max="14" width="2.33203125" customWidth="1"/>
    <col min="15" max="15" width="4.33203125" customWidth="1"/>
    <col min="16" max="16" width="12.33203125" customWidth="1"/>
    <col min="17" max="17" width="2.33203125" customWidth="1"/>
    <col min="18" max="18" width="4.33203125" customWidth="1"/>
    <col min="19" max="19" width="15.6640625" customWidth="1"/>
    <col min="20" max="20" width="2.44140625" bestFit="1" customWidth="1"/>
    <col min="21" max="21" width="3" bestFit="1" customWidth="1"/>
    <col min="22" max="22" width="11.88671875" customWidth="1"/>
    <col min="23" max="23" width="2.33203125" customWidth="1"/>
    <col min="24" max="24" width="4.33203125" customWidth="1"/>
  </cols>
  <sheetData>
    <row r="1" spans="1:24" ht="36" customHeight="1" x14ac:dyDescent="0.2">
      <c r="A1" s="33" t="str">
        <f>HLOOKUP(Introduction!$A$2,nametranslations,85,FALSE) &amp; " ("&amp;Introduction!C5 &amp;", " &amp;Introduction!C7 &amp; ")"</f>
        <v>Part A: Estimation of household wastewater generated (Italy, 2022)</v>
      </c>
      <c r="B1" s="41"/>
      <c r="C1" s="41"/>
      <c r="D1" s="41"/>
      <c r="E1" s="41"/>
      <c r="F1" s="41"/>
      <c r="G1" s="41"/>
      <c r="H1" s="41"/>
      <c r="I1" s="41"/>
      <c r="J1" s="41"/>
      <c r="K1" s="41"/>
      <c r="L1" s="41"/>
      <c r="M1" s="41"/>
      <c r="N1" s="41"/>
      <c r="O1" s="41"/>
      <c r="P1" s="41"/>
      <c r="Q1" s="41"/>
      <c r="R1" s="41"/>
      <c r="S1" s="41"/>
      <c r="T1" s="41"/>
      <c r="U1" s="41"/>
      <c r="V1" s="41"/>
      <c r="W1" s="14"/>
    </row>
    <row r="2" spans="1:24" ht="56.1" customHeight="1"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r="3" spans="1:24" ht="15.75" thickBot="1" x14ac:dyDescent="0.25">
      <c r="F3" s="15"/>
      <c r="G3" s="15"/>
      <c r="H3" s="15"/>
      <c r="I3" s="15"/>
      <c r="J3" s="15"/>
      <c r="K3" s="15"/>
      <c r="L3" s="15"/>
      <c r="M3" s="15"/>
      <c r="N3" s="15"/>
      <c r="O3" s="15"/>
      <c r="P3" s="15"/>
      <c r="Q3" s="15"/>
      <c r="R3" s="15"/>
      <c r="S3" s="16"/>
      <c r="T3" s="16"/>
    </row>
    <row r="4" spans="1:24" ht="16.5" thickBot="1"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r="5" spans="1:24" ht="15.75" x14ac:dyDescent="0.2">
      <c r="A5" s="66" t="str">
        <f>HLOOKUP(Introduction!$A$2,nametranslations,33,FALSE)</f>
        <v>Country/territory population</v>
      </c>
      <c r="B5" s="67"/>
      <c r="C5" s="100" t="s">
        <v>57</v>
      </c>
      <c r="D5" s="152" cm="1">
        <f t="array" ref="D5">v1_</f>
        <v>59037.47</v>
      </c>
      <c r="E5" s="68" t="str">
        <f>HLOOKUP(Introduction!$A$2,nametranslations,76,FALSE)</f>
        <v>Population (1000s)</v>
      </c>
      <c r="F5" s="68" t="str">
        <f>'_Data inputs (all)'!H2</f>
        <v>E</v>
      </c>
      <c r="G5" s="69"/>
      <c r="H5" s="16"/>
      <c r="I5" s="16"/>
      <c r="J5" s="16"/>
      <c r="K5" s="16"/>
      <c r="L5" s="16"/>
      <c r="M5" s="16"/>
      <c r="N5" s="16"/>
      <c r="O5" s="16"/>
      <c r="P5" s="16"/>
      <c r="Q5" s="16"/>
      <c r="R5" s="16"/>
      <c r="S5" s="16"/>
      <c r="T5" s="16"/>
    </row>
    <row r="6" spans="1:24" ht="15.75" x14ac:dyDescent="0.2">
      <c r="A6" s="70" t="str">
        <f>HLOOKUP(Introduction!$A$2,nametranslations,87,FALSE)</f>
        <v>Location of drinking water supply (proportion of the population)</v>
      </c>
      <c r="B6" s="71"/>
      <c r="C6" s="72"/>
      <c r="D6" s="72"/>
      <c r="E6" s="72"/>
      <c r="F6" s="72"/>
      <c r="G6" s="73"/>
    </row>
    <row r="7" spans="1:24" x14ac:dyDescent="0.2">
      <c r="A7" s="115"/>
      <c r="B7" s="71" t="str">
        <f>HLOOKUP(Introduction!$A$2,nametranslations,88,FALSE)</f>
        <v>On-premises*</v>
      </c>
      <c r="C7" s="101" t="s">
        <v>58</v>
      </c>
      <c r="D7" s="153">
        <f>v2_</f>
        <v>97.84</v>
      </c>
      <c r="E7" s="72" t="str">
        <f>HLOOKUP(Introduction!$A$2,nametranslations,73,FALSE)</f>
        <v>Percentage</v>
      </c>
      <c r="F7" s="72" t="str">
        <f>'_Data inputs (all)'!H3</f>
        <v>E</v>
      </c>
      <c r="G7" s="73"/>
    </row>
    <row r="8" spans="1:24" x14ac:dyDescent="0.2">
      <c r="A8" s="116"/>
      <c r="B8" s="71" t="str">
        <f>HLOOKUP(Introduction!$A$2,nametranslations,89,FALSE)</f>
        <v>Off-premises*</v>
      </c>
      <c r="C8" s="101" t="s">
        <v>59</v>
      </c>
      <c r="D8" s="153">
        <f>v3_</f>
        <v>2.16</v>
      </c>
      <c r="E8" s="72" t="str">
        <f>HLOOKUP(Introduction!$A$2,nametranslations,73,FALSE)</f>
        <v>Percentage</v>
      </c>
      <c r="F8" s="72" t="str">
        <f>'_Data inputs (all)'!H4</f>
        <v>E</v>
      </c>
      <c r="G8" s="73"/>
    </row>
    <row r="9" spans="1:24" ht="15.75" x14ac:dyDescent="0.2">
      <c r="A9" s="70" t="str">
        <f>HLOOKUP(Introduction!$A$2,nametranslations,90,FALSE)</f>
        <v>Household water used</v>
      </c>
      <c r="B9" s="71"/>
      <c r="C9" s="72"/>
      <c r="D9" s="72"/>
      <c r="E9" s="72"/>
      <c r="F9" s="72"/>
      <c r="G9" s="73"/>
    </row>
    <row r="10" spans="1:24" x14ac:dyDescent="0.2">
      <c r="A10" s="115"/>
      <c r="B10" s="71" t="str">
        <f>HLOOKUP(Introduction!$A$2,nametranslations,91,FALSE)</f>
        <v>On-premises* (average)</v>
      </c>
      <c r="C10" s="101" t="s">
        <v>60</v>
      </c>
      <c r="D10" s="154">
        <f>v4_</f>
        <v>166.30099999999999</v>
      </c>
      <c r="E10" s="72" t="str">
        <f>HLOOKUP(Introduction!$A$2,nametranslations,75,FALSE)</f>
        <v>Litres/person/day</v>
      </c>
      <c r="F10" s="72" t="str">
        <f>'_Data inputs (all)'!H5</f>
        <v>R</v>
      </c>
      <c r="G10" s="73"/>
    </row>
    <row r="11" spans="1:24" x14ac:dyDescent="0.2">
      <c r="A11" s="117"/>
      <c r="B11" s="71" t="str">
        <f>HLOOKUP(Introduction!$A$2,nametranslations,92,FALSE)</f>
        <v>Off-premises* (average)</v>
      </c>
      <c r="C11" s="101" t="s">
        <v>61</v>
      </c>
      <c r="D11" s="154">
        <f>v5_</f>
        <v>20</v>
      </c>
      <c r="E11" s="72" t="str">
        <f>HLOOKUP(Introduction!$A$2,nametranslations,75,FALSE)</f>
        <v>Litres/person/day</v>
      </c>
      <c r="F11" s="72" t="str">
        <f>'_Data inputs (all)'!H6</f>
        <v>A</v>
      </c>
      <c r="G11" s="73"/>
    </row>
    <row r="12" spans="1:24" x14ac:dyDescent="0.2">
      <c r="A12" s="116"/>
      <c r="B12" s="71" t="str">
        <f>HLOOKUP(Introduction!$A$2,nametranslations,38,FALSE)</f>
        <v>Volume of household water used</v>
      </c>
      <c r="C12" s="101" t="s">
        <v>62</v>
      </c>
      <c r="D12" s="155">
        <f>D5*D7/100*D10*365/1000000 +D5*D8/100*D11*365/1000000</f>
        <v>3515.4704516980128</v>
      </c>
      <c r="E12" s="72" t="str">
        <f>HLOOKUP(Introduction!$A$2,nametranslations,74,FALSE)</f>
        <v>Million m3/year</v>
      </c>
      <c r="F12" s="72" t="str">
        <f>'_Data inputs (all)'!H7</f>
        <v>C</v>
      </c>
      <c r="G12" s="74" t="s">
        <v>91</v>
      </c>
    </row>
    <row r="13" spans="1:24" ht="15.75" x14ac:dyDescent="0.2">
      <c r="A13" s="70" t="str">
        <f>HLOOKUP(Introduction!$A$2,nametranslations,93,FALSE)</f>
        <v>Household wastewater generated</v>
      </c>
      <c r="B13" s="71"/>
      <c r="C13" s="72"/>
      <c r="D13" s="72"/>
      <c r="E13" s="72"/>
      <c r="F13" s="72"/>
      <c r="G13" s="73"/>
    </row>
    <row r="14" spans="1:24" x14ac:dyDescent="0.2">
      <c r="A14" s="115"/>
      <c r="B14" s="71" t="str">
        <f>HLOOKUP(Introduction!$A$2,nametranslations,159,FALSE)</f>
        <v>Proportion of household water use converted into wastewater generated</v>
      </c>
      <c r="C14" s="101" t="s">
        <v>63</v>
      </c>
      <c r="D14" s="153">
        <f>v7_</f>
        <v>80</v>
      </c>
      <c r="E14" s="72" t="str">
        <f>HLOOKUP(Introduction!$A$2,nametranslations,73,FALSE)</f>
        <v>Percentage</v>
      </c>
      <c r="F14" s="72" t="str">
        <f>'_Data inputs (all)'!H8</f>
        <v>A</v>
      </c>
      <c r="G14" s="73"/>
    </row>
    <row r="15" spans="1:24" ht="15.75" thickBot="1" x14ac:dyDescent="0.25">
      <c r="A15" s="118"/>
      <c r="B15" s="75" t="str">
        <f>HLOOKUP(Introduction!$A$2,nametranslations,160,FALSE)</f>
        <v>Volume of household wastewater generated</v>
      </c>
      <c r="C15" s="102" t="s">
        <v>64</v>
      </c>
      <c r="D15" s="156">
        <f>IF('Data inputs (all)'!H9="R",v8_,D12*D14/100)</f>
        <v>2812.3763613584101</v>
      </c>
      <c r="E15" s="76" t="str">
        <f>HLOOKUP(Introduction!$A$2,nametranslations,74,FALSE)</f>
        <v>Million m3/year</v>
      </c>
      <c r="F15" s="76" t="str">
        <f>'_Data inputs (all)'!H9</f>
        <v>C</v>
      </c>
      <c r="G15" s="77" t="str">
        <f>IF('B- Generated by facility type'!G5="R",HLOOKUP(Introduction!$A$2,nametranslations,95,FALSE),IF(F15="R",'Data inputs (all)'!K9&amp;IF('Data inputs (all)'!M9="","", "; " &amp; 'Data inputs (all)'!M9),"= [6] x [7]"))</f>
        <v>= [6] x [7]</v>
      </c>
    </row>
    <row r="17" spans="1:7" x14ac:dyDescent="0.2">
      <c r="A17" s="8" t="str">
        <f>HLOOKUP(Introduction!$A$2,nametranslations,77,FALSE)</f>
        <v>Notes:</v>
      </c>
      <c r="B17" s="15" t="str">
        <f>HLOOKUP(Introduction!$A$2,nametranslations,78,FALSE)</f>
        <v>[variable numbers shown in square brackets - see links to the 'Data inputs (all)' worksheet for additional details]</v>
      </c>
    </row>
    <row r="18" spans="1:7" x14ac:dyDescent="0.2">
      <c r="A18" s="106"/>
      <c r="B18" s="15" t="str">
        <f>HLOOKUP(Introduction!$A$2,nametranslations,79,FALSE)</f>
        <v>A - Assumption</v>
      </c>
      <c r="C18" s="6"/>
      <c r="D18" s="15"/>
      <c r="E18" s="15"/>
    </row>
    <row r="19" spans="1:7" x14ac:dyDescent="0.2">
      <c r="B19" s="15" t="str">
        <f>HLOOKUP(Introduction!$A$2,nametranslations,80,FALSE)</f>
        <v>C - Internally calculated value</v>
      </c>
      <c r="C19" s="6"/>
    </row>
    <row r="20" spans="1:7" x14ac:dyDescent="0.2">
      <c r="B20" s="15" t="str">
        <f>HLOOKUP(Introduction!$A$2,nametranslations,81,FALSE)</f>
        <v>E - Estimated value based on official national statistics</v>
      </c>
      <c r="C20" s="6"/>
      <c r="D20" s="15"/>
      <c r="E20" s="15"/>
    </row>
    <row r="21" spans="1:7" x14ac:dyDescent="0.2">
      <c r="B21" s="15" t="str">
        <f>HLOOKUP(Introduction!$A$2,nametranslations,82,FALSE)</f>
        <v>R - Reported value sourced from official national statistics</v>
      </c>
      <c r="C21" s="6"/>
      <c r="D21" s="15"/>
      <c r="E21" s="15"/>
    </row>
    <row r="22" spans="1:7" x14ac:dyDescent="0.2">
      <c r="B22" s="15" t="str">
        <f>HLOOKUP(Introduction!$A$2,nametranslations,94,FALSE)</f>
        <v>* - On and off -premises referring to the location of the primary drinking water supply</v>
      </c>
      <c r="C22" s="6"/>
      <c r="D22" s="15"/>
      <c r="E22" s="15"/>
    </row>
    <row r="25" spans="1:7" x14ac:dyDescent="0.2">
      <c r="G25" s="6"/>
    </row>
    <row r="26" spans="1:7" x14ac:dyDescent="0.2">
      <c r="G26" s="6"/>
    </row>
    <row r="27" spans="1:7" x14ac:dyDescent="0.2">
      <c r="G27" s="6"/>
    </row>
    <row r="28" spans="1:7" x14ac:dyDescent="0.2">
      <c r="G28" s="6"/>
    </row>
    <row r="29" spans="1:7" x14ac:dyDescent="0.2">
      <c r="G29" s="6"/>
    </row>
    <row r="30" spans="1:7" x14ac:dyDescent="0.2">
      <c r="G30" s="6"/>
    </row>
    <row r="31" spans="1:7" x14ac:dyDescent="0.2">
      <c r="G31" s="6"/>
    </row>
    <row r="32" spans="1:7" x14ac:dyDescent="0.2">
      <c r="G32" s="6"/>
    </row>
    <row r="33" spans="7:7" x14ac:dyDescent="0.2">
      <c r="G33" s="6"/>
    </row>
    <row r="34" spans="7:7" x14ac:dyDescent="0.2">
      <c r="G34" s="6"/>
    </row>
    <row r="35" spans="7:7" x14ac:dyDescent="0.2">
      <c r="G35" s="6"/>
    </row>
    <row r="36" spans="7:7" x14ac:dyDescent="0.2">
      <c r="G36" s="6"/>
    </row>
    <row r="37" spans="7:7" x14ac:dyDescent="0.2">
      <c r="G37" s="6"/>
    </row>
    <row r="38" spans="7:7" x14ac:dyDescent="0.2">
      <c r="G38" s="6"/>
    </row>
    <row r="39" spans="7:7" x14ac:dyDescent="0.2">
      <c r="G39" s="6"/>
    </row>
    <row r="40" spans="7:7" x14ac:dyDescent="0.2">
      <c r="G40" s="6"/>
    </row>
    <row r="41" spans="7:7" x14ac:dyDescent="0.2">
      <c r="G41" s="6"/>
    </row>
    <row r="42" spans="7:7" x14ac:dyDescent="0.2">
      <c r="G42" s="6"/>
    </row>
    <row r="43" spans="7:7" x14ac:dyDescent="0.2">
      <c r="G43" s="6"/>
    </row>
    <row r="44" spans="7:7" x14ac:dyDescent="0.2">
      <c r="G44" s="6"/>
    </row>
    <row r="45" spans="7:7" x14ac:dyDescent="0.2">
      <c r="G45" s="6"/>
    </row>
    <row r="46" spans="7:7" x14ac:dyDescent="0.2">
      <c r="G46" s="6"/>
    </row>
    <row r="47" spans="7:7" x14ac:dyDescent="0.2">
      <c r="G47" s="6"/>
    </row>
    <row r="48" spans="7:7" x14ac:dyDescent="0.2">
      <c r="G48" s="6"/>
    </row>
    <row r="49" spans="7:7" x14ac:dyDescent="0.2">
      <c r="G49" s="6"/>
    </row>
    <row r="50" spans="7:7" x14ac:dyDescent="0.2">
      <c r="G50" s="6"/>
    </row>
    <row r="51" spans="7:7" x14ac:dyDescent="0.2">
      <c r="G51" s="6"/>
    </row>
    <row r="52" spans="7:7" x14ac:dyDescent="0.2">
      <c r="G52" s="6"/>
    </row>
    <row r="53" spans="7:7" x14ac:dyDescent="0.2">
      <c r="G53" s="6"/>
    </row>
    <row r="54" spans="7:7" x14ac:dyDescent="0.2">
      <c r="G54" s="6"/>
    </row>
    <row r="55" spans="7:7" x14ac:dyDescent="0.2">
      <c r="G55" s="6"/>
    </row>
    <row r="56" spans="7:7" x14ac:dyDescent="0.2">
      <c r="G56" s="6"/>
    </row>
    <row r="57" spans="7:7" x14ac:dyDescent="0.2">
      <c r="G57" s="6"/>
    </row>
    <row r="58" spans="7:7" x14ac:dyDescent="0.2">
      <c r="G58" s="6"/>
    </row>
    <row r="59" spans="7:7" x14ac:dyDescent="0.2">
      <c r="G59" s="6"/>
    </row>
    <row r="60" spans="7:7" x14ac:dyDescent="0.2">
      <c r="G60" s="6"/>
    </row>
    <row r="61" spans="7:7" x14ac:dyDescent="0.2">
      <c r="G61" s="6"/>
    </row>
    <row r="62" spans="7:7" x14ac:dyDescent="0.2">
      <c r="G62" s="6"/>
    </row>
    <row r="63" spans="7:7" x14ac:dyDescent="0.2">
      <c r="G63" s="6"/>
    </row>
    <row r="64" spans="7:7" x14ac:dyDescent="0.2">
      <c r="G64" s="6"/>
    </row>
  </sheetData>
  <sheetProtection sheet="1" objects="1" scenarios="1"/>
  <mergeCells count="2">
    <mergeCell ref="A4:B4"/>
    <mergeCell ref="A2:G2"/>
  </mergeCells>
  <conditionalFormatting sqref="A5:G14">
    <cfRule type="expression" dxfId="3" priority="24" stopIfTrue="1">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xr:uid="{00000000-0004-0000-0400-000000000000}"/>
    <hyperlink ref="C7" location="'Data inputs (all)'!C3" display="[2]" xr:uid="{00000000-0004-0000-0400-000001000000}"/>
    <hyperlink ref="C8" location="'Data inputs (all)'!C4" display="[3]" xr:uid="{00000000-0004-0000-0400-000002000000}"/>
    <hyperlink ref="C10" location="'Data inputs (all)'!C5" display="[4]" xr:uid="{00000000-0004-0000-0400-000003000000}"/>
    <hyperlink ref="C11" location="'Data inputs (all)'!C6" display="[5]" xr:uid="{00000000-0004-0000-0400-000004000000}"/>
    <hyperlink ref="C12" location="'Data inputs (all)'!C7" display="[6]" xr:uid="{00000000-0004-0000-0400-000005000000}"/>
    <hyperlink ref="C14" location="'Data inputs (all)'!C8" display="[7]" xr:uid="{00000000-0004-0000-0400-000006000000}"/>
    <hyperlink ref="C15" location="'Data inputs (all)'!C9" display="[8]" xr:uid="{00000000-0004-0000-0400-000007000000}"/>
  </hyperlink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X65"/>
  <sheetViews>
    <sheetView zoomScaleNormal="100" workbookViewId="0"/>
  </sheetViews>
  <sheetFormatPr baseColWidth="10" defaultColWidth="8.6640625" defaultRowHeight="15" x14ac:dyDescent="0.2"/>
  <cols>
    <col min="1" max="1" width="26.33203125" customWidth="1"/>
    <col min="2" max="2" width="4" customWidth="1"/>
    <col min="3" max="3" width="12.5546875" customWidth="1"/>
    <col min="4" max="4" width="2.109375" bestFit="1" customWidth="1"/>
    <col min="5" max="5" width="3.5546875" customWidth="1"/>
    <col min="6" max="6" width="17.109375" customWidth="1"/>
    <col min="7" max="7" width="2.5546875" customWidth="1"/>
    <col min="8" max="8" width="9" customWidth="1"/>
    <col min="9" max="9" width="2.44140625" bestFit="1" customWidth="1"/>
    <col min="10" max="10" width="7.33203125" bestFit="1" customWidth="1"/>
    <col min="11" max="12" width="15.6640625" customWidth="1"/>
    <col min="13" max="13" width="21.33203125" customWidth="1"/>
    <col min="14" max="15" width="15.6640625" customWidth="1"/>
    <col min="16" max="16" width="10.6640625" customWidth="1"/>
  </cols>
  <sheetData>
    <row r="1" spans="1:24" ht="33" customHeight="1" x14ac:dyDescent="0.2">
      <c r="A1" s="33" t="str">
        <f>HLOOKUP(Introduction!$A$2,nametranslations,97,FALSE) &amp; " ("&amp;Introduction!C5 &amp;", " &amp;Introduction!C7 &amp; ")"</f>
        <v>Part B: Estimation of household wastewater generated by stream (sanitation facility type) (Italy, 2022)</v>
      </c>
      <c r="B1" s="33"/>
      <c r="C1" s="33"/>
      <c r="D1" s="33"/>
      <c r="E1" s="33"/>
      <c r="F1" s="33"/>
      <c r="G1" s="33"/>
      <c r="H1" s="33"/>
      <c r="I1" s="33"/>
      <c r="J1" s="33"/>
      <c r="K1" s="33"/>
      <c r="L1" s="33"/>
      <c r="M1" s="33"/>
    </row>
    <row r="2" spans="1:24" ht="135" customHeight="1" thickBot="1"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r="3" spans="1:24" ht="51" customHeight="1" thickBot="1"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r="4" spans="1:24" ht="71.25" customHeight="1"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r="5" spans="1:24" x14ac:dyDescent="0.2">
      <c r="A5" s="19" t="str">
        <f>HLOOKUP(Introduction!$A$2,nametranslations,105,FALSE)</f>
        <v>Stream 1: Sewers</v>
      </c>
      <c r="B5" s="121">
        <v>9</v>
      </c>
      <c r="C5" s="123">
        <f>v9_/100</f>
        <v>0.96860000000000002</v>
      </c>
      <c r="D5" s="119" t="str">
        <f>'_Data inputs (all)'!H10</f>
        <v>E</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2776.8339777046276</v>
      </c>
      <c r="G5" s="28" t="str">
        <f>'_Data inputs (all)'!H15</f>
        <v>C</v>
      </c>
      <c r="H5" s="159">
        <f>F5/$F$10*100</f>
        <v>98.736215246930371</v>
      </c>
      <c r="I5" s="28" t="s">
        <v>5</v>
      </c>
      <c r="J5" s="29" t="s">
        <v>19</v>
      </c>
    </row>
    <row r="6" spans="1:24" x14ac:dyDescent="0.2">
      <c r="A6" s="19" t="str">
        <f>HLOOKUP(Introduction!$A$2,nametranslations,106,FALSE)</f>
        <v>Stream 2: Septic tanks</v>
      </c>
      <c r="B6" s="121">
        <v>10</v>
      </c>
      <c r="C6" s="123">
        <f>_xlfn.SINGLE(v10_)/100</f>
        <v>2.98E-2</v>
      </c>
      <c r="D6" s="119" t="str">
        <f>'_Data inputs (all)'!H11</f>
        <v>E</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34.990737534101847</v>
      </c>
      <c r="G6" s="28" t="str">
        <f>'_Data inputs (all)'!H16</f>
        <v>C</v>
      </c>
      <c r="H6" s="159">
        <f>F6/$F$10*100</f>
        <v>1.2441698065333235</v>
      </c>
      <c r="I6" s="28" t="s">
        <v>5</v>
      </c>
      <c r="J6" s="29" t="s">
        <v>20</v>
      </c>
    </row>
    <row r="7" spans="1:24" x14ac:dyDescent="0.2">
      <c r="A7" s="17" t="str">
        <f>HLOOKUP(Introduction!$A$2,nametranslations,107,FALSE)</f>
        <v>Other improved facilities</v>
      </c>
      <c r="B7" s="121" t="s">
        <v>65</v>
      </c>
      <c r="C7" s="123">
        <f>_xlfn.SINGLE(v11_)/100</f>
        <v>1.5E-3</v>
      </c>
      <c r="D7" s="119" t="str">
        <f>'_Data inputs (all)'!H12</f>
        <v>E</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0.51716823720000005</v>
      </c>
      <c r="G7" s="28" t="str">
        <f>'_Data inputs (all)'!H17</f>
        <v>C</v>
      </c>
      <c r="H7" s="159">
        <f>F7/$F$10*100</f>
        <v>1.8389012377781538E-2</v>
      </c>
      <c r="I7" s="28" t="s">
        <v>5</v>
      </c>
      <c r="J7" s="29" t="s">
        <v>21</v>
      </c>
    </row>
    <row r="8" spans="1:24" x14ac:dyDescent="0.2">
      <c r="A8" s="17" t="str">
        <f>HLOOKUP(Introduction!$A$2,nametranslations,108,FALSE)</f>
        <v>Unimproved facilities</v>
      </c>
      <c r="B8" s="121" t="s">
        <v>66</v>
      </c>
      <c r="C8" s="123">
        <f>_xlfn.SINGLE(v12_)/100</f>
        <v>1E-4</v>
      </c>
      <c r="D8" s="119" t="str">
        <f>'_Data inputs (all)'!H13</f>
        <v>E</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3.4477882479999993E-2</v>
      </c>
      <c r="G8" s="28" t="str">
        <f>'_Data inputs (all)'!H18</f>
        <v>C</v>
      </c>
      <c r="H8" s="159">
        <f>F8/$F$10*100</f>
        <v>1.225934158518769E-3</v>
      </c>
      <c r="I8" s="28" t="s">
        <v>5</v>
      </c>
      <c r="J8" s="29" t="s">
        <v>22</v>
      </c>
    </row>
    <row r="9" spans="1:24" ht="15.75" thickBot="1" x14ac:dyDescent="0.25">
      <c r="A9" s="18" t="str">
        <f>HLOOKUP(Introduction!$A$2,nametranslations,109,FALSE)</f>
        <v>Open defecation</v>
      </c>
      <c r="B9" s="122" t="s">
        <v>67</v>
      </c>
      <c r="C9" s="124">
        <f>_xlfn.SINGLE(v13_)/100</f>
        <v>0</v>
      </c>
      <c r="D9" s="120" t="str">
        <f>'_Data inputs (all)'!H14</f>
        <v>E</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t="str">
        <f>'_Data inputs (all)'!H19</f>
        <v>C</v>
      </c>
      <c r="H9" s="159">
        <f>F9/$F$10*100</f>
        <v>0</v>
      </c>
      <c r="I9" s="28" t="s">
        <v>5</v>
      </c>
      <c r="J9" s="30" t="s">
        <v>23</v>
      </c>
    </row>
    <row r="10" spans="1:24" ht="16.5" thickBot="1" x14ac:dyDescent="0.25">
      <c r="A10" s="9"/>
      <c r="C10" s="9"/>
      <c r="D10" s="10" t="str">
        <f>HLOOKUP(Introduction!$A$2,nametranslations,182,FALSE)</f>
        <v>Total:</v>
      </c>
      <c r="E10" s="126" t="s">
        <v>64</v>
      </c>
      <c r="F10" s="158">
        <f>SUM(F5:F9)</f>
        <v>2812.3763613584097</v>
      </c>
      <c r="G10" s="31" t="str">
        <f>'_Data inputs (all)'!H9</f>
        <v>C</v>
      </c>
      <c r="H10" s="160">
        <f>SUM(H5:H9)</f>
        <v>99.999999999999986</v>
      </c>
      <c r="I10" s="32" t="s">
        <v>5</v>
      </c>
    </row>
    <row r="11" spans="1:24" x14ac:dyDescent="0.2">
      <c r="F11" s="169"/>
    </row>
    <row r="12" spans="1:24" x14ac:dyDescent="0.2">
      <c r="A12" s="6" t="str">
        <f>HLOOKUP(Introduction!$A$2,nametranslations,110,FALSE)</f>
        <v>Data requirements for a country estimate:</v>
      </c>
    </row>
    <row r="13" spans="1:24"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r="14" spans="1:2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r="17" spans="1:15"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r="18" spans="1:15" x14ac:dyDescent="0.2">
      <c r="B18" s="6"/>
      <c r="C18" s="15" t="str">
        <f>HLOOKUP(Introduction!$A$2,nametranslations,79,FALSE)</f>
        <v>A - Assumption</v>
      </c>
      <c r="D18" s="6"/>
      <c r="E18" s="6"/>
      <c r="F18" s="6"/>
      <c r="G18" s="6"/>
      <c r="H18" s="6"/>
      <c r="I18" s="6"/>
      <c r="J18" s="6"/>
      <c r="K18" s="6"/>
      <c r="L18" s="6"/>
    </row>
    <row r="19" spans="1:15" x14ac:dyDescent="0.2">
      <c r="B19" s="6"/>
      <c r="C19" s="15" t="str">
        <f>HLOOKUP(Introduction!$A$2,nametranslations,80,FALSE)</f>
        <v>C - Internally calculated value</v>
      </c>
      <c r="D19" s="6"/>
      <c r="E19" s="6"/>
      <c r="F19" s="6"/>
      <c r="G19" s="6"/>
      <c r="H19" s="6"/>
      <c r="I19" s="6"/>
      <c r="J19" s="6"/>
      <c r="K19" s="6"/>
      <c r="L19" s="6"/>
    </row>
    <row r="20" spans="1:15" x14ac:dyDescent="0.2">
      <c r="C20" s="15" t="str">
        <f>HLOOKUP(Introduction!$A$2,nametranslations,81,FALSE)</f>
        <v>E - Estimated value based on official national statistics</v>
      </c>
      <c r="D20" s="6"/>
    </row>
    <row r="21" spans="1:15" x14ac:dyDescent="0.2">
      <c r="C21" s="15" t="str">
        <f>HLOOKUP(Introduction!$A$2,nametranslations,82,FALSE)</f>
        <v>R - Reported value sourced from official national statistics</v>
      </c>
      <c r="D21" s="6"/>
    </row>
    <row r="22" spans="1:15" x14ac:dyDescent="0.2">
      <c r="C22" s="7"/>
      <c r="D22" s="6"/>
    </row>
    <row r="23" spans="1:15" x14ac:dyDescent="0.2">
      <c r="C23" s="7"/>
      <c r="D23" s="26"/>
    </row>
    <row r="26" spans="1:15" x14ac:dyDescent="0.2">
      <c r="O26" s="6"/>
    </row>
    <row r="27" spans="1:15" x14ac:dyDescent="0.2">
      <c r="O27" s="6"/>
    </row>
    <row r="28" spans="1:15" x14ac:dyDescent="0.2">
      <c r="O28" s="6"/>
    </row>
    <row r="29" spans="1:15" x14ac:dyDescent="0.2">
      <c r="O29" s="6"/>
    </row>
    <row r="30" spans="1:15" x14ac:dyDescent="0.2">
      <c r="O30" s="6"/>
    </row>
    <row r="31" spans="1:15" x14ac:dyDescent="0.2">
      <c r="O31" s="6"/>
    </row>
    <row r="32" spans="1:15" x14ac:dyDescent="0.2">
      <c r="O32" s="6"/>
    </row>
    <row r="33" spans="15:15" x14ac:dyDescent="0.2">
      <c r="O33" s="6"/>
    </row>
    <row r="34" spans="15:15" x14ac:dyDescent="0.2">
      <c r="O34" s="6"/>
    </row>
    <row r="35" spans="15:15" x14ac:dyDescent="0.2">
      <c r="O35" s="6"/>
    </row>
    <row r="36" spans="15:15" x14ac:dyDescent="0.2">
      <c r="O36" s="6"/>
    </row>
    <row r="37" spans="15:15" x14ac:dyDescent="0.2">
      <c r="O37" s="6"/>
    </row>
    <row r="38" spans="15:15" x14ac:dyDescent="0.2">
      <c r="O38" s="6"/>
    </row>
    <row r="39" spans="15:15" x14ac:dyDescent="0.2">
      <c r="O39" s="6"/>
    </row>
    <row r="40" spans="15:15" x14ac:dyDescent="0.2">
      <c r="O40" s="6"/>
    </row>
    <row r="41" spans="15:15" x14ac:dyDescent="0.2">
      <c r="O41" s="6"/>
    </row>
    <row r="42" spans="15:15" x14ac:dyDescent="0.2">
      <c r="O42" s="6"/>
    </row>
    <row r="43" spans="15:15" x14ac:dyDescent="0.2">
      <c r="O43" s="6"/>
    </row>
    <row r="44" spans="15:15" x14ac:dyDescent="0.2">
      <c r="O44" s="6"/>
    </row>
    <row r="45" spans="15:15" x14ac:dyDescent="0.2">
      <c r="O45" s="6"/>
    </row>
    <row r="46" spans="15:15" x14ac:dyDescent="0.2">
      <c r="O46" s="6"/>
    </row>
    <row r="47" spans="15:15" x14ac:dyDescent="0.2">
      <c r="O47" s="6"/>
    </row>
    <row r="48" spans="15:15" x14ac:dyDescent="0.2">
      <c r="O48" s="6"/>
    </row>
    <row r="49" spans="15:15" x14ac:dyDescent="0.2">
      <c r="O49" s="6"/>
    </row>
    <row r="50" spans="15:15" x14ac:dyDescent="0.2">
      <c r="O50" s="6"/>
    </row>
    <row r="51" spans="15:15" x14ac:dyDescent="0.2">
      <c r="O51" s="6"/>
    </row>
    <row r="52" spans="15:15" x14ac:dyDescent="0.2">
      <c r="O52" s="6"/>
    </row>
    <row r="53" spans="15:15" x14ac:dyDescent="0.2">
      <c r="O53" s="6"/>
    </row>
    <row r="54" spans="15:15" x14ac:dyDescent="0.2">
      <c r="O54" s="6"/>
    </row>
    <row r="55" spans="15:15" x14ac:dyDescent="0.2">
      <c r="O55" s="6"/>
    </row>
    <row r="56" spans="15:15" x14ac:dyDescent="0.2">
      <c r="O56" s="6"/>
    </row>
    <row r="57" spans="15:15" x14ac:dyDescent="0.2">
      <c r="O57" s="6"/>
    </row>
    <row r="58" spans="15:15" x14ac:dyDescent="0.2">
      <c r="O58" s="6"/>
    </row>
    <row r="59" spans="15:15" x14ac:dyDescent="0.2">
      <c r="O59" s="6"/>
    </row>
    <row r="60" spans="15:15" x14ac:dyDescent="0.2">
      <c r="O60" s="6"/>
    </row>
    <row r="61" spans="15:15" x14ac:dyDescent="0.2">
      <c r="O61" s="6"/>
    </row>
    <row r="62" spans="15:15" x14ac:dyDescent="0.2">
      <c r="O62" s="6"/>
    </row>
    <row r="63" spans="15:15" x14ac:dyDescent="0.2">
      <c r="O63" s="6"/>
    </row>
    <row r="64" spans="15:15" x14ac:dyDescent="0.2">
      <c r="O64" s="6"/>
    </row>
    <row r="65" spans="15:15" x14ac:dyDescent="0.2">
      <c r="O65" s="6"/>
    </row>
  </sheetData>
  <sheetProtection sheet="1" objects="1" scenarios="1"/>
  <mergeCells count="7">
    <mergeCell ref="A13:M14"/>
    <mergeCell ref="A2:M2"/>
    <mergeCell ref="B4:D4"/>
    <mergeCell ref="A3:D3"/>
    <mergeCell ref="E3:J3"/>
    <mergeCell ref="E4:G4"/>
    <mergeCell ref="H4:J4"/>
  </mergeCells>
  <hyperlinks>
    <hyperlink ref="B7" location="'Data inputs (all)'!C12" display="[11]" xr:uid="{00000000-0004-0000-0500-000000000000}"/>
    <hyperlink ref="B8" location="'Data inputs (all)'!C13" display="[12]" xr:uid="{00000000-0004-0000-0500-000001000000}"/>
    <hyperlink ref="B9" location="'Data inputs (all)'!C14" display="[13]" xr:uid="{00000000-0004-0000-0500-000002000000}"/>
    <hyperlink ref="E5" location="'Data inputs (all)'!C15" display="[14]" xr:uid="{00000000-0004-0000-0500-000003000000}"/>
    <hyperlink ref="E6" location="'Data inputs (all)'!C16" display="[15]" xr:uid="{00000000-0004-0000-0500-000004000000}"/>
    <hyperlink ref="E7" location="'Data inputs (all)'!C17" display="[16]" xr:uid="{00000000-0004-0000-0500-000005000000}"/>
    <hyperlink ref="E8" location="'Data inputs (all)'!C18" display="[17]" xr:uid="{00000000-0004-0000-0500-000006000000}"/>
    <hyperlink ref="E9" location="'Data inputs (all)'!C19" display="[18]" xr:uid="{00000000-0004-0000-0500-000007000000}"/>
    <hyperlink ref="E10" location="'Data inputs (all)'!C9" display="[8]" xr:uid="{00000000-0004-0000-0500-000008000000}"/>
    <hyperlink ref="B6" location="'Data inputs (all)'!C11" display="'Data inputs (all)'!C11" xr:uid="{00000000-0004-0000-0500-000009000000}"/>
    <hyperlink ref="B5" location="'Data inputs (all)'!C10" display="'Data inputs (all)'!C10" xr:uid="{00000000-0004-0000-0500-00000A000000}"/>
  </hyperlink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ignoredErrors>
    <ignoredError sqref="G10"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1"/>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baseColWidth="10" defaultColWidth="8.6640625" defaultRowHeight="15" x14ac:dyDescent="0.2"/>
  <cols>
    <col min="1" max="1" width="11.33203125" customWidth="1"/>
    <col min="2" max="2" width="61.44140625" customWidth="1"/>
    <col min="3" max="3" width="15.44140625" customWidth="1"/>
    <col min="4" max="5" width="16.5546875" customWidth="1"/>
    <col min="6" max="6" width="7.5546875" customWidth="1"/>
    <col min="7" max="7" width="75" customWidth="1"/>
  </cols>
  <sheetData>
    <row r="1" spans="1:7" ht="36" customHeight="1" x14ac:dyDescent="0.2">
      <c r="A1" s="27" t="str">
        <f>HLOOKUP(Introduction!$A$2,nametranslations,115,FALSE)  &amp; " ("&amp;Introduction!C5 &amp;", " &amp;Introduction!C7 &amp; ")"</f>
        <v>Part C: Household wastewater management chain (Italy, 2022)</v>
      </c>
      <c r="B1" s="27"/>
      <c r="C1" s="27"/>
      <c r="D1" s="27"/>
      <c r="E1" s="27"/>
      <c r="F1" s="27"/>
      <c r="G1" s="27"/>
    </row>
    <row r="2" spans="1:7" ht="48.95" customHeight="1" thickBot="1"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r="3" spans="1:7" ht="35.1" customHeight="1" thickBot="1"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r="4" spans="1:7" ht="15.75" x14ac:dyDescent="0.2">
      <c r="A4" s="95" t="str">
        <f>HLOOKUP(Introduction!$A$2,nametranslations,117,FALSE)</f>
        <v>Stream 1: Sewer wastewater flows</v>
      </c>
      <c r="B4" s="65"/>
      <c r="C4" s="79"/>
      <c r="D4" s="80"/>
      <c r="E4" s="80"/>
      <c r="F4" s="81"/>
      <c r="G4" s="82"/>
    </row>
    <row r="5" spans="1:7" x14ac:dyDescent="0.2">
      <c r="A5" s="111"/>
      <c r="B5" s="177" t="str">
        <f>HLOOKUP(Introduction!$A$2,nametranslations,118,FALSE)</f>
        <v>Volume of sewer wastewater generated</v>
      </c>
      <c r="C5" s="103" t="s">
        <v>27</v>
      </c>
      <c r="D5" s="161">
        <f>'B- Generated by facility type'!F5</f>
        <v>2776.8339777046276</v>
      </c>
      <c r="E5" s="72" t="str">
        <f>HLOOKUP(Introduction!$A$2,nametranslations,74,FALSE)</f>
        <v>Million m3/year</v>
      </c>
      <c r="F5" s="86" t="str">
        <f>'Data inputs (all)'!H15</f>
        <v>C</v>
      </c>
      <c r="G5" s="87" t="s">
        <v>96</v>
      </c>
    </row>
    <row r="6" spans="1:7" x14ac:dyDescent="0.2">
      <c r="A6" s="112"/>
      <c r="B6" s="177" t="str">
        <f>HLOOKUP(Introduction!$A$2,nametranslations,119,FALSE)</f>
        <v>Sewer wastewater as a proportion of total household wastewater generated</v>
      </c>
      <c r="C6" s="88" t="s">
        <v>93</v>
      </c>
      <c r="D6" s="162">
        <f>'B- Generated by facility type'!F5/'B- Generated by facility type'!F10*100</f>
        <v>98.736215246930371</v>
      </c>
      <c r="E6" s="72" t="str">
        <f>HLOOKUP(Introduction!$A$2,nametranslations,73,FALSE)</f>
        <v>Percentage</v>
      </c>
      <c r="F6" s="86" t="s">
        <v>5</v>
      </c>
      <c r="G6" s="90" t="s">
        <v>94</v>
      </c>
    </row>
    <row r="7" spans="1:7" x14ac:dyDescent="0.2">
      <c r="A7" s="112"/>
      <c r="B7" s="177" t="str">
        <f>HLOOKUP(Introduction!$A$2,nametranslations,120,FALSE)</f>
        <v>Proportion delivered to treatment plants</v>
      </c>
      <c r="C7" s="103" t="s">
        <v>71</v>
      </c>
      <c r="D7" s="163">
        <f>_xlfn.SINGLE(v19_)</f>
        <v>79.726654052734375</v>
      </c>
      <c r="E7" s="72" t="str">
        <f>HLOOKUP(Introduction!$A$2,nametranslations,73,FALSE)</f>
        <v>Percentage</v>
      </c>
      <c r="F7" s="91" t="str">
        <f>'_Data inputs (all)'!H20</f>
        <v>R</v>
      </c>
      <c r="G7" s="92"/>
    </row>
    <row r="8" spans="1:7" ht="30" x14ac:dyDescent="0.2">
      <c r="A8" s="112"/>
      <c r="B8" s="177" t="str">
        <f>HLOOKUP(Introduction!$A$2,nametranslations,121,FALSE)</f>
        <v>Proportion of delivered that is safely treated (by compliance) at treatment plants</v>
      </c>
      <c r="C8" s="103" t="s">
        <v>72</v>
      </c>
      <c r="D8" s="163">
        <f>_xlfn.SINGLE(IF(ISBLANK(_xlfn.SINGLE(v20_)),"",v20_))</f>
        <v>88.459981104062607</v>
      </c>
      <c r="E8" s="72" t="str">
        <f>HLOOKUP(Introduction!$A$2,nametranslations,73,FALSE)</f>
        <v>Percentage</v>
      </c>
      <c r="F8" s="91" t="str">
        <f>'_Data inputs (all)'!H21</f>
        <v>R</v>
      </c>
      <c r="G8" s="92"/>
    </row>
    <row r="9" spans="1:7" ht="30"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t="str">
        <f>'_Data inputs (all)'!H22</f>
        <v/>
      </c>
      <c r="G9" s="92"/>
    </row>
    <row r="10" spans="1:7" ht="15.75" x14ac:dyDescent="0.2">
      <c r="A10" s="94" t="str">
        <f>HLOOKUP(Introduction!$A$2,nametranslations,123,FALSE)</f>
        <v>Stream 2: Septic tank wastewater flows</v>
      </c>
      <c r="B10" s="83"/>
      <c r="C10" s="84"/>
      <c r="D10" s="85"/>
      <c r="E10" s="85"/>
      <c r="F10" s="86"/>
      <c r="G10" s="87"/>
    </row>
    <row r="11" spans="1:7" x14ac:dyDescent="0.2">
      <c r="A11" s="111"/>
      <c r="B11" s="177" t="str">
        <f>HLOOKUP(Introduction!$A$2,nametranslations,124,FALSE)</f>
        <v>Volume of septic tank wastewater generated</v>
      </c>
      <c r="C11" s="103" t="s">
        <v>28</v>
      </c>
      <c r="D11" s="161">
        <f>'B- Generated by facility type'!F6</f>
        <v>34.990737534101847</v>
      </c>
      <c r="E11" s="72" t="str">
        <f>HLOOKUP(Introduction!$A$2,nametranslations,74,FALSE)</f>
        <v>Million m3/year</v>
      </c>
      <c r="F11" s="86" t="str">
        <f>'_Data inputs (all)'!H16</f>
        <v>C</v>
      </c>
      <c r="G11" s="87" t="s">
        <v>96</v>
      </c>
    </row>
    <row r="12" spans="1:7" ht="30" x14ac:dyDescent="0.2">
      <c r="A12" s="112"/>
      <c r="B12" s="177" t="str">
        <f>HLOOKUP(Introduction!$A$2,nametranslations,125,FALSE)</f>
        <v>Septic tank wastewater as a proportion of total household wastewater generated</v>
      </c>
      <c r="C12" s="88" t="s">
        <v>93</v>
      </c>
      <c r="D12" s="162">
        <f>'B- Generated by facility type'!F6/'B- Generated by facility type'!F10*100</f>
        <v>1.2441698065333235</v>
      </c>
      <c r="E12" s="72" t="str">
        <f>HLOOKUP(Introduction!$A$2,nametranslations,73,FALSE)</f>
        <v>Percentage</v>
      </c>
      <c r="F12" s="86" t="s">
        <v>5</v>
      </c>
      <c r="G12" s="90" t="s">
        <v>95</v>
      </c>
    </row>
    <row r="13" spans="1:7" x14ac:dyDescent="0.2">
      <c r="A13" s="113"/>
      <c r="B13" s="177" t="str">
        <f>HLOOKUP(Introduction!$A$2,nametranslations,126,FALSE)</f>
        <v>Proportion of tanks with wastewater collected and contained</v>
      </c>
      <c r="C13" s="103" t="s">
        <v>29</v>
      </c>
      <c r="D13" s="163">
        <f>_xlfn.SINGLE(v22_)</f>
        <v>50</v>
      </c>
      <c r="E13" s="72" t="str">
        <f>HLOOKUP(Introduction!$A$2,nametranslations,73,FALSE)</f>
        <v>Percentage</v>
      </c>
      <c r="F13" s="91" t="str">
        <f>'_Data inputs (all)'!H23</f>
        <v>A</v>
      </c>
      <c r="G13" s="92"/>
    </row>
    <row r="14" spans="1:7" ht="15.75" x14ac:dyDescent="0.2">
      <c r="A14" s="94" t="str">
        <f>HLOOKUP(Introduction!$A$2,nametranslations,127,FALSE)</f>
        <v>Stream 2a: Septic tank wastewater treatment and off-site disposal</v>
      </c>
      <c r="B14" s="83"/>
      <c r="C14" s="84"/>
      <c r="D14" s="164"/>
      <c r="E14" s="85"/>
      <c r="F14" s="86"/>
      <c r="G14" s="87"/>
    </row>
    <row r="15" spans="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t="str">
        <f>'_Data inputs (all)'!H25</f>
        <v>A</v>
      </c>
      <c r="G15" s="92"/>
    </row>
    <row r="16" spans="1:7" x14ac:dyDescent="0.2">
      <c r="A16" s="112"/>
      <c r="B16" s="177" t="str">
        <f>HLOOKUP(Introduction!$A$2,nametranslations,129,FALSE)</f>
        <v>Proportion of tanks with faecal sludge emptied and removed off-site</v>
      </c>
      <c r="C16" s="103" t="s">
        <v>32</v>
      </c>
      <c r="D16" s="163">
        <f>_xlfn.SINGLE(v25_)</f>
        <v>50</v>
      </c>
      <c r="E16" s="72" t="str">
        <f>HLOOKUP(Introduction!$A$2,nametranslations,73,FALSE)</f>
        <v>Percentage</v>
      </c>
      <c r="F16" s="91" t="str">
        <f>'_Data inputs (all)'!H26</f>
        <v>A</v>
      </c>
      <c r="G16" s="92"/>
    </row>
    <row r="17" spans="1:7" ht="30" x14ac:dyDescent="0.2">
      <c r="A17" s="112"/>
      <c r="B17" s="177" t="str">
        <f>HLOOKUP(Introduction!$A$2,nametranslations,130,FALSE)</f>
        <v>Proportion of tanks with faecal sludge removed off-site and delivered to off-site treatment plants</v>
      </c>
      <c r="C17" s="103" t="s">
        <v>34</v>
      </c>
      <c r="D17" s="163">
        <f>_xlfn.SINGLE(v27_)</f>
        <v>100</v>
      </c>
      <c r="E17" s="72" t="str">
        <f>HLOOKUP(Introduction!$A$2,nametranslations,73,FALSE)</f>
        <v>Percentage</v>
      </c>
      <c r="F17" s="91" t="str">
        <f>'_Data inputs (all)'!H28</f>
        <v>A</v>
      </c>
      <c r="G17" s="92"/>
    </row>
    <row r="18" spans="1:7" ht="30" x14ac:dyDescent="0.2">
      <c r="A18" s="113"/>
      <c r="B18" s="177" t="str">
        <f>HLOOKUP(Introduction!$A$2,nametranslations,131,FALSE)</f>
        <v>Proportion of tanks with faecal sludge delivered to and safely treated at off-site treatment plants</v>
      </c>
      <c r="C18" s="103" t="s">
        <v>35</v>
      </c>
      <c r="D18" s="163">
        <f>_xlfn.SINGLE(v28_)</f>
        <v>88.459981104062607</v>
      </c>
      <c r="E18" s="72" t="str">
        <f>HLOOKUP(Introduction!$A$2,nametranslations,73,FALSE)</f>
        <v>Percentage</v>
      </c>
      <c r="F18" s="93" t="str">
        <f>'_Data inputs (all)'!H29</f>
        <v>A</v>
      </c>
      <c r="G18" s="92"/>
    </row>
    <row r="19" spans="1:7" ht="15.75" x14ac:dyDescent="0.2">
      <c r="A19" s="94" t="str">
        <f>HLOOKUP(Introduction!$A$2,nametranslations,132,FALSE)</f>
        <v>Stream 2b: Septic tank wastewater treatment and on-site disposal</v>
      </c>
      <c r="B19" s="83"/>
      <c r="C19" s="84"/>
      <c r="D19" s="164"/>
      <c r="E19" s="85"/>
      <c r="F19" s="86"/>
      <c r="G19" s="87"/>
    </row>
    <row r="20" spans="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t="str">
        <f>'_Data inputs (all)'!H24</f>
        <v>A</v>
      </c>
      <c r="G20" s="92"/>
    </row>
    <row r="21" spans="1:7" ht="15.75" thickBot="1" x14ac:dyDescent="0.25">
      <c r="A21" s="114"/>
      <c r="B21" s="178" t="str">
        <f>HLOOKUP(Introduction!$A$2,nametranslations,134,FALSE)</f>
        <v>Proportion of tanks with faecal sludge not yet emptied</v>
      </c>
      <c r="C21" s="104" t="s">
        <v>33</v>
      </c>
      <c r="D21" s="165">
        <f>_xlfn.SINGLE(v26_)</f>
        <v>50</v>
      </c>
      <c r="E21" s="96" t="str">
        <f>HLOOKUP(Introduction!$A$2,nametranslations,73,FALSE)</f>
        <v>Percentage</v>
      </c>
      <c r="F21" s="97" t="str">
        <f>'_Data inputs (all)'!H27</f>
        <v>A</v>
      </c>
      <c r="G21" s="98"/>
    </row>
    <row r="22" spans="1:7" x14ac:dyDescent="0.2">
      <c r="F22" s="175" t="str">
        <f>IF(F8="R","R",IF(F9="R","R",""))</f>
        <v>R</v>
      </c>
    </row>
    <row r="23" spans="1:7" x14ac:dyDescent="0.2">
      <c r="A23" s="22" t="str">
        <f>HLOOKUP(Introduction!$A$2,nametranslations,135,FALSE)</f>
        <v>Are data sufficient to compute a country estimate?</v>
      </c>
      <c r="B23" s="22"/>
      <c r="C23" s="22"/>
      <c r="D23" s="12"/>
      <c r="E23" s="12"/>
      <c r="F23" s="12"/>
      <c r="G23" s="12"/>
    </row>
    <row r="24" spans="1:7" x14ac:dyDescent="0.2">
      <c r="A24" s="12"/>
      <c r="B24" s="12"/>
      <c r="C24" s="12"/>
      <c r="D24" s="12"/>
      <c r="E24" s="12"/>
      <c r="F24" s="12"/>
      <c r="G24" s="12"/>
    </row>
    <row r="25" spans="1:7" ht="32.1" customHeight="1" x14ac:dyDescent="0.2">
      <c r="A25" s="200" t="str">
        <f>IF(D5&gt;=D11,IF(F22&lt;&gt;"",HLOOKUP(Introduction!$A$2,nametranslations,136,FALSE),HLOOKUP(Introduction!$A$2,nametranslations,137,FALSE)),IF(F21&lt;&gt;"A",HLOOKUP(Introduction!$A$2,nametranslations,138,FALSE),HLOOKUP(Introduction!$A$2,nametranslations,139,FALSE)))</f>
        <v>Yes, since the volume of sewer wastewater generated [14] is greater than the volume of septic tank wastewater generated [15], and data on sewer wastewater treatment performance [20]/[21] are reported</v>
      </c>
      <c r="B25" s="200"/>
      <c r="C25" s="200"/>
      <c r="D25" s="200"/>
      <c r="E25" s="200"/>
      <c r="F25" s="200"/>
      <c r="G25" s="200"/>
    </row>
    <row r="26" spans="1:7"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r="27" spans="1:7" x14ac:dyDescent="0.2">
      <c r="B27" s="15" t="str">
        <f>HLOOKUP(Introduction!$A$2,nametranslations,79,FALSE)</f>
        <v>A - Assumption</v>
      </c>
      <c r="E27" s="6"/>
      <c r="F27" s="6"/>
      <c r="G27" s="11"/>
    </row>
    <row r="28" spans="1:7" x14ac:dyDescent="0.2">
      <c r="B28" s="15" t="str">
        <f>HLOOKUP(Introduction!$A$2,nametranslations,80,FALSE)</f>
        <v>C - Internally calculated value</v>
      </c>
      <c r="E28" s="6"/>
      <c r="F28" s="6"/>
      <c r="G28" s="7"/>
    </row>
    <row r="29" spans="1:7" x14ac:dyDescent="0.2">
      <c r="B29" s="15" t="str">
        <f>HLOOKUP(Introduction!$A$2,nametranslations,81,FALSE)</f>
        <v>E - Estimated value based on official national statistics</v>
      </c>
      <c r="E29" s="6"/>
      <c r="F29" s="6"/>
      <c r="G29" s="6"/>
    </row>
    <row r="30" spans="1:7" x14ac:dyDescent="0.2">
      <c r="B30" s="15" t="str">
        <f>HLOOKUP(Introduction!$A$2,nametranslations,82,FALSE)</f>
        <v>R - Reported value sourced from official national statistics</v>
      </c>
      <c r="E30" s="6"/>
      <c r="F30" s="6"/>
      <c r="G30" s="11"/>
    </row>
    <row r="32" spans="1:7" x14ac:dyDescent="0.2">
      <c r="B32" s="6"/>
    </row>
    <row r="33" spans="2:2" x14ac:dyDescent="0.2">
      <c r="B33" s="6"/>
    </row>
    <row r="34" spans="2:2" x14ac:dyDescent="0.2">
      <c r="B34" s="6"/>
    </row>
    <row r="35" spans="2:2" x14ac:dyDescent="0.2">
      <c r="B35" s="6"/>
    </row>
    <row r="36" spans="2:2" x14ac:dyDescent="0.2">
      <c r="B36" s="6"/>
    </row>
    <row r="37" spans="2:2" x14ac:dyDescent="0.2">
      <c r="B37" s="6"/>
    </row>
    <row r="38" spans="2:2" x14ac:dyDescent="0.2">
      <c r="B38" s="6"/>
    </row>
    <row r="39" spans="2:2" x14ac:dyDescent="0.2">
      <c r="B39" s="6"/>
    </row>
    <row r="40" spans="2:2" x14ac:dyDescent="0.2">
      <c r="B40" s="6"/>
    </row>
    <row r="41" spans="2:2" x14ac:dyDescent="0.2">
      <c r="B41" s="6"/>
    </row>
    <row r="42" spans="2:2" x14ac:dyDescent="0.2">
      <c r="B42" s="6"/>
    </row>
    <row r="43" spans="2:2" x14ac:dyDescent="0.2">
      <c r="B43" s="6"/>
    </row>
    <row r="44" spans="2:2" x14ac:dyDescent="0.2">
      <c r="B44" s="6"/>
    </row>
    <row r="45" spans="2:2" x14ac:dyDescent="0.2">
      <c r="B45" s="6"/>
    </row>
    <row r="46" spans="2:2" x14ac:dyDescent="0.2">
      <c r="B46" s="6"/>
    </row>
    <row r="47" spans="2:2" x14ac:dyDescent="0.2">
      <c r="B47" s="6"/>
    </row>
    <row r="48" spans="2:2" x14ac:dyDescent="0.2">
      <c r="B48" s="6"/>
    </row>
    <row r="49" spans="2:2" x14ac:dyDescent="0.2">
      <c r="B49" s="6"/>
    </row>
    <row r="50" spans="2:2" x14ac:dyDescent="0.2">
      <c r="B50" s="6"/>
    </row>
    <row r="51" spans="2:2" x14ac:dyDescent="0.2">
      <c r="B51" s="6"/>
    </row>
    <row r="52" spans="2:2" x14ac:dyDescent="0.2">
      <c r="B52" s="6"/>
    </row>
    <row r="53" spans="2:2" x14ac:dyDescent="0.2">
      <c r="B53" s="6"/>
    </row>
  </sheetData>
  <sheetProtection sheet="1" objects="1" scenarios="1"/>
  <mergeCells count="3">
    <mergeCell ref="A2:G2"/>
    <mergeCell ref="A3:B3"/>
    <mergeCell ref="A25:G25"/>
  </mergeCells>
  <hyperlinks>
    <hyperlink ref="C5" location="'Data inputs (all)'!C15" display="[14]" xr:uid="{00000000-0004-0000-0600-000000000000}"/>
    <hyperlink ref="C7" location="'Data inputs (all)'!C20" display="[19]" xr:uid="{00000000-0004-0000-0600-000001000000}"/>
    <hyperlink ref="C9" location="'Data inputs (all)'!C22" display="[21]" xr:uid="{00000000-0004-0000-0600-000002000000}"/>
    <hyperlink ref="C11" location="'Data inputs (all)'!C16" display="[15]" xr:uid="{00000000-0004-0000-0600-000003000000}"/>
    <hyperlink ref="C13" location="'Data inputs (all)'!C23" display="[22]" xr:uid="{00000000-0004-0000-0600-000004000000}"/>
    <hyperlink ref="C15" location="'Data inputs (all)'!C25" display="[24]" xr:uid="{00000000-0004-0000-0600-000005000000}"/>
    <hyperlink ref="C16" location="'Data inputs (all)'!C26" display="[25]" xr:uid="{00000000-0004-0000-0600-000006000000}"/>
    <hyperlink ref="C17" location="'Data inputs (all)'!C28" display="[27]" xr:uid="{00000000-0004-0000-0600-000007000000}"/>
    <hyperlink ref="C18" location="'Data inputs (all)'!C29" display="[28]" xr:uid="{00000000-0004-0000-0600-000008000000}"/>
    <hyperlink ref="C20" location="'Data inputs (all)'!C24" display="[23]" xr:uid="{00000000-0004-0000-0600-000009000000}"/>
    <hyperlink ref="C21" location="'Data inputs (all)'!C27" display="[26]" xr:uid="{00000000-0004-0000-0600-00000A000000}"/>
    <hyperlink ref="C8" location="'Data inputs (all)'!C21" display="[20]" xr:uid="{00000000-0004-0000-0600-00000B000000}"/>
  </hyperlink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1"/>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baseColWidth="10" defaultColWidth="8.6640625" defaultRowHeight="15" x14ac:dyDescent="0.2"/>
  <cols>
    <col min="1" max="1" width="37.88671875" customWidth="1"/>
    <col min="2" max="2" width="21" customWidth="1"/>
    <col min="3" max="3" width="2.6640625" customWidth="1"/>
    <col min="4" max="4" width="23.88671875" bestFit="1" customWidth="1"/>
    <col min="5" max="5" width="17" customWidth="1"/>
    <col min="6" max="6" width="2.5546875" customWidth="1"/>
    <col min="7" max="7" width="17.6640625" customWidth="1"/>
    <col min="8" max="8" width="13.6640625" customWidth="1"/>
    <col min="9" max="9" width="2.5546875" customWidth="1"/>
    <col min="10" max="10" width="17.6640625" customWidth="1"/>
    <col min="11" max="13" width="15.6640625" customWidth="1"/>
    <col min="14" max="14" width="10.6640625" customWidth="1"/>
  </cols>
  <sheetData>
    <row r="1" spans="1:27" ht="36" customHeight="1" x14ac:dyDescent="0.2">
      <c r="A1" s="33" t="str">
        <f>HLOOKUP(Introduction!$A$2,nametranslations,141,FALSE) &amp; " ("&amp;Introduction!C5 &amp;", " &amp;Introduction!C7 &amp; ")"</f>
        <v>Part D: Estimation of household wastewater delivered to treatment facilities (Italy, 2022)</v>
      </c>
      <c r="B1" s="33"/>
      <c r="C1" s="33"/>
      <c r="D1" s="33"/>
      <c r="E1" s="33"/>
      <c r="F1" s="33"/>
      <c r="G1" s="33"/>
      <c r="H1" s="33"/>
      <c r="I1" s="33"/>
      <c r="J1" s="33"/>
    </row>
    <row r="2" spans="1:27" ht="54.95" customHeight="1" thickBot="1"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r="3" spans="1:27" ht="75" customHeight="1" thickBot="1"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r="4" spans="1:27" ht="74.25" customHeight="1" x14ac:dyDescent="0.2">
      <c r="A4" s="47" t="str">
        <f>HLOOKUP(Introduction!$A$2,nametranslations,145,FALSE)</f>
        <v>Stream 1: Sewers delivered to wastewater treatment plants</v>
      </c>
      <c r="B4" s="166">
        <f>'B- Generated by facility type'!F5*'C- WW management chain'!D7/100</f>
        <v>2213.8768190233518</v>
      </c>
      <c r="C4" s="34" t="str">
        <f>'_Data inputs (all)'!H30</f>
        <v>C</v>
      </c>
      <c r="D4" s="51" t="s">
        <v>49</v>
      </c>
      <c r="E4" s="35">
        <f>B4/'A- Generated'!D15</f>
        <v>0.78719080754683335</v>
      </c>
      <c r="F4" s="43" t="s">
        <v>5</v>
      </c>
      <c r="G4" s="38" t="s">
        <v>37</v>
      </c>
      <c r="H4" s="35">
        <f>IF(ISNUMBER(B4/'B- Generated by facility type'!F5),B4/'B- Generated by facility type'!F5,"N/A")</f>
        <v>0.7972665405273438</v>
      </c>
      <c r="I4" s="43" t="s">
        <v>5</v>
      </c>
      <c r="J4" s="38" t="s">
        <v>40</v>
      </c>
    </row>
    <row r="5" spans="1:27" ht="74.25" customHeight="1"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8.7476843835254616</v>
      </c>
      <c r="C5" s="28" t="str">
        <f>'_Data inputs (all)'!H31</f>
        <v>C</v>
      </c>
      <c r="D5" s="50" t="s">
        <v>50</v>
      </c>
      <c r="E5" s="36">
        <f>B5/'A- Generated'!D15</f>
        <v>3.1104245163333082E-3</v>
      </c>
      <c r="F5" s="44" t="s">
        <v>5</v>
      </c>
      <c r="G5" s="39" t="s">
        <v>38</v>
      </c>
      <c r="H5" s="36">
        <f>IF(ISNUMBER(B5/'B- Generated by facility type'!F6),B5/'B- Generated by facility type'!F6,"N/A")</f>
        <v>0.25</v>
      </c>
      <c r="I5" s="44" t="s">
        <v>5</v>
      </c>
      <c r="J5" s="39" t="s">
        <v>41</v>
      </c>
    </row>
    <row r="6" spans="1:27" ht="74.25" customHeight="1"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8.7476843835254616</v>
      </c>
      <c r="C6" s="28" t="str">
        <f>'_Data inputs (all)'!H32</f>
        <v>C</v>
      </c>
      <c r="D6" s="50" t="s">
        <v>51</v>
      </c>
      <c r="E6" s="36">
        <f>B6/'A- Generated'!D15</f>
        <v>3.1104245163333082E-3</v>
      </c>
      <c r="F6" s="44" t="s">
        <v>5</v>
      </c>
      <c r="G6" s="40" t="s">
        <v>39</v>
      </c>
      <c r="H6" s="36">
        <f>IF(ISNUMBER(B6/'B- Generated by facility type'!F6),B6/'B- Generated by facility type'!F6,"N/A")</f>
        <v>0.25</v>
      </c>
      <c r="I6" s="44" t="s">
        <v>5</v>
      </c>
      <c r="J6" s="40" t="s">
        <v>42</v>
      </c>
    </row>
    <row r="7" spans="1:27" ht="39.950000000000003" customHeight="1" thickBot="1" x14ac:dyDescent="0.25">
      <c r="A7" s="49" t="str">
        <f>HLOOKUP(Introduction!$A$2,nametranslations,148,FALSE)</f>
        <v>Total delivered to treatment</v>
      </c>
      <c r="B7" s="168">
        <f>SUM(B4:B6)</f>
        <v>2231.3721877904031</v>
      </c>
      <c r="C7" s="129" t="str">
        <f>'_Data inputs (all)'!H33</f>
        <v>C</v>
      </c>
      <c r="D7" s="130" t="s">
        <v>52</v>
      </c>
      <c r="E7" s="131">
        <f>B7/'A- Generated'!D15</f>
        <v>0.79341165657950019</v>
      </c>
      <c r="F7" s="132" t="s">
        <v>5</v>
      </c>
      <c r="G7" s="133" t="s">
        <v>25</v>
      </c>
      <c r="H7" s="134" t="s">
        <v>8</v>
      </c>
      <c r="I7" s="132"/>
      <c r="J7" s="133" t="s">
        <v>8</v>
      </c>
    </row>
    <row r="9" spans="1:27" x14ac:dyDescent="0.2">
      <c r="A9" s="8" t="str">
        <f>HLOOKUP(Introduction!$A$2,nametranslations,77,FALSE)</f>
        <v>Notes:</v>
      </c>
      <c r="B9" s="15" t="str">
        <f>HLOOKUP(Introduction!$A$2,nametranslations,78,FALSE)</f>
        <v>[variable numbers shown in square brackets - see links to the 'Data inputs (all)' worksheet for additional details]</v>
      </c>
    </row>
    <row r="10" spans="1:27" x14ac:dyDescent="0.2">
      <c r="B10" s="15" t="str">
        <f>HLOOKUP(Introduction!$A$2,nametranslations,79,FALSE)</f>
        <v>A - Assumption</v>
      </c>
    </row>
    <row r="11" spans="1:27" x14ac:dyDescent="0.2">
      <c r="B11" s="15" t="str">
        <f>HLOOKUP(Introduction!$A$2,nametranslations,80,FALSE)</f>
        <v>C - Internally calculated value</v>
      </c>
    </row>
    <row r="12" spans="1:27" x14ac:dyDescent="0.2">
      <c r="B12" s="15" t="str">
        <f>HLOOKUP(Introduction!$A$2,nametranslations,81,FALSE)</f>
        <v>E - Estimated value based on official national statistics</v>
      </c>
    </row>
    <row r="13" spans="1:27" x14ac:dyDescent="0.2">
      <c r="B13" s="15" t="str">
        <f>HLOOKUP(Introduction!$A$2,nametranslations,82,FALSE)</f>
        <v>R - Reported value sourced from official national statistics</v>
      </c>
    </row>
    <row r="14" spans="1:27" x14ac:dyDescent="0.2">
      <c r="B14" s="6"/>
    </row>
    <row r="15" spans="1:27" x14ac:dyDescent="0.2">
      <c r="A15" s="6"/>
    </row>
    <row r="16" spans="1:27" x14ac:dyDescent="0.2">
      <c r="A16" s="6"/>
    </row>
    <row r="17" spans="1:2" x14ac:dyDescent="0.2">
      <c r="A17" s="6"/>
    </row>
    <row r="18" spans="1:2" x14ac:dyDescent="0.2">
      <c r="A18" s="6"/>
      <c r="B18" s="169"/>
    </row>
    <row r="19" spans="1:2" x14ac:dyDescent="0.2">
      <c r="A19" s="6"/>
    </row>
    <row r="20" spans="1:2" x14ac:dyDescent="0.2">
      <c r="A20" s="6"/>
    </row>
    <row r="21" spans="1:2" x14ac:dyDescent="0.2">
      <c r="A21" s="6"/>
    </row>
    <row r="22" spans="1:2" x14ac:dyDescent="0.2">
      <c r="A22" s="6"/>
    </row>
  </sheetData>
  <sheetProtection sheet="1" objects="1" scenarios="1"/>
  <mergeCells count="4">
    <mergeCell ref="A2:J2"/>
    <mergeCell ref="B3:D3"/>
    <mergeCell ref="E3:G3"/>
    <mergeCell ref="H3:J3"/>
  </mergeCell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1"/>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baseColWidth="10" defaultColWidth="8.6640625" defaultRowHeight="15" x14ac:dyDescent="0.2"/>
  <cols>
    <col min="1" max="1" width="53" customWidth="1"/>
    <col min="2" max="2" width="18.33203125" customWidth="1"/>
    <col min="3" max="3" width="2.6640625" customWidth="1"/>
    <col min="4" max="4" width="14.5546875" customWidth="1"/>
    <col min="5" max="5" width="19.44140625" customWidth="1"/>
    <col min="6" max="6" width="2.5546875" customWidth="1"/>
    <col min="7" max="7" width="17.6640625" customWidth="1"/>
    <col min="8" max="8" width="17" customWidth="1"/>
    <col min="9" max="9" width="2.5546875" customWidth="1"/>
    <col min="10" max="10" width="20.44140625" customWidth="1"/>
    <col min="11" max="13" width="15.6640625" customWidth="1"/>
    <col min="14" max="14" width="10.6640625" customWidth="1"/>
  </cols>
  <sheetData>
    <row r="1" spans="1:27" ht="36" customHeight="1" x14ac:dyDescent="0.2">
      <c r="A1" s="33" t="str">
        <f>HLOOKUP(Introduction!$A$2,nametranslations,149,FALSE) &amp; " ("&amp;Introduction!C5 &amp;", " &amp;Introduction!C7 &amp; ")"</f>
        <v>Part E: Estimation of household wastewater safely treated (Italy, 2022)</v>
      </c>
      <c r="B1" s="33"/>
      <c r="C1" s="33"/>
      <c r="D1" s="33"/>
      <c r="E1" s="33"/>
      <c r="F1" s="33"/>
      <c r="G1" s="33"/>
      <c r="H1" s="33"/>
      <c r="I1" s="33"/>
      <c r="J1" s="33"/>
    </row>
    <row r="2" spans="1:27" ht="69.95" customHeight="1" thickBot="1"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r="3" spans="1:27" ht="78" customHeight="1" thickBot="1"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r="4" spans="1:27" ht="50.25" customHeight="1" x14ac:dyDescent="0.2">
      <c r="A4" s="146" t="str">
        <f>HLOOKUP(Introduction!$A$2,nametranslations,151,FALSE)</f>
        <v>Stream 1: Safely treated from sewers at wastewater treatment plants</v>
      </c>
      <c r="B4" s="172">
        <f>IF('C- WW management chain'!F9="R",'D- Delivered'!B4*'C- WW management chain'!D9/100,'D- Delivered'!B4*'C- WW management chain'!D8/100)</f>
        <v>1958.3950157752793</v>
      </c>
      <c r="C4" s="23" t="str">
        <f>'_Data inputs (all)'!H34</f>
        <v>C</v>
      </c>
      <c r="D4" s="58" t="s">
        <v>159</v>
      </c>
      <c r="E4" s="24">
        <f>B4/'A- Generated'!D15</f>
        <v>0.69634883960884664</v>
      </c>
      <c r="F4" s="23" t="str">
        <f>'_Data inputs (all)'!H38</f>
        <v>C</v>
      </c>
      <c r="G4" s="13" t="s">
        <v>45</v>
      </c>
      <c r="H4" s="45">
        <f>IF(ISNUMBER(B4/'B- Generated by facility type'!F5),B4/'B- Generated by facility type'!F5,"N/A")</f>
        <v>0.70526183109950191</v>
      </c>
      <c r="I4" s="55" t="s">
        <v>5</v>
      </c>
      <c r="J4" s="37" t="s">
        <v>43</v>
      </c>
    </row>
    <row r="5" spans="1:27" ht="60.75" customHeight="1" x14ac:dyDescent="0.2">
      <c r="A5" s="148" t="str">
        <f>HLOOKUP(Introduction!$A$2,nametranslations,152,FALSE)</f>
        <v>Stream 2a: Safely treated at septic tanks with faecal sludge safely treated at off-site wastewater treatment plants</v>
      </c>
      <c r="B5" s="171">
        <f>'D- Delivered'!B5*'C- WW management chain'!D18/100</f>
        <v>7.7381999527096594</v>
      </c>
      <c r="C5" s="52" t="str">
        <f>'_Data inputs (all)'!H35</f>
        <v>C</v>
      </c>
      <c r="D5" s="59" t="s">
        <v>53</v>
      </c>
      <c r="E5" s="25">
        <f>B5/'A- Generated'!D15</f>
        <v>2.7514809394045751E-3</v>
      </c>
      <c r="F5" s="52" t="str">
        <f>'_Data inputs (all)'!H39</f>
        <v>C</v>
      </c>
      <c r="G5" s="60" t="s">
        <v>46</v>
      </c>
      <c r="H5" s="46">
        <f>IF(ISNUMBER(B5/'B- Generated by facility type'!F6), B5/'B- Generated by facility type'!F6, "N/A")</f>
        <v>0.22114995276015653</v>
      </c>
      <c r="I5" s="53" t="s">
        <v>5</v>
      </c>
      <c r="J5" s="56" t="s">
        <v>44</v>
      </c>
    </row>
    <row r="6" spans="1:27" ht="63.75" customHeight="1" x14ac:dyDescent="0.2">
      <c r="A6" s="147" t="str">
        <f>HLOOKUP(Introduction!$A$2,nametranslations,153,FALSE)</f>
        <v>Stream 2b: Safely treated at septic tanks with faecal sludge safely treated at on-site treatment</v>
      </c>
      <c r="B6" s="170">
        <f>'D- Delivered'!B6*100%</f>
        <v>8.7476843835254616</v>
      </c>
      <c r="C6" s="52" t="str">
        <f>'_Data inputs (all)'!H36</f>
        <v>C</v>
      </c>
      <c r="D6" s="59" t="s">
        <v>54</v>
      </c>
      <c r="E6" s="25">
        <f>B6/'A- Generated'!D15</f>
        <v>3.1104245163333082E-3</v>
      </c>
      <c r="F6" s="52" t="str">
        <f>'_Data inputs (all)'!H40</f>
        <v>C</v>
      </c>
      <c r="G6" s="60" t="s">
        <v>47</v>
      </c>
      <c r="H6" s="46">
        <f>IF(ISNUMBER(B6/'B- Generated by facility type'!F6),B6/'B- Generated by facility type'!F6,"N/A")</f>
        <v>0.25</v>
      </c>
      <c r="I6" s="53" t="s">
        <v>5</v>
      </c>
      <c r="J6" s="40" t="s">
        <v>36</v>
      </c>
    </row>
    <row r="7" spans="1:27" ht="123" customHeight="1" x14ac:dyDescent="0.2">
      <c r="A7" s="61" t="str">
        <f>HLOOKUP(Introduction!$A$2,nametranslations,154,FALSE)</f>
        <v>Total safely treated</v>
      </c>
      <c r="B7" s="57">
        <f>SUM(B4:B6)</f>
        <v>1974.8809001115144</v>
      </c>
      <c r="C7" s="54" t="str">
        <f>'_Data inputs (all)'!H37</f>
        <v>C</v>
      </c>
      <c r="D7" s="59" t="s">
        <v>56</v>
      </c>
      <c r="E7" s="63" t="str">
        <f>IF(LEFT(B8,2)="No",HLOOKUP(Introduction!$A$2,nametranslations,155,FALSE),HLOOKUP(Introduction!$A$2,nametranslations,156,FALSE) &amp; " "&amp; TEXT(SUM(E4:E6),"0.0%"))</f>
        <v>COUNTRY ESTIMATE (SDG 6.3.1):  7.0%</v>
      </c>
      <c r="F7" s="54" t="str">
        <f>'_Data inputs (all)'!H41</f>
        <v>C</v>
      </c>
      <c r="G7" s="60" t="s">
        <v>48</v>
      </c>
      <c r="H7" s="46" t="s">
        <v>8</v>
      </c>
      <c r="I7" s="53"/>
      <c r="J7" s="56" t="s">
        <v>8</v>
      </c>
    </row>
    <row r="8" spans="1:27" ht="60.95" customHeight="1" thickBot="1" x14ac:dyDescent="0.25">
      <c r="A8" s="62" t="str">
        <f>HLOOKUP(Introduction!$A$2,nametranslations,135,FALSE)</f>
        <v>Are data sufficient to compute a country estimate?</v>
      </c>
      <c r="B8" s="205" t="str">
        <f>'C- WW management chain'!A25</f>
        <v>Yes, since the volume of sewer wastewater generated [14] is greater than the volume of septic tank wastewater generated [15], and data on sewer wastewater treatment performance [20]/[21] are reported</v>
      </c>
      <c r="C8" s="206"/>
      <c r="D8" s="206"/>
      <c r="E8" s="206"/>
      <c r="F8" s="206"/>
      <c r="G8" s="206"/>
      <c r="H8" s="206"/>
      <c r="I8" s="206"/>
      <c r="J8" s="207"/>
    </row>
    <row r="10" spans="1:27" x14ac:dyDescent="0.2">
      <c r="A10" s="8" t="str">
        <f>HLOOKUP(Introduction!$A$2,nametranslations,77,FALSE)</f>
        <v>Notes:</v>
      </c>
      <c r="B10" s="15" t="str">
        <f>HLOOKUP(Introduction!$A$2,nametranslations,78,FALSE)</f>
        <v>[variable numbers shown in square brackets - see links to the 'Data inputs (all)' worksheet for additional details]</v>
      </c>
    </row>
    <row r="11" spans="1:27" x14ac:dyDescent="0.2">
      <c r="B11" s="15" t="str">
        <f>HLOOKUP(Introduction!$A$2,nametranslations,79,FALSE)</f>
        <v>A - Assumption</v>
      </c>
    </row>
    <row r="12" spans="1:27" x14ac:dyDescent="0.2">
      <c r="B12" s="15" t="str">
        <f>HLOOKUP(Introduction!$A$2,nametranslations,80,FALSE)</f>
        <v>C - Internally calculated value</v>
      </c>
    </row>
    <row r="13" spans="1:27" x14ac:dyDescent="0.2">
      <c r="B13" s="15" t="str">
        <f>HLOOKUP(Introduction!$A$2,nametranslations,81,FALSE)</f>
        <v>E - Estimated value based on official national statistics</v>
      </c>
    </row>
    <row r="14" spans="1:27" x14ac:dyDescent="0.2">
      <c r="B14" s="15" t="str">
        <f>HLOOKUP(Introduction!$A$2,nametranslations,82,FALSE)</f>
        <v>R - Reported value sourced from official national statistics</v>
      </c>
    </row>
    <row r="15" spans="1:27" x14ac:dyDescent="0.2">
      <c r="B15" s="6"/>
    </row>
    <row r="16" spans="1:27" x14ac:dyDescent="0.2">
      <c r="A16" s="6"/>
    </row>
    <row r="17" spans="1:1" x14ac:dyDescent="0.2">
      <c r="A17" s="6"/>
    </row>
    <row r="18" spans="1:1" x14ac:dyDescent="0.2">
      <c r="A18" s="6"/>
    </row>
    <row r="19" spans="1:1" x14ac:dyDescent="0.2">
      <c r="A19" s="6"/>
    </row>
    <row r="20" spans="1:1" x14ac:dyDescent="0.2">
      <c r="A20" s="6"/>
    </row>
    <row r="21" spans="1:1" x14ac:dyDescent="0.2">
      <c r="A21" s="6"/>
    </row>
    <row r="22" spans="1:1" x14ac:dyDescent="0.2">
      <c r="A22" s="6"/>
    </row>
    <row r="23" spans="1:1" x14ac:dyDescent="0.2">
      <c r="A23" s="6"/>
    </row>
  </sheetData>
  <sheetProtection sheet="1" objects="1" scenarios="1"/>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13</vt:i4>
      </vt:variant>
      <vt:variant>
        <vt:lpstr>Plages nommées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Anne-Marie Cavillon</cp:lastModifiedBy>
  <dcterms:created xsi:type="dcterms:W3CDTF">2018-09-12T10:20:28Z</dcterms:created>
  <dcterms:modified xsi:type="dcterms:W3CDTF">2023-11-09T10:32:08Z</dcterms:modified>
</cp:coreProperties>
</file>