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worksheet+xml" PartName="/xl/worksheets/sheet13.xml"/>
  <Override ContentType="application/vnd.openxmlformats-officedocument.theme+xml" PartName="/xl/theme/theme1.xml"/>
  <Override ContentType="application/vnd.openxmlformats-officedocument.spreadsheetml.styles+xml" PartName="/xl/styles.xml"/>
  <Override ContentType="application/vnd.openxmlformats-officedocument.spreadsheetml.sharedStrings+xml" PartName="/xl/sharedStrings.xml"/>
  <Override ContentType="application/vnd.openxmlformats-officedocument.spreadsheetml.sheetMetadata+xml" PartName="/xl/metadata.xml"/>
  <Override ContentType="application/vnd.openxmlformats-officedocument.drawing+xml" PartName="/xl/drawings/drawing1.xml"/>
  <Override ContentType="application/vnd.openxmlformats-officedocument.drawing+xml" PartName="/xl/drawings/drawing2.xml"/>
  <Override ContentType="application/vnd.openxmlformats-officedocument.drawing+xml" PartName="/xl/drawings/drawing3.xml"/>
  <Override ContentType="application/vnd.openxmlformats-package.core-properties+xml" PartName="/docProps/core.xml"/>
  <Override ContentType="application/vnd.openxmlformats-officedocument.extended-properties+xml" PartName="/docProps/app.xml"/>
</Types>
</file>

<file path=_rels/.rels><?xml version="1.0" encoding="UTF-8"?><Relationships xmlns="http://schemas.openxmlformats.org/package/2006/relationships"><Relationship Target="docProps/app.xml" Type="http://schemas.openxmlformats.org/officeDocument/2006/relationships/extended-properties" Id="rId3"/><Relationship Target="docProps/core.xml" Type="http://schemas.openxmlformats.org/package/2006/relationships/metadata/core-properties" Id="rId2"/><Relationship Target="xl/workbook.xml" Type="http://schemas.openxmlformats.org/officeDocument/2006/relationships/officeDocument" Id="rId1"/></Relationships>
</file>

<file path=xl/workbook.xml><?xml version="1.0" encoding="utf-8"?>
<workbook xmlns="http://schemas.openxmlformats.org/spreadsheetml/2006/main" xmlns:r="http://schemas.openxmlformats.org/officeDocument/2006/relationships" xmlns:xdr="http://schemas.openxmlformats.org/drawingml/2006/spreadsheetDrawing"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315"/>
  <workbookPr codeName="ThisWorkbook"/>
  <mc:AlternateContent xmlns:mc="http://schemas.openxmlformats.org/markup-compatibility/2006">
    <mc:Choice Requires="x15">
      <x15ac:absPath xmlns:x15ac="http://schemas.microsoft.com/office/spreadsheetml/2010/11/ac" url="/Users/andrewshantz/WHOUNICEF Dropbox/Andrew Shantz/SDG 631/Products/SDG 631 2025/National data and analysis/Input files/"/>
    </mc:Choice>
  </mc:AlternateContent>
  <xr:revisionPtr revIDLastSave="0" documentId="13_ncr:1_{42428C07-506B-F543-8B8B-2F5E8B7EEF84}" xr6:coauthVersionLast="47" xr6:coauthVersionMax="47" xr10:uidLastSave="{00000000-0000-0000-0000-000000000000}"/>
  <bookViews>
    <workbookView xWindow="0" yWindow="780" windowWidth="34200" windowHeight="19660" tabRatio="765"/>
  </bookViews>
  <sheets>
    <sheet name="Introduction" sheetId="1" r:id="rId1"/>
    <sheet name="Guidance" sheetId="2" r:id="rId2"/>
    <sheet name="Data inputs (all)" sheetId="21" r:id="rId3"/>
    <sheet name="Data inputs (reported)" sheetId="20" r:id="rId4"/>
    <sheet name="A- Generated" sheetId="14" r:id="rId5"/>
    <sheet name="B- Generated by facility type" sheetId="9" r:id="rId6"/>
    <sheet name="C- WW management chain" sheetId="15" r:id="rId7"/>
    <sheet name="D- Delivered" sheetId="17" r:id="rId8"/>
    <sheet name="E- Safely treated" sheetId="18" r:id="rId9"/>
    <sheet name="_Data inputs (all)" sheetId="4" state="hidden" r:id="rId10"/>
    <sheet name="_Data inputs (reported)" sheetId="10" state="hidden" r:id="rId11"/>
    <sheet name="_Translation" sheetId="19" state="hidden" r:id="rId12"/>
    <sheet name="_QC" sheetId="16" state="hidden" r:id="rId13"/>
  </sheets>
  <definedNames>
    <definedName name="_xlnm._FilterDatabase" localSheetId="9">'_Data inputs (all)'!$A$1:$M$41</definedName>
    <definedName name="_xlnm._FilterDatabase" localSheetId="10" hidden="true">'_Data inputs (reported)'!#REF!</definedName>
    <definedName name="_xlnm._FilterDatabase" localSheetId="2">'Data inputs (all)'!$A$1:$M$41</definedName>
    <definedName name="_xlnm._FilterDatabase" localSheetId="3" hidden="true">'Data inputs (reported)'!$A$1:$N$1</definedName>
    <definedName name="_xlnm._FilterDatabase" localSheetId="0" hidden="true">Introduction!$A$1:$A$1</definedName>
    <definedName name="countryname">_Translation!$L:$S</definedName>
    <definedName name="Guidance">"INDEX ($Lists!$F$1:$F$5, MATCH (Introduction!$A$2, $Lists!$H$1:$H$5, 0))"</definedName>
    <definedName name="Guidance1">INDEX(_Translation!$W$251:$W$255,MATCH(Introduction!$A$2,_Translation!$V$251:$V$255,0))</definedName>
    <definedName name="Guidance2">INDEX(_Translation!$X$251:$X$255,MATCH(Introduction!$A$2,_Translation!$V$251:$V$255,0))</definedName>
    <definedName name="Guidance3">INDEX(_Translation!$Y$251:$Y$255,MATCH(Introduction!$A$2,_Translation!$V$251:$V$255,0))</definedName>
    <definedName name="nametranslations">_Translation!$B:$H</definedName>
    <definedName name="v1_">'Data inputs (all)'!$F$2</definedName>
    <definedName name="v10_">'Data inputs (all)'!$F$11</definedName>
    <definedName name="v11_">'Data inputs (all)'!$F$12</definedName>
    <definedName name="v12_">'Data inputs (all)'!$F$13</definedName>
    <definedName name="v13_">'Data inputs (all)'!$F$14</definedName>
    <definedName name="v14_">'Data inputs (all)'!$F$15</definedName>
    <definedName name="v15_">'Data inputs (all)'!$F$16</definedName>
    <definedName name="v16_">'Data inputs (all)'!$F$17</definedName>
    <definedName name="v17_">'Data inputs (all)'!$F$18</definedName>
    <definedName name="v18_">'Data inputs (all)'!$F$19</definedName>
    <definedName name="v19_">'Data inputs (all)'!$F$20</definedName>
    <definedName name="v2_">'Data inputs (all)'!$F$3</definedName>
    <definedName name="v20_">'Data inputs (all)'!$F$21</definedName>
    <definedName name="v21_">'Data inputs (all)'!$F$22</definedName>
    <definedName name="v22_">'Data inputs (all)'!$F$23</definedName>
    <definedName name="v23_">'Data inputs (all)'!$F$24</definedName>
    <definedName name="v24_">'Data inputs (all)'!$F$25</definedName>
    <definedName name="v25_">'Data inputs (all)'!$F$26</definedName>
    <definedName name="v26_">'Data inputs (all)'!$F$27</definedName>
    <definedName name="v27_">'Data inputs (all)'!$F$28</definedName>
    <definedName name="v28_">'Data inputs (all)'!$F$29</definedName>
    <definedName name="v29_">'Data inputs (all)'!$F$30</definedName>
    <definedName name="v3_">'Data inputs (all)'!$F$4</definedName>
    <definedName name="v30_">'Data inputs (all)'!$F$31</definedName>
    <definedName name="v31_">'Data inputs (all)'!$F$32</definedName>
    <definedName name="v32_">'Data inputs (all)'!$F$33</definedName>
    <definedName name="v33_">'Data inputs (all)'!$F$34</definedName>
    <definedName name="v34_">'Data inputs (all)'!$F$35</definedName>
    <definedName name="v35_">'Data inputs (all)'!$F$36</definedName>
    <definedName name="v36_">'Data inputs (all)'!$F$37</definedName>
    <definedName name="v37_">'Data inputs (all)'!$F$38</definedName>
    <definedName name="v38_">'Data inputs (all)'!$F$39</definedName>
    <definedName name="v39_">'Data inputs (all)'!$F$40</definedName>
    <definedName name="v4_">'Data inputs (all)'!$F$5</definedName>
    <definedName name="v40_">'Data inputs (all)'!$F$41</definedName>
    <definedName name="v5_">'Data inputs (all)'!$F$6</definedName>
    <definedName name="v6_">'Data inputs (all)'!$F$7</definedName>
    <definedName name="v7_">'Data inputs (all)'!$F$8</definedName>
    <definedName name="v8_">'Data inputs (all)'!$F$9</definedName>
    <definedName name="v9_">'Data inputs (all)'!$F$10</definedName>
  </definedNames>
  <calcPr calcId="191029" fullCalcOnLoad="true"/>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<sst xmlns="http://schemas.openxmlformats.org/spreadsheetml/2006/main" xmlns:r="http://schemas.openxmlformats.org/officeDocument/2006/relationships" xmlns:xdr="http://schemas.openxmlformats.org/drawingml/2006/spreadsheetDrawing" count="5452" uniqueCount="2335">
  <si>
    <t>Sustainable Development Goal 6 Monitoring</t>
  </si>
  <si>
    <t>Other improved facilities</t>
  </si>
  <si>
    <t>Unimproved facilities</t>
  </si>
  <si>
    <t>Open defecation</t>
  </si>
  <si>
    <t>Type of sanitation facility</t>
  </si>
  <si>
    <t>C</t>
  </si>
  <si>
    <t>Notes:</t>
  </si>
  <si>
    <t>Units</t>
  </si>
  <si>
    <t>-</t>
  </si>
  <si>
    <t>Value</t>
  </si>
  <si>
    <t>Data type</t>
  </si>
  <si>
    <t>Year</t>
  </si>
  <si>
    <t>Data source</t>
  </si>
  <si>
    <t>Notes</t>
  </si>
  <si>
    <t>Proportion of population
[%]</t>
  </si>
  <si>
    <t>Country/territory name</t>
  </si>
  <si>
    <t>Variable ID</t>
  </si>
  <si>
    <t>Variable name</t>
  </si>
  <si>
    <t>6.3.1 Safely Treated Household Wastewater</t>
  </si>
  <si>
    <t>[14] / [8]</t>
  </si>
  <si>
    <t>[15] / [8]</t>
  </si>
  <si>
    <t>[16] / [8]</t>
  </si>
  <si>
    <t>[17] / [8]</t>
  </si>
  <si>
    <t>[18] / [8]</t>
  </si>
  <si>
    <t>E - Estimated value based on official national statistics</t>
  </si>
  <si>
    <t>[32] / [8]</t>
  </si>
  <si>
    <t>Part C: Household wastewater management chain</t>
  </si>
  <si>
    <t>[14]</t>
  </si>
  <si>
    <t>[15]</t>
  </si>
  <si>
    <t>[22]</t>
  </si>
  <si>
    <t>[23]</t>
  </si>
  <si>
    <t>[24]</t>
  </si>
  <si>
    <t>[25]</t>
  </si>
  <si>
    <t>[26]</t>
  </si>
  <si>
    <t>[27]</t>
  </si>
  <si>
    <t>[28]</t>
  </si>
  <si>
    <t>[35] / [15]</t>
  </si>
  <si>
    <t>[29] / [8]</t>
  </si>
  <si>
    <t>[30] / [8]</t>
  </si>
  <si>
    <t>[31] / [8]</t>
  </si>
  <si>
    <t>[29] / [14]</t>
  </si>
  <si>
    <t>[30] / [15]</t>
  </si>
  <si>
    <t>[31] / [15]</t>
  </si>
  <si>
    <t>[33] / [14]</t>
  </si>
  <si>
    <t>[34] / [15]</t>
  </si>
  <si>
    <t>[37] = [33] / [8]</t>
  </si>
  <si>
    <t>[38] = [34] / [8]</t>
  </si>
  <si>
    <t>[39] = [35] / [8]</t>
  </si>
  <si>
    <t>[40] = [36] / [8]</t>
  </si>
  <si>
    <t>[29] = [14] x [19]</t>
  </si>
  <si>
    <t>[30] = [15] x [22] x [25] x [27]</t>
  </si>
  <si>
    <t>[31] = [15] x [22] x ([23] + [26])</t>
  </si>
  <si>
    <t>[32] = [29] + [30] + [31]</t>
  </si>
  <si>
    <t>[34] = [30] x [28]</t>
  </si>
  <si>
    <t>[35] = [31] x 100%</t>
  </si>
  <si>
    <t>Total safely treated</t>
  </si>
  <si>
    <t>[36] = [33] + [34] + [35]</t>
  </si>
  <si>
    <t>[1]</t>
  </si>
  <si>
    <t>[2]</t>
  </si>
  <si>
    <t>[3]</t>
  </si>
  <si>
    <t>[4]</t>
  </si>
  <si>
    <t>[5]</t>
  </si>
  <si>
    <t>[6]</t>
  </si>
  <si>
    <t>[7]</t>
  </si>
  <si>
    <t>[8]</t>
  </si>
  <si>
    <t>[11]</t>
  </si>
  <si>
    <t>[12]</t>
  </si>
  <si>
    <t>[13]</t>
  </si>
  <si>
    <t>[16]</t>
  </si>
  <si>
    <t>[17]</t>
  </si>
  <si>
    <t>[18]</t>
  </si>
  <si>
    <t>[19]</t>
  </si>
  <si>
    <t>[20]</t>
  </si>
  <si>
    <t>Proportion of the population living in households connected to septic tanks</t>
  </si>
  <si>
    <t>Proportion of the population living in households with access to other improved sanitation facilities</t>
  </si>
  <si>
    <t>Proportion of the population living in households with access to unimproved sanitation facilities</t>
  </si>
  <si>
    <t>Proportion of the population living in households where members practice open defecation</t>
  </si>
  <si>
    <t>Proportion of sewer wastewater collected at treatment plants</t>
  </si>
  <si>
    <t>Proportion of septic tanks with faecal sludge not yet emptied (on-site)</t>
  </si>
  <si>
    <t>Proportion of safely treated household wastewater (SDG 6.3.1)</t>
  </si>
  <si>
    <t>Percentage</t>
  </si>
  <si>
    <t>A</t>
  </si>
  <si>
    <t>Used</t>
  </si>
  <si>
    <t>Yes</t>
  </si>
  <si>
    <t>No</t>
  </si>
  <si>
    <t>C - Internally calculated value</t>
  </si>
  <si>
    <t>Source ID</t>
  </si>
  <si>
    <t>Total household wastewater generated</t>
  </si>
  <si>
    <t>Code</t>
  </si>
  <si>
    <t>Litres/person/day</t>
  </si>
  <si>
    <t>Total household water use</t>
  </si>
  <si>
    <t>= [1] x [2] x [4] + [1] x [3] x [5]</t>
  </si>
  <si>
    <t>Stream 2: Septic tank wastewater flows</t>
  </si>
  <si>
    <t>--</t>
  </si>
  <si>
    <t>= [14] / [8]</t>
  </si>
  <si>
    <t>= [15] / [8]</t>
  </si>
  <si>
    <t>See Part B</t>
  </si>
  <si>
    <t>Manual</t>
  </si>
  <si>
    <t>Automatic</t>
  </si>
  <si>
    <t>Country ID (iso3)</t>
  </si>
  <si>
    <t>Data entry type</t>
  </si>
  <si>
    <t>Million m3/year</t>
  </si>
  <si>
    <t>Country estimate data summary</t>
  </si>
  <si>
    <t>Proportion of household water use converted into wastewater generated</t>
  </si>
  <si>
    <t>Stream 1: Sewer wastewater flows</t>
  </si>
  <si>
    <t>English</t>
  </si>
  <si>
    <t>Language:</t>
  </si>
  <si>
    <t>Reason not used</t>
  </si>
  <si>
    <t>Parameter</t>
  </si>
  <si>
    <t>STATA</t>
  </si>
  <si>
    <t>Household wastewater generated</t>
  </si>
  <si>
    <t>Stream 1: Sewers</t>
  </si>
  <si>
    <t>Stream 2: Septic tanks</t>
  </si>
  <si>
    <t>Worksheet</t>
  </si>
  <si>
    <t>B</t>
  </si>
  <si>
    <t>D</t>
  </si>
  <si>
    <t>Stream 1: Safely treated from sewers at wastewater treatment plants</t>
  </si>
  <si>
    <t>* - On and off -premises referring to the location of the primary drinking water supply</t>
  </si>
  <si>
    <t>Proportion of volume
[%]</t>
  </si>
  <si>
    <t>Proportion
of total household wastewater generated
(%)</t>
  </si>
  <si>
    <t>[21]</t>
  </si>
  <si>
    <t>Officially reported data</t>
  </si>
  <si>
    <t>Calculations and results</t>
  </si>
  <si>
    <t>Data and sources</t>
  </si>
  <si>
    <t>Background and methods</t>
  </si>
  <si>
    <t>Guidance for the reader / user</t>
  </si>
  <si>
    <t>Part A: Estimation of household wastewater generated</t>
  </si>
  <si>
    <t>Part B: Estimation of household wastewater generated by sanitation facility type</t>
  </si>
  <si>
    <t>Part E: Estimation of household wastewater safely treated</t>
  </si>
  <si>
    <t>Variable code</t>
  </si>
  <si>
    <t>Country/territory population</t>
  </si>
  <si>
    <t>Proportion of population with drinking water supply on-premises</t>
  </si>
  <si>
    <t>Proportion of population with drinking water supply off-premises</t>
  </si>
  <si>
    <t>On-premises*</t>
  </si>
  <si>
    <t>Off-premises*</t>
  </si>
  <si>
    <t>On-premises* (average)</t>
  </si>
  <si>
    <t>Off-premises* (average)</t>
  </si>
  <si>
    <t>Household wastewater generated by sanitation facility type</t>
  </si>
  <si>
    <t>Proportion of the population living in households connected to sewers</t>
  </si>
  <si>
    <t>Volume of wastewater generated by households connected to sewers</t>
  </si>
  <si>
    <t>Volume of wastewater generated by households connected to septic tanks</t>
  </si>
  <si>
    <t>Volume of wastewater generated by households with access to other improved sanitation facilities</t>
  </si>
  <si>
    <t>Volume of wastewater generated by households with access to unimproved sanitation facilities</t>
  </si>
  <si>
    <t>Volume of wastewater generated by households where members practice open defecation</t>
  </si>
  <si>
    <t>Volume of household wastewater generated</t>
  </si>
  <si>
    <t>Volume of household water used</t>
  </si>
  <si>
    <t>Proportion of tanks with faecal sludge emptied and removed off-site</t>
  </si>
  <si>
    <t>Proportion of tanks with faecal sludge emptied and discharged locally</t>
  </si>
  <si>
    <t xml:space="preserve">               (select language / seleccione el idioma / choisir la langue / اختار اللغة / выберите язык)</t>
  </si>
  <si>
    <t>R - Reported value sourced from official national statistics</t>
  </si>
  <si>
    <t>Proportion
of volume generated in each wastewater stream
(%)</t>
  </si>
  <si>
    <t>Average water used by households with on-premises water supply</t>
  </si>
  <si>
    <t>Average water used by households with off-premises water supply</t>
  </si>
  <si>
    <t>Household water used</t>
  </si>
  <si>
    <t>This worksheet presents data and calculations on the disaggregation of the total volume of household wastewater generated [8] from Part A by wastewater stream (classified by household sanitation facility type).  For some countries, the volumetric proportion of total household wastewater flow in each stream (column H) may differ from the population based proportion (column C) because the volumetric disaggregation (column F) accounts for the fact that households with sophisticated sanitation facilities (sewers and septic tanks) are more likely to also have their drinking water supply on the premises, and that water use and wastewater produced may be higher among those households with an on-premises supply.</t>
  </si>
  <si>
    <t>Data requirements for a country estimate:</t>
  </si>
  <si>
    <t>Are data sufficient to compute a country estimate?</t>
  </si>
  <si>
    <t>A - Assumption</t>
  </si>
  <si>
    <t>[33] = [29] x 
[20] or [21]</t>
  </si>
  <si>
    <t>Proportion of septic tanks with wastewater contained</t>
  </si>
  <si>
    <t>Location of drinking water supply (proportion of the population)</t>
  </si>
  <si>
    <t>Household sanitation facility coverage</t>
  </si>
  <si>
    <t>Sewer wastewater as a proportion of total household wastewater generated</t>
  </si>
  <si>
    <t>Proportion of collected sewer wastewater safely treated (by compliance) at treatment plants</t>
  </si>
  <si>
    <t>Proportion of collected sewer wastewater safely treated (by technology) at treatment plants</t>
  </si>
  <si>
    <t>Septic tank wastewater as a proportion of total household wastewater generated</t>
  </si>
  <si>
    <t>Proportion of tanks with faecal sludge not yet emptied</t>
  </si>
  <si>
    <t>Volume of sewer wastewater safely treated at wastewater treatment plants</t>
  </si>
  <si>
    <t>Proportion of sewer wastewater safely treated</t>
  </si>
  <si>
    <t>Volume of safely treated household wastewater</t>
  </si>
  <si>
    <t>Proportion of septic tanks with faecal sludge emptied and discharged locally (not collected)</t>
  </si>
  <si>
    <t>This worksheet presents data and calculations for the computation of the total volume of household wastewater generated per year [8], based on population,  per capita water use, and a domestic water to wastewater conversion factor.  However, if the total volume of household wastewater generated has been officially reported, it has been used directly and variables [1] to [7] are no longer applicable.</t>
  </si>
  <si>
    <t>Proportion of septic tanks with faecal sludge removed off-site and collected at off-site treatment plants</t>
  </si>
  <si>
    <t>Proportion of septic tanks with faecal sludge collected and safely treated at off-site treatment plants</t>
  </si>
  <si>
    <t>This worksheet presents data on the variables associated with the household wastewater management chain covering the sewer and septic tank wastewater streams.  These data support the computation of the proportion of flows collected at treatment facilities (Part D) and safely treated (Part E) within each stream.</t>
  </si>
  <si>
    <t>Stream 2a: Septic tank wastewater treatment and off-site disposal</t>
  </si>
  <si>
    <t>Stream 2b: Septic tank wastewater treatment and on-site disposal</t>
  </si>
  <si>
    <t>Proportion of tanks with faecal sludge emptied and buried on-site</t>
  </si>
  <si>
    <t>Proportion of septic tanks with faecal sludge emptied and removed off-site</t>
  </si>
  <si>
    <t>Proportion of septic tanks with faecal sludge emptied and buried on-site</t>
  </si>
  <si>
    <t>Not the most recent data point for this variable</t>
  </si>
  <si>
    <t>Data on wastewater treatment by compliance with standards is preferred over data by treatment technology level</t>
  </si>
  <si>
    <t>Not nationally representative</t>
  </si>
  <si>
    <t>Data quality/validity issue</t>
  </si>
  <si>
    <t>This worksheet presents a summary of estimated household wastewater flows safely treated based on the data presented in Parts B, C and D.  If sufficient data were officially reported, the overall country estimate for safely treated household wastewater [40] is also presented.  Proportions are presented of the total household wastewater generated (Column E) and by each stream (Column H).</t>
  </si>
  <si>
    <t>Proportion of septic tanks with faecal sludge not yet emptied</t>
  </si>
  <si>
    <t>Proportion of septic tank wastewater and faecal sludge safely treated off-site</t>
  </si>
  <si>
    <t>Proportion of septic tank wastewater and faecal sludge safely treated on-site</t>
  </si>
  <si>
    <t>Volume of sewer wastewater generated</t>
  </si>
  <si>
    <t>Volume of septic tank wastewater generated</t>
  </si>
  <si>
    <t/>
  </si>
  <si>
    <t>Italy</t>
  </si>
  <si>
    <t>ITA</t>
  </si>
  <si>
    <t>E</t>
  </si>
  <si>
    <t>Spanish</t>
  </si>
  <si>
    <t>French</t>
  </si>
  <si>
    <t>Arabic</t>
  </si>
  <si>
    <t>Russian</t>
  </si>
  <si>
    <t>Mandarin</t>
  </si>
  <si>
    <t>Other</t>
  </si>
  <si>
    <t>Introduction</t>
  </si>
  <si>
    <t>Seguimiento del Objetivo de Desarrollo Sostenible 6</t>
  </si>
  <si>
    <t>Suivi de l'objectif de développement durable 6</t>
  </si>
  <si>
    <t>رصد هدف التنمية المستدامة 6</t>
  </si>
  <si>
    <t>Цель устойчивого развития 6 Мониторинг</t>
  </si>
  <si>
    <t>6.3.1 Eaux usées ménagères traitées en toute sécurité</t>
  </si>
  <si>
    <t>6.3.1 مياه الصرف الصحي المعالجة بأمان</t>
  </si>
  <si>
    <t>6.3.1 Безопасно очищенные бытовые сточные воды</t>
  </si>
  <si>
    <t>Estimación de país</t>
  </si>
  <si>
    <t>Pays Estimation</t>
  </si>
  <si>
    <t>تقدير البلد</t>
  </si>
  <si>
    <t>Оценка страны</t>
  </si>
  <si>
    <t>Safely Treated Household Wastewater:</t>
  </si>
  <si>
    <t>Eaux usées ménagères traitées en toute sécurité :</t>
  </si>
  <si>
    <t>مياه الصرف الصحي المنزلية المعالجة بأمان:</t>
  </si>
  <si>
    <t>Безопасно очищенные бытовые сточные воды:</t>
  </si>
  <si>
    <t>Safely Treated Wastewater: Insufficient data</t>
  </si>
  <si>
    <t>Eaux usées traitées en toute sécurité : données insuffisantes</t>
  </si>
  <si>
    <t>مياه الصرف الصحي المعالجة بأمان: بيانات غير كافية</t>
  </si>
  <si>
    <t>Безопасно очищенные сточные воды: недостаточно данных</t>
  </si>
  <si>
    <t>Antecedentes y métodos</t>
  </si>
  <si>
    <t>Contexte et méthodes</t>
  </si>
  <si>
    <t>الخلفية والأساليب</t>
  </si>
  <si>
    <t>Предыстория и методы</t>
  </si>
  <si>
    <t>Orientación para el lector/usuario</t>
  </si>
  <si>
    <t>Conseils pour le lecteur / utilisateur</t>
  </si>
  <si>
    <t>إرشادات للقارئ / المستخدم</t>
  </si>
  <si>
    <t>Руководство для читателя/пользователя</t>
  </si>
  <si>
    <t>Datos y fuentes</t>
  </si>
  <si>
    <t>Données et sources</t>
  </si>
  <si>
    <t>البيانات والمصادر</t>
  </si>
  <si>
    <t>Данные и источники</t>
  </si>
  <si>
    <t>Datos reportados oficialmente</t>
  </si>
  <si>
    <t>Données officiellement déclarées</t>
  </si>
  <si>
    <t>البيانات المبلغ عنها رسميا</t>
  </si>
  <si>
    <t>Официально опубликованные данные</t>
  </si>
  <si>
    <t>Resumen de datos de estimación de país</t>
  </si>
  <si>
    <t>Résumé des données d'estimation par pays</t>
  </si>
  <si>
    <t>ملخص بيانات تقدير الدولة</t>
  </si>
  <si>
    <t>Сводка оценочных данных по стране</t>
  </si>
  <si>
    <t>Cálculos y resultados</t>
  </si>
  <si>
    <t>Calculs et résultats</t>
  </si>
  <si>
    <t>الحسابات والنتائج</t>
  </si>
  <si>
    <t>Расчеты и результаты</t>
  </si>
  <si>
    <t>Parte A: Estimación de las aguas residuales domésticas generadas</t>
  </si>
  <si>
    <t>Partie A : Estimation des eaux usées ménagères générées</t>
  </si>
  <si>
    <t>الجزء أ: تقدير المياه العادمة المنزلية المتولدة</t>
  </si>
  <si>
    <t>Часть A: Оценка образующихся бытовых сточных вод</t>
  </si>
  <si>
    <t>Parte B: Estimación de aguas residuales domésticas generadas por tipo de instalación de saneamiento</t>
  </si>
  <si>
    <t>Partie B : Estimation des eaux usées ménagères générées par type d'installation d'assainissement</t>
  </si>
  <si>
    <t>الجزء ب: تقدير مياه الصرف المنزلية الناتجة عن نوع مرفق الصرف الصحي</t>
  </si>
  <si>
    <t>Часть B: Оценка бытовых сточных вод, образующихся в зависимости от типа санитарно-технических сооружений</t>
  </si>
  <si>
    <t>Parte C: Cadena de gestión de aguas residuales domésticas</t>
  </si>
  <si>
    <t>Partie C : Chaîne de gestion des eaux usées ménagères</t>
  </si>
  <si>
    <t>الجزء ج: سلسلة إدارة المياه العادمة المنزلية</t>
  </si>
  <si>
    <t>Часть C: Цепочка управления бытовыми сточными водами</t>
  </si>
  <si>
    <t>Parte E: Estimación de aguas residuales domésticas tratadas de manera segura</t>
  </si>
  <si>
    <t>Partie E : Estimation des eaux usées ménagères traitées en toute sécurité</t>
  </si>
  <si>
    <t>الجزء هـ: تقدير مياه الصرف المنزلية المعالجة بأمان</t>
  </si>
  <si>
    <t>Часть E: Оценка безопасных условий очистки бытовых сточных вод</t>
  </si>
  <si>
    <t>Reported data, Country estimate data</t>
  </si>
  <si>
    <t>Nombre del país/territorio</t>
  </si>
  <si>
    <t>Nom du pays/territoire</t>
  </si>
  <si>
    <t>اسم البلد / الإقليم</t>
  </si>
  <si>
    <t>Название страны/территории</t>
  </si>
  <si>
    <t>ID de país (iso3)</t>
  </si>
  <si>
    <t>Identifiant du pays (iso3)</t>
  </si>
  <si>
    <t>معرف الدولة (iso3)</t>
  </si>
  <si>
    <t>Идентификатор страны (iso3)</t>
  </si>
  <si>
    <t>Reported data, Country estimate data, A, C</t>
  </si>
  <si>
    <t>ID de variable</t>
  </si>
  <si>
    <t>ID variable</t>
  </si>
  <si>
    <t>معرف المتغير</t>
  </si>
  <si>
    <t>Идентификатор переменной</t>
  </si>
  <si>
    <t>Reported data, Country estimate data, A, C, D, E</t>
  </si>
  <si>
    <t>Nombre de la variable</t>
  </si>
  <si>
    <t>Nom de variable</t>
  </si>
  <si>
    <t>اسم المتغير</t>
  </si>
  <si>
    <t>Имя переменной</t>
  </si>
  <si>
    <t>Código variable</t>
  </si>
  <si>
    <t>Code variable</t>
  </si>
  <si>
    <t>كود متغير</t>
  </si>
  <si>
    <t>Код переменной</t>
  </si>
  <si>
    <t>Valor</t>
  </si>
  <si>
    <t>Valeur</t>
  </si>
  <si>
    <t>قيمة</t>
  </si>
  <si>
    <t>Ценность</t>
  </si>
  <si>
    <t>Unidades</t>
  </si>
  <si>
    <t>Unités</t>
  </si>
  <si>
    <t>الوحدات</t>
  </si>
  <si>
    <t>Единицы</t>
  </si>
  <si>
    <t>Tipo de datos</t>
  </si>
  <si>
    <t>Type de données</t>
  </si>
  <si>
    <t>نوع البيانات</t>
  </si>
  <si>
    <t>Тип данных</t>
  </si>
  <si>
    <t>Año</t>
  </si>
  <si>
    <t>An</t>
  </si>
  <si>
    <t>سنة</t>
  </si>
  <si>
    <t>Год</t>
  </si>
  <si>
    <t>Utilisé</t>
  </si>
  <si>
    <t>تستخدم</t>
  </si>
  <si>
    <t>Использовал</t>
  </si>
  <si>
    <t>Reported data</t>
  </si>
  <si>
    <t>Raison non utilisé</t>
  </si>
  <si>
    <t>السبب غير مستخدم</t>
  </si>
  <si>
    <t>Причина не используется</t>
  </si>
  <si>
    <t>Fuente de datos</t>
  </si>
  <si>
    <t>Source de données</t>
  </si>
  <si>
    <t>مصدر البيانات</t>
  </si>
  <si>
    <t>Источник данных</t>
  </si>
  <si>
    <t>Identificación de la fuente</t>
  </si>
  <si>
    <t>Identifiant source</t>
  </si>
  <si>
    <t>معرف المصدر</t>
  </si>
  <si>
    <t>Идентификатор источника</t>
  </si>
  <si>
    <t>notas</t>
  </si>
  <si>
    <t>Remarques</t>
  </si>
  <si>
    <t>ملحوظات</t>
  </si>
  <si>
    <t>Заметки</t>
  </si>
  <si>
    <t>Tipo de entrada de datos</t>
  </si>
  <si>
    <t>Type de saisie de données</t>
  </si>
  <si>
    <t>نوع إدخال البيانات</t>
  </si>
  <si>
    <t>Тип ввода данных</t>
  </si>
  <si>
    <t>Country estimate data, A</t>
  </si>
  <si>
    <t>Población del país/territorio</t>
  </si>
  <si>
    <t>Population du pays/territoire</t>
  </si>
  <si>
    <t>سكان البلد / الإقليم</t>
  </si>
  <si>
    <t>Население страны/территории</t>
  </si>
  <si>
    <t>Country estimate data</t>
  </si>
  <si>
    <t>Proporción de la población con suministro de agua potable en las instalaciones</t>
  </si>
  <si>
    <t>Proportion de la population disposant d'un approvisionnement en eau potable sur place</t>
  </si>
  <si>
    <t>نسبة السكان الذين لديهم إمدادات مياه الشرب في أماكن العمل</t>
  </si>
  <si>
    <t>Доля населения, имеющего питьевое водоснабжение на территории</t>
  </si>
  <si>
    <t>Proporción de la población con suministro de agua potable fuera de las instalaciones</t>
  </si>
  <si>
    <t>Proportion de la population disposant d'un approvisionnement en eau potable hors établissement</t>
  </si>
  <si>
    <t>نسبة السكان الذين لديهم إمدادات مياه الشرب خارج أماكن العمل</t>
  </si>
  <si>
    <t>Доля населения с питьевой водой вне помещений</t>
  </si>
  <si>
    <t>Promedio de agua utilizada por los hogares con suministro de agua en las instalaciones</t>
  </si>
  <si>
    <t>Consommation moyenne d'eau par les ménages disposant d'un approvisionnement en eau sur place</t>
  </si>
  <si>
    <t>متوسط المياه المستخدمة من قبل الأسر المعيشية مع إمدادات المياه في أماكن العمل</t>
  </si>
  <si>
    <t>Среднее потребление воды домохозяйствами с локальным водоснабжением</t>
  </si>
  <si>
    <t>Promedio de agua utilizada por los hogares con suministro de agua fuera de las instalaciones</t>
  </si>
  <si>
    <t>Consommation moyenne d'eau par les ménages disposant d'un approvisionnement en eau hors site</t>
  </si>
  <si>
    <t>متوسط المياه المستخدمة من قبل الأسر المعيشية مع إمدادات المياه خارج أماكن العمل</t>
  </si>
  <si>
    <t>Среднее потребление воды домохозяйствами с внешним водоснабжением</t>
  </si>
  <si>
    <t>Volumen de agua doméstica utilizada</t>
  </si>
  <si>
    <t>Volume d'eau domestique utilisé</t>
  </si>
  <si>
    <t>حجم المياه المنزلية المستخدمة</t>
  </si>
  <si>
    <t>Объем хозяйственно-питьевой воды</t>
  </si>
  <si>
    <t>Proporción del uso doméstico del agua convertida en aguas residuales generadas</t>
  </si>
  <si>
    <t>Proportion de l'eau utilisée par les ménages convertie en eaux usées générées</t>
  </si>
  <si>
    <t>نسبة استخدام المياه المنزلية المحولة إلى مياه الصرف الصحي المتولدة</t>
  </si>
  <si>
    <t>Доля бытового водопользования, преобразованного в образующиеся сточные воды</t>
  </si>
  <si>
    <t>Volumen de aguas residuales domésticas generadas</t>
  </si>
  <si>
    <t>Volume d'eaux usées ménagères généré</t>
  </si>
  <si>
    <t>حجم المياه العادمة المنزلية المتولدة</t>
  </si>
  <si>
    <t>Объем образующихся хозяйственно-бытовых сточных вод</t>
  </si>
  <si>
    <t>Proporción de la población que vive en hogares conectados a alcantarillado</t>
  </si>
  <si>
    <t>Proportion de la population vivant dans des ménages raccordés aux égouts</t>
  </si>
  <si>
    <t>نسبة السكان الذين يعيشون في منازل متصلة بالمجاري</t>
  </si>
  <si>
    <t>Доля населения, проживающего в домохозяйствах, подключенных к канализации</t>
  </si>
  <si>
    <t>Proporción de la población que vive en hogares conectados a fosas sépticas</t>
  </si>
  <si>
    <t>Proportion de la population vivant dans des ménages raccordés à des fosses septiques</t>
  </si>
  <si>
    <t>نسبة السكان الذين يعيشون في منازل موصولة بخزانات التحليل</t>
  </si>
  <si>
    <t>Доля населения, проживающего в домохозяйствах, подключенных к септиктенкам</t>
  </si>
  <si>
    <t>Proporción de la población que vive en hogares con acceso a otras instalaciones de saneamiento mejoradas</t>
  </si>
  <si>
    <t>Proportion de la population vivant dans des ménages ayant accès à d'autres installations sanitaires améliorées</t>
  </si>
  <si>
    <t>نسبة السكان الذين يعيشون في أسر معيشية مع إمكانية الوصول إلى مرافق الصرف الصحي المحسنة الأخرى</t>
  </si>
  <si>
    <t>Доля населения, проживающего в домохозяйствах, имеющих доступ к другим улучшенным санитарно-техническим средствам</t>
  </si>
  <si>
    <t>Proporción de la población que vive en hogares con acceso a instalaciones de saneamiento no mejoradas</t>
  </si>
  <si>
    <t>Proportion de la population vivant dans des ménages ayant accès à des installations sanitaires non améliorées</t>
  </si>
  <si>
    <t>نسبة السكان الذين يعيشون في أسر معيشية مع إمكانية الوصول إلى مرافق الصرف الصحي غير المحسنة</t>
  </si>
  <si>
    <t>Доля населения, проживающего в домохозяйствах, имеющих доступ к неулучшенным санитарно-техническим средствам</t>
  </si>
  <si>
    <t>Proporción de la población que vive en hogares donde los miembros practican la defecación al aire libre</t>
  </si>
  <si>
    <t>Proportion de la population vivant dans des ménages dont les membres pratiquent la défécation à l'air libre</t>
  </si>
  <si>
    <t>نسبة السكان الذين يعيشون في منازل يمارس أفرادها التغوط في العراء</t>
  </si>
  <si>
    <t>Доля населения, проживающего в домохозяйствах, члены которых практикуют открытую дефекацию</t>
  </si>
  <si>
    <t>Volumen de aguas residuales generadas por viviendas conectadas a alcantarillado</t>
  </si>
  <si>
    <t>Volume d'eaux usées générées par les ménages raccordés aux égouts</t>
  </si>
  <si>
    <t>حجم المياه العادمة الناتجة عن الأسر الموصولة بالمجاري</t>
  </si>
  <si>
    <t>Объем сточных вод, образующихся в домохозяйствах, подключенных к канализации</t>
  </si>
  <si>
    <t>Volumen de aguas residuales generadas por viviendas conectadas a fosas sépticas</t>
  </si>
  <si>
    <t>Volume d'eaux usées générées par les ménages raccordés aux fosses septiques</t>
  </si>
  <si>
    <t>حجم المياه العادمة الناتجة عن الأسر الموصولة بخزانات الصرف الصحي</t>
  </si>
  <si>
    <t>Объем сточных вод, образующихся в домохозяйствах, подключенных к септикам</t>
  </si>
  <si>
    <t>Volumen de aguas residuales generadas por hogares con acceso a otras instalaciones de saneamiento mejoradas</t>
  </si>
  <si>
    <t>Volume d'eaux usées générées par les ménages ayant accès à d'autres installations d'assainissement améliorées</t>
  </si>
  <si>
    <t>حجم المياه العادمة الناتجة عن الأسر التي لديها إمكانية الوصول إلى مرافق الصرف الصحي المحسنة الأخرى</t>
  </si>
  <si>
    <t>Объем сточных вод, образующихся в домохозяйствах, имеющих доступ к другим улучшенным санитарно-техническим сооружениям</t>
  </si>
  <si>
    <t>Volumen de aguas residuales generadas por hogares con acceso a instalaciones de saneamiento no mejoradas</t>
  </si>
  <si>
    <t>Volume d'eaux usées générées par les ménages ayant accès à des installations d'assainissement non améliorées</t>
  </si>
  <si>
    <t>حجم المياه العادمة الناتجة عن الأسر التي لديها إمكانية الوصول إلى مرافق الصرف الصحي غير المحسنة</t>
  </si>
  <si>
    <t>Объем сточных вод, образующихся в домохозяйствах, имеющих доступ к неулучшенным санитарно-техническим сооружениям</t>
  </si>
  <si>
    <t>Volumen de aguas residuales generadas por los hogares donde los miembros practican la defecación al aire libre</t>
  </si>
  <si>
    <t>Volume d'eaux usées générées par les ménages dont les membres pratiquent la défécation à l'air libre</t>
  </si>
  <si>
    <t>حجم المياه العادمة الناتجة عن الأسر التي يمارس أفرادها التغوط في العراء</t>
  </si>
  <si>
    <t>Объем сточных вод, образующихся в домохозяйствах, члены которых практикуют открытую дефекацию</t>
  </si>
  <si>
    <t>Proporción de aguas residuales de alcantarillado recolectadas en plantas de tratamiento</t>
  </si>
  <si>
    <t>Proportion des eaux usées d'égout collectées dans les stations d'épuration</t>
  </si>
  <si>
    <t>نسبة مياه الصرف الصحي المجمعة في محطات المعالجة</t>
  </si>
  <si>
    <t>Доля канализационных сточных вод, собранных на очистных сооружениях</t>
  </si>
  <si>
    <t>Proporción de aguas residuales de alcantarillado recolectadas tratadas de manera segura (por cumplimiento) en plantas de tratamiento</t>
  </si>
  <si>
    <t>Proportion d'eaux usées d'égout collectées traitées en toute sécurité (par conformité) dans les stations d'épuration</t>
  </si>
  <si>
    <t>نسبة مياه الصرف الصحي المجمعة والمعالجة بأمان (عن طريق الامتثال) في محطات المعالجة</t>
  </si>
  <si>
    <t>Доля собранных канализационных сточных вод, безопасно очищенных (в соответствии с требованиями) на очистных сооружениях</t>
  </si>
  <si>
    <t>Proporción de aguas residuales de alcantarillado recolectadas tratadas de manera segura (mediante tecnología) en plantas de tratamiento</t>
  </si>
  <si>
    <t>Proportion d'eaux usées d'égout collectées traitées en toute sécurité (par la technologie) dans les stations d'épuration</t>
  </si>
  <si>
    <t>نسبة مياه الصرف الصحي المجمعة والمعالجة بأمان (بالتكنولوجيا) في محطات المعالجة</t>
  </si>
  <si>
    <t>Доля собранных канализационных сточных вод, безопасно очищенных (по технологии) на очистных сооружениях</t>
  </si>
  <si>
    <t>Proporción de fosas sépticas con aguas residuales contenidas</t>
  </si>
  <si>
    <t>Proportion de fosses septiques contenant des eaux usées</t>
  </si>
  <si>
    <t>نسبة خزانات الصرف الصحي المحتوية على مياه الصرف الصحي</t>
  </si>
  <si>
    <t>Доля септиков со сточными водами</t>
  </si>
  <si>
    <t>Proporción de fosas sépticas con lodos fecales vaciados y enterrados in situ</t>
  </si>
  <si>
    <t>Proportion de fosses septiques avec boues fécales vidées et enfouies sur place</t>
  </si>
  <si>
    <t>نسبة خزانات الصرف الصحي مع حمأة البراز التي تم تفريغها ودفنها في الموقع</t>
  </si>
  <si>
    <t>Доля септиков с фекальным осадком, опорожняемых и закапываемых на месте</t>
  </si>
  <si>
    <t>Proporción de fosas sépticas con lodos fecales vaciados y vertidos localmente (no recogidos)</t>
  </si>
  <si>
    <t>Proportion de fosses septiques avec boues fécales vidées et rejetées localement (non collectées)</t>
  </si>
  <si>
    <t>نسبة خزانات الصرف الصحي مع حمأة البراز التي تم تفريغها وتفريغها محليًا (غير مجمعة)</t>
  </si>
  <si>
    <t>Доля септических емкостей с фекальным осадком, опорожняемых и сбрасываемых локально (не собираемых)</t>
  </si>
  <si>
    <t>Proporción de fosas sépticas con lodos fecales vaciados y retirados fuera del sitio</t>
  </si>
  <si>
    <t>Proportion de fosses septiques contenant des boues fécales vidées et évacuées hors site</t>
  </si>
  <si>
    <t>نسبة خزانات الصرف الصحي مع حمأة البراز التي تم تفريغها وإزالتها خارج الموقع</t>
  </si>
  <si>
    <t>Доля септических емкостей с фекальным осадком, опорожняемых и удаляемых за пределы площадки</t>
  </si>
  <si>
    <t>Proporción de fosas sépticas con lodos fecales aún no vaciados</t>
  </si>
  <si>
    <t>Proportion de fosses septiques contenant des boues fécales non encore vidangées</t>
  </si>
  <si>
    <t>نسبة خزانات الصرف الصحي ذات الحمأة البرازية التي لم يتم تفريغها بعد</t>
  </si>
  <si>
    <t>Доля септиков с фекальным осадком, которые еще не опорожнены</t>
  </si>
  <si>
    <t>Proporción de fosas sépticas con lodos fecales recogidos y tratados de forma segura en plantas de tratamiento externas</t>
  </si>
  <si>
    <t>Proportion de fosses septiques contenant des boues fécales collectées et traitées en toute sécurité dans des stations d'épuration hors site</t>
  </si>
  <si>
    <t>نسبة خزانات الصرف الصحي مع حمأة البراز التي تم جمعها ومعالجتها بأمان في محطات المعالجة خارج الموقع</t>
  </si>
  <si>
    <t>Доля септических резервуаров с фекальным илом, собранным и безопасно обработанным на очистных сооружениях за пределами площадки</t>
  </si>
  <si>
    <t>Volumen de aguas residuales de fosas sépticas recogidas en fosas sépticas con lodos fecales recogidos in situ</t>
  </si>
  <si>
    <t>Volume des eaux usées des fosses septiques collectées dans les fosses septiques avec des boues fécales collectées sur place</t>
  </si>
  <si>
    <t>حجم المياه العادمة لخزانات الصرف الصحي المجمعة في خزانات الصرف الصحي مع حمأة البراز التي تم جمعها في الموقع</t>
  </si>
  <si>
    <t>Объем сточных вод из септических резервуаров, собранных в септических резервуарах с фекальным илом, собранным на месте</t>
  </si>
  <si>
    <t>Volumen de aguas residuales de alcantarillado tratadas de manera segura en las plantas de tratamiento de aguas residuales</t>
  </si>
  <si>
    <t>Volume des eaux usées d'égout traitées en toute sécurité dans les usines de traitement des eaux usées</t>
  </si>
  <si>
    <t>حجم مياه الصرف الصحي المعالجة بأمان في محطات معالجة مياه الصرف الصحي</t>
  </si>
  <si>
    <t>Объем канализационных сточных вод, безопасно очищаемых на очистных сооружениях</t>
  </si>
  <si>
    <t>Volume d'eaux usées de fosses septiques traitées en toute sécurité dans des fosses septiques avec des boues fécales traitées en toute sécurité dans des stations d'épuration hors site</t>
  </si>
  <si>
    <t>Volumen de aguas residuales de fosas sépticas tratadas de forma segura en fosas sépticas con lodos fecales tratados de forma segura in situ</t>
  </si>
  <si>
    <t>Volume des eaux usées des fosses septiques traitées en toute sécurité dans les fosses septiques avec des boues fécales traitées en toute sécurité sur place</t>
  </si>
  <si>
    <t>حجم المياه العادمة لخزانات الصرف الصحي المعالجة بأمان في خزانات الصرف الصحي مع حمأة البراز المعالجة بأمان في الموقع</t>
  </si>
  <si>
    <t>Объем сточных вод из септических резервуаров, безопасно очищаемых в септических резервуарах с фекальным илом, безопасно очищаемым на месте</t>
  </si>
  <si>
    <t>Volumen de aguas residuales domésticas tratadas de manera segura</t>
  </si>
  <si>
    <t>Volume d'eaux usées domestiques traitées en toute sécurité</t>
  </si>
  <si>
    <t>حجم مياه الصرف الصحي المعالجة بأمان</t>
  </si>
  <si>
    <t>Объем безопасно очищенных хозяйственно-бытовых сточных вод</t>
  </si>
  <si>
    <t>Proporción de aguas residuales de alcantarillado tratadas de manera segura</t>
  </si>
  <si>
    <t>Proportion d'eaux usées d'égout traitées en toute sécurité</t>
  </si>
  <si>
    <t>نسبة مياه الصرف الصحي المعالجة بأمان</t>
  </si>
  <si>
    <t>Доля канализационных сточных вод, прошедших безопасную очистку</t>
  </si>
  <si>
    <t>Proporción de aguas residuales de tanques sépticos y lodos fecales tratados de manera segura fuera del sitio</t>
  </si>
  <si>
    <t>Proportion d'eaux usées de fosses septiques et de boues fécales traitées en toute sécurité hors site</t>
  </si>
  <si>
    <t>نسبة المياه المستعملة في خزانات الصرف الصحي وحمأة البراز المعالجة بأمان خارج الموقع</t>
  </si>
  <si>
    <t>Доля сточных вод из септиктенков и фекального шлама, безопасно очищаемых за пределами объекта</t>
  </si>
  <si>
    <t>Proporción de aguas residuales de tanques sépticos y lodos fecales tratados de manera segura en el sitio</t>
  </si>
  <si>
    <t>Proportion d'eaux usées de fosses septiques et de boues fécales traitées en toute sécurité sur place</t>
  </si>
  <si>
    <t>نسبة المياه المستعملة في خزانات الصرف الصحي وحمأة البراز المعالجة بأمان في الموقع</t>
  </si>
  <si>
    <t>Доля сточных вод из септиктенков и фекального шлама, безопасно очищаемых на месте</t>
  </si>
  <si>
    <t>Proporción de aguas residuales domésticas tratadas de manera segura (ODS 6.3.1)</t>
  </si>
  <si>
    <t>Proportion d'eaux usées ménagères traitées en toute sécurité (ODD 6.3.1)</t>
  </si>
  <si>
    <t>نسبة المياه العادمة المنزلية المعالجة بأمان (هدف التنمية المستدامة 6.3.1)</t>
  </si>
  <si>
    <t>Доля безопасно очищенных бытовых сточных вод (ЦУР 6.3.1)</t>
  </si>
  <si>
    <t>Country estimate data, A, C, D, E, $Lists</t>
  </si>
  <si>
    <t>Porcentaje</t>
  </si>
  <si>
    <t>Pourcentage</t>
  </si>
  <si>
    <t>نسبة مئوية</t>
  </si>
  <si>
    <t>Процент</t>
  </si>
  <si>
    <t>Millones de m3/año</t>
  </si>
  <si>
    <t>Millions de m3/an</t>
  </si>
  <si>
    <t>مليون م 3 / سنة</t>
  </si>
  <si>
    <t>млн м3/год</t>
  </si>
  <si>
    <t>Litros/persona/día</t>
  </si>
  <si>
    <t>Litres/personne/jour</t>
  </si>
  <si>
    <t>لتر / فرد / يوم</t>
  </si>
  <si>
    <t>литров/человек/день</t>
  </si>
  <si>
    <t>1000 personas</t>
  </si>
  <si>
    <t>1000 personnes</t>
  </si>
  <si>
    <t>1000 شخص</t>
  </si>
  <si>
    <t>1000 человек</t>
  </si>
  <si>
    <t>A, B, C, D, E</t>
  </si>
  <si>
    <t>Notas:</t>
  </si>
  <si>
    <t>Remarques:</t>
  </si>
  <si>
    <t>ملحوظات:</t>
  </si>
  <si>
    <t>Заметки:</t>
  </si>
  <si>
    <t>- Hypothèse</t>
  </si>
  <si>
    <t>أ- الافتراض</t>
  </si>
  <si>
    <t>А - Успенский</t>
  </si>
  <si>
    <t>C - Valor calculado internamente</t>
  </si>
  <si>
    <t>C - Valeur calculée en interne</t>
  </si>
  <si>
    <t>ج - القيمة المحسوبة داخليا</t>
  </si>
  <si>
    <t>C - Внутреннее расчетное значение</t>
  </si>
  <si>
    <t>E - Valor estimado basado en estadísticas nacionales oficiales</t>
  </si>
  <si>
    <t>E - Valeur estimée basée sur les statistiques nationales officielles</t>
  </si>
  <si>
    <t>هـ- القيمة التقديرية بناءً على الإحصاءات الوطنية الرسمية</t>
  </si>
  <si>
    <t>E - расчетное значение, основанное на официальной национальной статистике.</t>
  </si>
  <si>
    <t>R - Valor informado procedente de estadísticas nacionales oficiales</t>
  </si>
  <si>
    <t>R - Valeur déclarée provenant des statistiques nationales officielles</t>
  </si>
  <si>
    <t>ص - القيمة المبلغ عنها مصدرها الإحصاءات الوطنية الرسمية</t>
  </si>
  <si>
    <t>R - отчетное значение, полученное из официальной национальной статистики.</t>
  </si>
  <si>
    <t>A, C</t>
  </si>
  <si>
    <t>Código</t>
  </si>
  <si>
    <t>شفرة</t>
  </si>
  <si>
    <t>Код</t>
  </si>
  <si>
    <t>Esta hoja de trabajo presenta datos y cálculos para calcular el volumen total de aguas residuales domésticas generadas por año [8], en función de la población, el uso de agua per cápita y un factor de conversión de agua doméstica en aguas residuales. Sin embargo, si se ha informado oficialmente el volumen total de aguas residuales domésticas generadas, se ha utilizado directamente y las variables [1] a [7] ya no son aplicables.</t>
  </si>
  <si>
    <t>Cette feuille de calcul présente des données et des calculs pour le calcul du volume total d'eaux usées domestiques générées par an [8], en fonction de la population, de l'utilisation d'eau par habitant et d'un facteur de conversion de l'eau domestique en eaux usées. Cependant, si le volume total d'eaux usées ménagères généré a été déclaré officiellement, il a été utilisé directement et les variables [1] à [7] ne sont plus applicables.</t>
  </si>
  <si>
    <t>تعرض ورقة العمل هذه بيانات وحسابات لحساب الحجم الإجمالي للمياه العادمة المنزلية المتولدة سنويًا [8] ، بناءً على عدد السكان ، ونصيب الفرد من استخدام المياه ، وعامل تحويل المياه المنزلية إلى مياه الصرف الصحي. ومع ذلك ، إذا تم الإبلاغ رسميًا عن الحجم الإجمالي للمياه العادمة المنزلية المتولدة ، فقد تم استخدامها بشكل مباشر ولم تعد المتغيرات من [1] إلى [7] قابلة للتطبيق.</t>
  </si>
  <si>
    <t>В этой рабочей таблице представлены данные и расчеты для расчета общего объема бытовых сточных вод, образующихся за год [8], на основе численности населения, потребления воды на душу населения и коэффициента преобразования бытовых вод в сточные воды. Однако, если официально сообщается об общем объеме образующихся бытовых сточных вод, он используется напрямую, и переменные [1]–[7] более не применимы.</t>
  </si>
  <si>
    <t>Ubicación del suministro de agua potable (proporción de la población)</t>
  </si>
  <si>
    <t>Localisation de l'approvisionnement en eau de boisson (proportion de la population)</t>
  </si>
  <si>
    <t>موقع إمدادات مياه الشرب (نسبة السكان)</t>
  </si>
  <si>
    <t>Расположение питьевого водоснабжения (доля населения)</t>
  </si>
  <si>
    <t>En las instalaciones*</t>
  </si>
  <si>
    <t>Sur site*</t>
  </si>
  <si>
    <t>في أماكن العمل *</t>
  </si>
  <si>
    <t>Локально*</t>
  </si>
  <si>
    <t>Fuera de las instalaciones*</t>
  </si>
  <si>
    <t>Hors site*</t>
  </si>
  <si>
    <t>خارج أماكن العمل *</t>
  </si>
  <si>
    <t>Вне помещения*</t>
  </si>
  <si>
    <t>Agua doméstica utilizada</t>
  </si>
  <si>
    <t>Eau domestique utilisée</t>
  </si>
  <si>
    <t>استخدام المياه المنزلية</t>
  </si>
  <si>
    <t>Используемая хозяйственно-питьевая вода</t>
  </si>
  <si>
    <t>Local* (promedio)</t>
  </si>
  <si>
    <t>Sur site* (moyen)</t>
  </si>
  <si>
    <t>محلي * (متوسط)</t>
  </si>
  <si>
    <t>Локально* (в среднем)</t>
  </si>
  <si>
    <t>Fuera de las instalaciones* (promedio)</t>
  </si>
  <si>
    <t>Hors site* (moyen)</t>
  </si>
  <si>
    <t>خارج أماكن العمل * (متوسط)</t>
  </si>
  <si>
    <t>Вне помещения* (в среднем)</t>
  </si>
  <si>
    <t>Aguas residuales domésticas generadas</t>
  </si>
  <si>
    <t>Eaux usées ménagères générées</t>
  </si>
  <si>
    <t>المياه العادمة المنزلية المتولدة</t>
  </si>
  <si>
    <t>Образуются бытовые сточные воды</t>
  </si>
  <si>
    <t>* - Dentro y fuera de las instalaciones en referencia a la ubicación del suministro primario de agua potable</t>
  </si>
  <si>
    <t>* - Sur site et hors site se référant à l'emplacement de l'approvisionnement primaire en eau potable</t>
  </si>
  <si>
    <t>* - داخل وخارج أماكن العمل تشير إلى موقع مصدر إمداد مياه الشرب الأساسي</t>
  </si>
  <si>
    <t>* - внутри и вне помещений с учетом расположения основного хозяйственно-питьевого водоснабжения</t>
  </si>
  <si>
    <t>Total household wastewater generated has been backcalculated using the officially reported data for [9] and variables [1] to [7] are not used to calculate [8]</t>
  </si>
  <si>
    <t>El total de aguas residuales domésticas generadas se ha recalculado utilizando los datos notificados oficialmente para [9] y las variables [1] a [7] no se utilizan para calcular [8]</t>
  </si>
  <si>
    <t>Le total des eaux usées ménagères générées a été rétrocalculé à l'aide des données officiellement déclarées pour [9] et les variables [1] à [7] ne sont pas utilisées pour calculer [8]</t>
  </si>
  <si>
    <t>تمت إعادة حساب إجمالي مياه الصرف المنزلية المتولدة باستخدام البيانات المبلغ عنها رسميًا لـ [9] والمتغيرات من [1] إلى [7] لا تُستخدم لحساب [8]</t>
  </si>
  <si>
    <t>Общий объем образующихся бытовых сточных вод был рассчитан обратно с использованием официально представленных данных для [9], а переменные [1]–[7] не используются для расчета [8].</t>
  </si>
  <si>
    <t>; variables [1] to [7] are not used to calculate [8]</t>
  </si>
  <si>
    <t>; las variables [1] a [7] no se utilizan para calcular [8]</t>
  </si>
  <si>
    <t>; les variables [1] à [7] ne sont pas utilisées pour calculer [8]</t>
  </si>
  <si>
    <t>؛ المتغيرات من [1] إلى [7] لا تُستخدم لحساب [8]</t>
  </si>
  <si>
    <t>; переменные с [1] по [7] не используются для расчета [8]</t>
  </si>
  <si>
    <t>Part B: Estimation of household wastewater generated by stream (sanitation facility type)</t>
  </si>
  <si>
    <t>Partie B : Estimation des eaux usées ménagères générées par cours d'eau (type installation d'assainissement)</t>
  </si>
  <si>
    <t>الجزء ب: تقدير مياه الصرف المنزلية الناتجة عن التيار (نوع مرفق الصرف الصحي)</t>
  </si>
  <si>
    <t>Часть B: Оценка хозяйственно-бытовых сточных вод, образующихся в ручье (тип санитарно-технических сооружений)</t>
  </si>
  <si>
    <t>Esta hoja de trabajo presenta datos y cálculos sobre el desglose del volumen total de aguas residuales domésticas generadas [8] de la Parte A por corriente de aguas residuales (clasificadas por tipo de instalación de saneamiento doméstico). Para algunos países, la proporción volumétrica del flujo total de aguas residuales domésticas en cada corriente (columna H) puede diferir de la proporción basada en la población (columna C) porque la desagregación volumétrica (columna F) explica el hecho de que los hogares con instalaciones de saneamiento sofisticadas (alcantarillas y tanques sépticos) tienen más probabilidades de tener también su suministro de agua potable en el local, y que el uso del agua y las aguas residuales producidas pueden ser mayores entre aquellos hogares con suministro en el local.</t>
  </si>
  <si>
    <t>Cette feuille de calcul présente des données et des calculs sur la désagrégation du volume total d'eaux usées ménagères générées [8] à partir de la partie A par flux d'eaux usées (classé par type d'installation d'assainissement domestique). Pour certains pays, la proportion volumétrique du débit total d'eaux usées domestiques dans chaque cours d'eau (colonne H) peut différer de la proportion basée sur la population (colonne C) parce que la désagrégation volumétrique (colonne F) tient compte du fait que les ménages disposant d'installations sanitaires sophistiquées (égouts et fosses septiques) sont plus susceptibles d'avoir également leur approvisionnement en eau potable sur place, et que la consommation d'eau et les eaux usées produites peuvent être plus élevées chez les ménages disposant d'un approvisionnement sur place.</t>
  </si>
  <si>
    <t>تعرض ورقة العمل هذه بيانات وحسابات حول تفصيل الحجم الإجمالي لمياه الصرف المنزلية المتولدة [8] من الجزء أ حسب تيار المياه العادمة (مصنفة حسب نوع مرفق الصرف الصحي المنزلي). بالنسبة لبعض البلدان ، قد تختلف النسبة الحجمية لإجمالي تدفق المياه العادمة المنزلية في كل تيار (العمود H) عن النسبة القائمة على السكان (العمود C) لأن التصنيف الحجمي (العمود F) يفسر حقيقة أن الأسر التي لديها مرافق صرف صحي متطورة (المجاري) وخزانات الصرف الصحي) من المرجح أن يكون لديها أيضًا إمدادات مياه الشرب الخاصة بهم في المباني ، وأن استخدام المياه ومياه الصرف الصحي المنتجة قد يكون أعلى بين تلك الأسر التي لديها إمدادات محلية.</t>
  </si>
  <si>
    <t>В данной рабочей таблице представлены данные и расчеты по дезагрегации общего объема хозяйственно-бытовых сточных вод, образующихся [8] из Части А, по потокам сточных вод (классифицированным по типу хозяйственно-бытовых санитарно-технических сооружений). Для некоторых стран объемная доля общего стока бытовых сточных вод в каждом водотоке (столбец H) может отличаться от доли населения (столбец C), поскольку объемная дезагрегация (столбец F) учитывает тот факт, что домохозяйства со сложными санитарно-техническими средствами (канализационными и септические резервуары) с большей вероятностью также будут иметь снабжение питьевой водой на территории, и что потребление воды и количество сточных вод могут быть выше среди тех домохозяйств, у которых есть снабжение на территории.</t>
  </si>
  <si>
    <t>Cobertura de instalaciones de saneamiento domiciliario</t>
  </si>
  <si>
    <t>Couverture des installations d'assainissement des ménages</t>
  </si>
  <si>
    <t>تغطية المرافق الصحية المنزلية</t>
  </si>
  <si>
    <t>Охват бытовыми санитарно-техническими средствами</t>
  </si>
  <si>
    <t>Aguas residuales domésticas generadas por tipo de instalación de saneamiento</t>
  </si>
  <si>
    <t>Eaux usées ménagères générées par type d'installation d'assainissement</t>
  </si>
  <si>
    <t>مياه الصرف المنزلية الناتجة عن نوع مرفق الصرف الصحي</t>
  </si>
  <si>
    <t>Хозяйственно-бытовые сточные воды, образующиеся по типу санитарно-технических сооружений</t>
  </si>
  <si>
    <t>Tipo de instalación de saneamiento</t>
  </si>
  <si>
    <t>Type d'installation d'assainissement</t>
  </si>
  <si>
    <t>نوع مرفق الصرف الصحي</t>
  </si>
  <si>
    <t>Тип санузла</t>
  </si>
  <si>
    <t>Proporción de la población [%]</t>
  </si>
  <si>
    <t>Proportion de la population [%]</t>
  </si>
  <si>
    <t>نسبة السكان [٪]</t>
  </si>
  <si>
    <t>Доля населения [%]</t>
  </si>
  <si>
    <t>B, D, E</t>
  </si>
  <si>
    <t>الحجم [مليون متر مكعب / سنة]</t>
  </si>
  <si>
    <t>Объем [млн м3/год]</t>
  </si>
  <si>
    <t>Proporción de volumen [%]</t>
  </si>
  <si>
    <t>Proportion de volume [%]</t>
  </si>
  <si>
    <t>نسبة الحجم [٪]</t>
  </si>
  <si>
    <t>Объемная доля [%]</t>
  </si>
  <si>
    <t>Volet 1 : Égouts</t>
  </si>
  <si>
    <t>التيار 1: المجاري</t>
  </si>
  <si>
    <t>Поток 1: канализация</t>
  </si>
  <si>
    <t>Volet 2 : Fosses septiques</t>
  </si>
  <si>
    <t>التيار 2: خزانات الصرف الصحي</t>
  </si>
  <si>
    <t>Поток 2: Септики</t>
  </si>
  <si>
    <t>Otras instalaciones mejoradas</t>
  </si>
  <si>
    <t>Autres installations améliorées</t>
  </si>
  <si>
    <t>مرافق محسنة أخرى</t>
  </si>
  <si>
    <t>Другие улучшенные удобства</t>
  </si>
  <si>
    <t>Instalaciones no mejoradas</t>
  </si>
  <si>
    <t>Installations non améliorées</t>
  </si>
  <si>
    <t>مرافق غير محسنة</t>
  </si>
  <si>
    <t>Неулучшенные объекты</t>
  </si>
  <si>
    <t>Defecación al aire libre</t>
  </si>
  <si>
    <t>Défécation en plein air</t>
  </si>
  <si>
    <t>التغوط في العراء</t>
  </si>
  <si>
    <t>Открытая дефекация</t>
  </si>
  <si>
    <t>Requisitos de datos para una estimación de país:</t>
  </si>
  <si>
    <t>Exigences en matière de données pour une estimation par pays :</t>
  </si>
  <si>
    <t>متطلبات البيانات لتقدير البلد:</t>
  </si>
  <si>
    <t>Требования к данным для оценки по стране:</t>
  </si>
  <si>
    <t>More wastewater was generated by households with sewer connections [14] than those with septic tank connections [15].</t>
  </si>
  <si>
    <t>Los hogares con conexiones de alcantarillado [14] generaron más aguas residuales que aquellos con conexiones a tanques sépticos [15].</t>
  </si>
  <si>
    <t>Plus d'eaux usées étaient générées par les ménages raccordés aux égouts [14] que par ceux raccordés aux fosses septiques [15].</t>
  </si>
  <si>
    <t>تم إنتاج مياه الصرف الصحي من قبل المنازل التي لديها وصلات الصرف الصحي [14] أكثر من تلك التي لديها وصلات خزانات الصرف الصحي [15].</t>
  </si>
  <si>
    <t>Домохозяйства с подключением к канализации [14] образовывали больше сточных вод, чем домохозяйства с подключением к септиктенку [15].</t>
  </si>
  <si>
    <t xml:space="preserve"> Accordingly, data on sewer wastewater treatment plant performance [20]/[21] are needed to produce an estimate of safely treated wastewater.</t>
  </si>
  <si>
    <t xml:space="preserve"> En consecuencia, se necesitan datos sobre el rendimiento de la planta de tratamiento de aguas residuales [20]/[21] para producir una estimación de las aguas residuales tratadas de manera segura.</t>
  </si>
  <si>
    <t xml:space="preserve"> En conséquence, des données sur les performances des usines de traitement des eaux usées des égouts [20]/[21] sont nécessaires pour produire une estimation des eaux usées traitées en toute sécurité.</t>
  </si>
  <si>
    <t xml:space="preserve"> وبناءً على ذلك ، فإن البيانات الخاصة بأداء محطة معالجة مياه الصرف الصحي [20] / [21] ضرورية لإنتاج تقدير لمياه الصرف الصحي المعالجة بأمان.</t>
  </si>
  <si>
    <t xml:space="preserve"> Соответственно, для оценки безопасно очищенных сточных вод необходимы данные о производительности очистных сооружений [20]/[21].</t>
  </si>
  <si>
    <t>More wastewater was generated by households with septic tank connections [15] than those with sewer connections [14].</t>
  </si>
  <si>
    <t>Los hogares con conexiones a tanques sépticos [15] generaron más aguas residuales que aquellos con conexiones a alcantarillado [14].</t>
  </si>
  <si>
    <t>Plus d'eaux usées étaient générées par les ménages raccordés à une fosse septique [15] que par ceux raccordés aux égouts [14].</t>
  </si>
  <si>
    <t>تم توليد المزيد من المياه العادمة من قبل المنازل التي لديها وصلات خزانات الصرف الصحي [15] أكثر من تلك التي لديها وصلات الصرف الصحي [14].</t>
  </si>
  <si>
    <t>Домохозяйства с подключением к септиктенку [15] образовывали больше сточных вод, чем домохозяйства с подключением к канализации [14].</t>
  </si>
  <si>
    <t xml:space="preserve"> Accordingly, data on septic tank emptying practices [23-26] are needed to produce an estimate of safely treated wastewater.</t>
  </si>
  <si>
    <t xml:space="preserve"> En consecuencia, se necesitan datos sobre las prácticas de vaciado de tanques sépticos [23-26] para producir una estimación de las aguas residuales tratadas de manera segura.</t>
  </si>
  <si>
    <t xml:space="preserve"> En conséquence, des données sur les pratiques de vidange des fosses septiques [23-26] sont nécessaires pour produire une estimation des eaux usées traitées en toute sécurité.</t>
  </si>
  <si>
    <t xml:space="preserve"> وفقًا لذلك ، هناك حاجة إلى البيانات الخاصة بممارسات تفريغ خزانات الصرف الصحي [23-26] لإنتاج تقدير لمياه الصرف الصحي المعالجة بأمان.</t>
  </si>
  <si>
    <t xml:space="preserve"> Соответственно, данные о практике опорожнения септиктенков [23-26] необходимы для получения оценки безопасно очищенных сточных вод.</t>
  </si>
  <si>
    <t>Esta hoja de trabajo presenta datos sobre las variables asociadas con la cadena de gestión de aguas residuales domésticas que cubren las corrientes de aguas residuales de alcantarillado y fosa séptica. Estos datos respaldan el cálculo de la proporción de flujos recolectados en las instalaciones de tratamiento (Parte D) y tratados de manera segura (Parte E) dentro de cada corriente.</t>
  </si>
  <si>
    <t>Cette feuille de travail présente des données sur les variables associées à la chaîne de gestion des eaux usées domestiques couvrant les flux d'eaux usées des égouts et des fosses septiques. Ces données appuient le calcul de la proportion des flux collectés dans les installations de traitement (partie D) et traités en toute sécurité (partie E) dans chaque flux.</t>
  </si>
  <si>
    <t>تعرض ورقة العمل هذه بيانات حول المتغيرات المرتبطة بسلسلة إدارة مياه الصرف الصحي المنزلية التي تغطي مجاري الصرف الصحي وخزانات الصرف الصحي. تدعم هذه البيانات حساب نسبة التدفقات المجمعة في مرافق المعالجة (الجزء د) والمعالجة بأمان (الجزء هـ) داخل كل تيار.</t>
  </si>
  <si>
    <t>В этом рабочем листе представлены данные о переменных, связанных с цепочкой управления бытовыми сточными водами, охватывающей потоки сточных вод из канализации и септических резервуаров. Эти данные поддерживают расчет доли потоков, собранных на очистных сооружениях (часть D) и безопасно обработанных (часть E) в каждом потоке.</t>
  </si>
  <si>
    <t>Volet 1 : Débits d'eaux usées d'égout</t>
  </si>
  <si>
    <t>التيار 1: تدفقات مياه الصرف الصحي في المجاري</t>
  </si>
  <si>
    <t>Поток 1: Потоки канализационных сточных вод</t>
  </si>
  <si>
    <t>Volumen de aguas residuales de alcantarillado generado</t>
  </si>
  <si>
    <t>Volume d'eaux usées d'égout généré</t>
  </si>
  <si>
    <t>حجم مياه الصرف الصحي المتولدة</t>
  </si>
  <si>
    <t>Объем образующихся канализационных сточных вод</t>
  </si>
  <si>
    <t>Aguas residuales de alcantarillado como proporción del total de aguas residuales domésticas generadas</t>
  </si>
  <si>
    <t>Eaux usées des égouts en proportion des eaux usées ménagères totales générées</t>
  </si>
  <si>
    <t>مياه الصرف الصحي كنسبة من إجمالي المياه العادمة المنزلية المتولدة</t>
  </si>
  <si>
    <t>Канализационные сточные воды в процентах от общего количества образующихся бытовых сточных вод</t>
  </si>
  <si>
    <t>Volet 2 : Débits des eaux usées des fosses septiques</t>
  </si>
  <si>
    <t>التيار 2: تدفقات المياه المستعملة لخزانات الصرف الصحي</t>
  </si>
  <si>
    <t>Поток 2: потоки сточных вод септика</t>
  </si>
  <si>
    <t>Volumen de aguas residuales de fosas sépticas generadas</t>
  </si>
  <si>
    <t>Volume d'eaux usées de fosse septique généré</t>
  </si>
  <si>
    <t>حجم المياه العادمة لخزانات الصرف الصحي المتولدة</t>
  </si>
  <si>
    <t>Объем сточных вод септика</t>
  </si>
  <si>
    <t>Aguas residuales de fosas sépticas como proporción del total de aguas residuales domésticas generadas</t>
  </si>
  <si>
    <t>Eaux usées des fosses septiques en proportion des eaux usées ménagères totales générées</t>
  </si>
  <si>
    <t>المياه العادمة لخزانات الصرف الصحي كنسبة من إجمالي المياه العادمة المنزلية المتولدة</t>
  </si>
  <si>
    <t>Сточные воды септиков как доля от общего количества образующихся бытовых сточных вод</t>
  </si>
  <si>
    <t>Volet 2a : Traitement des eaux usées des fosses septiques et élimination hors site</t>
  </si>
  <si>
    <t>التيار 2 أ: معالجة المياه المستعملة لخزانات الصرف الصحي والتخلص منها خارج الموقع</t>
  </si>
  <si>
    <t>Поток 2а: Очистка сточных вод из септика и удаление за пределы участка</t>
  </si>
  <si>
    <t>Proporción de tanques con lodos fecales vaciados y descargados localmente</t>
  </si>
  <si>
    <t>نسبة خزانات الحمأة البرازية التي تم تفريغها وتفريغها محليًا</t>
  </si>
  <si>
    <t>Доля резервуаров с фекальным осадком, опорожняемых и сбрасываемых на месте</t>
  </si>
  <si>
    <t>Proporción de tanques con lodos fecales vaciados y retirados fuera del sitio</t>
  </si>
  <si>
    <t>نسبة الخزانات التي بها حمأة برازية تم تفريغها وإزالتها خارج الموقع</t>
  </si>
  <si>
    <t>Доля резервуаров с фекальным осадком, опорожняемых и вывозимых за пределы участка</t>
  </si>
  <si>
    <t>Volet 2b : Traitement des eaux usées des fosses septiques et élimination sur place</t>
  </si>
  <si>
    <t>التيار 2 ب: معالجة المياه المستعملة لخزانات الصرف الصحي والتخلص منها في الموقع</t>
  </si>
  <si>
    <t>Поток 2b: Очистка сточных вод из септика и утилизация на месте</t>
  </si>
  <si>
    <t>Proporción de tanques con lodos fecales vaciados y enterrados in situ</t>
  </si>
  <si>
    <t>نسبة خزانات الحمأة البرازية التي تم تفريغها ودفنها في الموقع</t>
  </si>
  <si>
    <t>Доля резервуаров с фекальным осадком, опорожняемых и закапываемых на месте</t>
  </si>
  <si>
    <t>Proporción de tanques con lodos fecales aún no vaciados</t>
  </si>
  <si>
    <t>نسبة الخزانات التي بها حمأة برازية لم يتم تفريغها بعد</t>
  </si>
  <si>
    <t>Доля резервуаров с фекальным осадком, которые еще не опорожнены</t>
  </si>
  <si>
    <t>C, E</t>
  </si>
  <si>
    <t>¿Son suficientes los datos para calcular una estimación de país?</t>
  </si>
  <si>
    <t>Les données sont-elles suffisantes pour calculer une estimation par pays ?</t>
  </si>
  <si>
    <t>هل البيانات كافية لحساب تقدير البلد؟</t>
  </si>
  <si>
    <t>Достаточно ли данных для расчета оценки по стране?</t>
  </si>
  <si>
    <t>Yes, since the volume of sewer wastewater generated [14] is greater than the volume of septic tank wastewater generated [15], and data on sewer wastewater treatment performance [20]/[21] are reported</t>
  </si>
  <si>
    <t>Sí, ya que el volumen de aguas residuales generadas por el alcantarillado [14] es mayor que el volumen de aguas residuales generadas por fosas sépticas [15], y se notifican datos sobre el rendimiento del tratamiento de aguas residuales [20]/[21]</t>
  </si>
  <si>
    <t>Oui, étant donné que le volume d'eaux usées d'égout généré [14] est supérieur au volume d'eaux usées de fosse septique généré [15], et que des données sur les performances de traitement des eaux usées d'égout [20]/[21] sont rapportées</t>
  </si>
  <si>
    <t>نعم ، نظرًا لأن حجم مياه الصرف الصحي المتولدة [14] أكبر من حجم المياه العادمة لخزانات الصرف الصحي المتولدة [15] ، وتم الإبلاغ عن البيانات المتعلقة بأداء معالجة مياه الصرف الصحي [20] / [21]</t>
  </si>
  <si>
    <t>Да, так как объем образующихся канализационных сточных вод [14] больше, чем объем образующихся сточных вод из септических резервуаров [15], и данные об эффективности очистки канализационных сточных вод [20]/[21] приводятся в отчете.</t>
  </si>
  <si>
    <t>No,  since the volume of sewer wastewater generated [14] is greater than the volume of septic tank wastewater generated [15], and data on sewer wastewater treatment performance [20]/[21] are not reported</t>
  </si>
  <si>
    <t>No, ya que el volumen de aguas residuales de alcantarillado generado [14] es mayor que el volumen de aguas residuales de fosas sépticas generadas [15], y no se informan datos sobre el rendimiento del tratamiento de aguas residuales de alcantarillado [20]/[21]</t>
  </si>
  <si>
    <t>Non, car le volume d'eaux usées d'égout généré [14] est supérieur au volume d'eaux usées de fosse septique généré [15], et les données sur les performances de traitement des eaux usées d'égout [20]/[21] ne sont pas rapportées</t>
  </si>
  <si>
    <t>لا ، نظرًا لأن حجم مياه الصرف الصحي المتولدة [14] أكبر من حجم المياه العادمة لخزانات الصرف الصحي المتولدة [15] ، ولم يتم الإبلاغ عن البيانات المتعلقة بأداء معالجة مياه الصرف الصحي [20] / [21]</t>
  </si>
  <si>
    <t>Нет, так как объем образующихся канализационных сточных вод [14] больше, чем объем образующихся сточных вод из септиктенков [15], а данные об эффективности очистки канализационных сточных вод [20]/[21] не приводятся.</t>
  </si>
  <si>
    <t>Yes, since the volume of septic tank wastewater generated [15] is greater than the volume of sewer wastewater generated [14], and data on septic tank management [23-26] are reported</t>
  </si>
  <si>
    <t>Sí, ya que el volumen de aguas residuales generadas por tanques sépticos [15] es mayor que el volumen de aguas residuales generadas por alcantarillado [14], y se reportan datos sobre el manejo de tanques sépticos [23-26]</t>
  </si>
  <si>
    <t>Oui, étant donné que le volume d'eaux usées de fosse septique généré [15] est supérieur au volume d'eaux usées d'égout généré [14], et les données sur la gestion des fosses septiques [23-26] sont rapportées</t>
  </si>
  <si>
    <t>نعم ، نظرًا لأن حجم المياه العادمة لخزانات الصرف الصحي المتولدة [15] أكبر من حجم مياه الصرف الصحي المتولدة [14] ، وتم الإبلاغ عن بيانات إدارة خزانات الصرف الصحي [23-26]</t>
  </si>
  <si>
    <t>Да, поскольку объем сточных вод, образующихся в септиктенках [15], больше, чем объем образующихся сточных вод [14], и данные по управлению септиктенками [23-26] приводятся в отчете.</t>
  </si>
  <si>
    <t>No, since the volume of septic tank wastewater generated [15] is greater than the volume of sewer wastewater generated [14], and data on septic tank management [23-26] are not reported</t>
  </si>
  <si>
    <t>No, ya que el volumen de aguas residuales generadas por tanques sépticos [15] es mayor que el volumen de aguas residuales generadas por alcantarillado [14], y no se reportan datos sobre el manejo de tanques sépticos [23-26]</t>
  </si>
  <si>
    <t>Non, puisque le volume des eaux usées des fosses septiques généré [15] est supérieur au volume des eaux usées des égouts généré [14], et les données sur la gestion des fosses septiques [23-26] ne sont pas rapportées</t>
  </si>
  <si>
    <t>لا ، نظرًا لأن حجم المياه العادمة لخزانات الصرف الصحي المتولدة [15] أكبر من حجم مياه الصرف الصحي المتولدة [14] ، ولم يتم الإبلاغ عن البيانات المتعلقة بإدارة خزانات الصرف الصحي [23-26]</t>
  </si>
  <si>
    <t>Нет, так как объем сточных вод, образующихся в септиктенках [15], больше, чем объем образующихся сточных вод [14], а данные по управлению септиктенками [23-26] не приводятся.</t>
  </si>
  <si>
    <t>Ver Parte B</t>
  </si>
  <si>
    <t>Voir la partie B</t>
  </si>
  <si>
    <t>انظر الجزء ب</t>
  </si>
  <si>
    <t>См. часть Б</t>
  </si>
  <si>
    <t>D, E</t>
  </si>
  <si>
    <t>Proporción del total de aguas residuales domésticas generadas (%)</t>
  </si>
  <si>
    <t>Proportion des eaux usées ménagères totales générées (%)</t>
  </si>
  <si>
    <t>نسبة إجمالي مياه الصرف المنزلية المتولدة (٪)</t>
  </si>
  <si>
    <t>Доля от общего объема образующихся бытовых сточных вод (%)</t>
  </si>
  <si>
    <t>Proportion du volume généré dans chaque flux d'eaux usées (%)</t>
  </si>
  <si>
    <t>نسبة الحجم المتولد في كل تيار مياه صرف (٪)</t>
  </si>
  <si>
    <t>Доля объема, образующегося в каждом потоке сточных вод (%)</t>
  </si>
  <si>
    <t>Total recaudado</t>
  </si>
  <si>
    <t>Total collecté</t>
  </si>
  <si>
    <t>مجموع ما تم جمعه</t>
  </si>
  <si>
    <t>Всего собрано</t>
  </si>
  <si>
    <t>Cette feuille de travail présente un résumé des débits estimés d'eaux usées ménagères traitées en toute sécurité sur la base des données présentées dans les parties B, C et D. Si suffisamment de données ont été officiellement communiquées, l'estimation globale du pays pour les eaux usées ménagères traitées en toute sécurité [40] est également présentée. Les proportions sont présentées du total des eaux usées domestiques générées (colonne E) et par chaque flux (colonne H).</t>
  </si>
  <si>
    <t>تعرض ورقة العمل هذه ملخصًا لتدفقات المياه العادمة المنزلية المقدرة التي تمت معالجتها بأمان استنادًا إلى البيانات المقدمة في الأجزاء B و C و D. إذا تم الإبلاغ عن بيانات كافية رسميًا ، فسيتم أيضًا تقديم التقدير القطري الإجمالي لمياه الصرف الصحي المنزلية المعالجة بأمان [40]. يتم عرض النسب من إجمالي مياه الصرف المنزلية المتولدة (العمود E) وبواسطة كل تيار (العمود H).</t>
  </si>
  <si>
    <t>В этом рабочем листе представлена сводка расчетных объемов безопасно очищенных бытовых сточных вод на основе данных, представленных в Частях B, C и D. Если официально представлено достаточно данных, также представляется общая оценка безопасно очищенных бытовых сточных вод по стране [40]. Представлены пропорции общего количества образующихся бытовых сточных вод (столбец E) и по каждому потоку (столбец H).</t>
  </si>
  <si>
    <t>Volet 1 : Traitement en toute sécurité des eaux usées d'égouts dans des stations d'épuration</t>
  </si>
  <si>
    <t>التيار 1: المعالجة بأمان من المجاري في محطات معالجة المياه العادمة</t>
  </si>
  <si>
    <t>Поток 1: Безопасная очистка сточных вод на очистных сооружениях</t>
  </si>
  <si>
    <t>Stream 2a: Safely treated at septic tanks with faecal sludge safely treated at off-site wastewater treatment plants</t>
  </si>
  <si>
    <t>Volet 2a : Traitement en toute sécurité dans des fosses septiques avec des boues fécales traitées en toute sécurité dans des stations d'épuration hors site</t>
  </si>
  <si>
    <t>التيار 2 أ: المعالجة بأمان في خزانات الصرف الصحي مع حمأة البراز المعالجة بأمان في محطات معالجة المياه العادمة خارج الموقع</t>
  </si>
  <si>
    <t>Поток 2a: Безопасная очистка в септических резервуарах с безопасной очисткой фекального ила на очистных сооружениях за пределами площадки.</t>
  </si>
  <si>
    <t>Stream 2b: Safely treated at septic tanks with faecal sludge safely treated at on-site treatment</t>
  </si>
  <si>
    <t>Volet 2b : Traité en toute sécurité dans des fosses septiques avec des boues fécales traitées en toute sécurité lors d'un traitement sur site</t>
  </si>
  <si>
    <t>التيار 2 ب: معالجة بأمان في خزانات الصرف الصحي مع حمأة البراز المعالجة بأمان في الموقع</t>
  </si>
  <si>
    <t>Поток 2b: Безопасная очистка в септических резервуарах с фекальным илом, безопасно очищенным при очистке на месте</t>
  </si>
  <si>
    <t>Totalmente tratado con seguridad</t>
  </si>
  <si>
    <t>Total traité en toute sécurité</t>
  </si>
  <si>
    <t>إجمالي علاجها بأمان</t>
  </si>
  <si>
    <t>Всего безопасно обработано</t>
  </si>
  <si>
    <t>Insufficient data</t>
  </si>
  <si>
    <t>Datos insuficientes</t>
  </si>
  <si>
    <t>Données insuffisantes</t>
  </si>
  <si>
    <t>البيانات غير كافية</t>
  </si>
  <si>
    <t>Недостаточные данные</t>
  </si>
  <si>
    <t xml:space="preserve">COUNTRY ESTIMATE (SDG 6.3.1): </t>
  </si>
  <si>
    <t xml:space="preserve"> ESTIMACIÓN DEL PAÍS (ODS 6.3.1):</t>
  </si>
  <si>
    <t xml:space="preserve"> ESTIMATION DU PAYS (ODD 6.3.1) :</t>
  </si>
  <si>
    <t xml:space="preserve"> تقدير الدولة (SDG 6.3.1):</t>
  </si>
  <si>
    <t xml:space="preserve"> СТРАНОВАЯ ОЦЕНКА (ЦУР 6.3.1):</t>
  </si>
  <si>
    <t>$Lists</t>
  </si>
  <si>
    <t>Proporción de fosas sépticas con lodos fecales aún no vaciados (in situ)</t>
  </si>
  <si>
    <t>Proportion de fosses septiques contenant des boues fécales non encore vidangées (sur site)</t>
  </si>
  <si>
    <t>نسبة خزانات الصرف الصحي مع حمأة البراز التي لم يتم تفريغها بعد (في الموقع)</t>
  </si>
  <si>
    <t>Доля септиков с еще не опорожненными фекальными отходами (на месте)</t>
  </si>
  <si>
    <t>Proporción de tanques sépticos con lodos fecales removidos fuera del sitio y recolectados en plantas de tratamiento fuera del sitio</t>
  </si>
  <si>
    <t>Proportion de fosses septiques contenant des boues fécales éliminées hors site et collectées dans des stations d'épuration hors site</t>
  </si>
  <si>
    <t>نسبة خزانات الصرف الصحي مع إزالة الحمأة البرازية خارج الموقع وتجميعها في محطات المعالجة خارج الموقع</t>
  </si>
  <si>
    <t>Доля септических емкостей с фекальным илом, удаленным за пределы участка и собранным на очистных сооружениях за пределами участка</t>
  </si>
  <si>
    <t>Oui</t>
  </si>
  <si>
    <t>نعم</t>
  </si>
  <si>
    <t>Non</t>
  </si>
  <si>
    <t>رقم</t>
  </si>
  <si>
    <t>Нет</t>
  </si>
  <si>
    <t>Manuel</t>
  </si>
  <si>
    <t>يدوي</t>
  </si>
  <si>
    <t>Руководство</t>
  </si>
  <si>
    <t>Automático</t>
  </si>
  <si>
    <t>Automatique</t>
  </si>
  <si>
    <t>تلقائي</t>
  </si>
  <si>
    <t>автоматический</t>
  </si>
  <si>
    <t>m3/year</t>
  </si>
  <si>
    <t>m3/año</t>
  </si>
  <si>
    <t>m3/an</t>
  </si>
  <si>
    <t>م 3 / سنة</t>
  </si>
  <si>
    <t>м3/год</t>
  </si>
  <si>
    <t>m3/day</t>
  </si>
  <si>
    <t>m3/día</t>
  </si>
  <si>
    <t>m3/jour</t>
  </si>
  <si>
    <t>م 3 / يوم</t>
  </si>
  <si>
    <t>м3/сутки</t>
  </si>
  <si>
    <t>No es el punto de datos más reciente para esta variable</t>
  </si>
  <si>
    <t>Pas le point de données le plus récent pour cette variable</t>
  </si>
  <si>
    <t>ليست أحدث نقطة بيانات لهذا المتغير</t>
  </si>
  <si>
    <t>Не самая последняя точка данных для этой переменной</t>
  </si>
  <si>
    <t>Problema de calidad/validez de los datos</t>
  </si>
  <si>
    <t>Problème de qualité/validité des données</t>
  </si>
  <si>
    <t>مشكلة جودة البيانات / صحتها</t>
  </si>
  <si>
    <t>Проблема качества/валидности данных</t>
  </si>
  <si>
    <t>Los datos sobre el tratamiento de aguas residuales según el cumplimiento de las normas son preferibles a los datos por nivel de tecnología de tratamiento</t>
  </si>
  <si>
    <t>Les données sur le traitement des eaux usées par conformité aux normes sont préférées aux données par niveau de technologie de traitement</t>
  </si>
  <si>
    <t>تُفضل البيانات الخاصة بمعالجة مياه الصرف الصحي من خلال الامتثال للمعايير على البيانات حسب مستوى تكنولوجيا المعالجة</t>
  </si>
  <si>
    <t>Данные об очистке сточных вод по соответствию нормативам предпочтительнее данных по уровню технологии очистки</t>
  </si>
  <si>
    <t>No representativa a nivel nacional</t>
  </si>
  <si>
    <t>Non représentatif au niveau national</t>
  </si>
  <si>
    <t>لا تمثيلية على الصعيد الوطني</t>
  </si>
  <si>
    <t>Не национальный представитель</t>
  </si>
  <si>
    <t>Language</t>
  </si>
  <si>
    <t>Chinese</t>
  </si>
  <si>
    <t>ISO3</t>
  </si>
  <si>
    <t>name</t>
  </si>
  <si>
    <t>name_FR</t>
  </si>
  <si>
    <t>name_ES</t>
  </si>
  <si>
    <t>name_RU</t>
  </si>
  <si>
    <t>name_AR</t>
  </si>
  <si>
    <t>name_CH</t>
  </si>
  <si>
    <t>name_other</t>
  </si>
  <si>
    <t>ABW</t>
  </si>
  <si>
    <t>Aruba</t>
  </si>
  <si>
    <t>Аруба</t>
  </si>
  <si>
    <t>أروبا</t>
  </si>
  <si>
    <t>AFG</t>
  </si>
  <si>
    <t>Afghanistan</t>
  </si>
  <si>
    <t>Afganistán</t>
  </si>
  <si>
    <t>Афганистан</t>
  </si>
  <si>
    <t>أفغانستان</t>
  </si>
  <si>
    <t>AGO</t>
  </si>
  <si>
    <t>Angola</t>
  </si>
  <si>
    <t>Ангола</t>
  </si>
  <si>
    <t>أنغولا</t>
  </si>
  <si>
    <t>AIA</t>
  </si>
  <si>
    <t>Anguilla</t>
  </si>
  <si>
    <t>Anguila</t>
  </si>
  <si>
    <t>Ангилья</t>
  </si>
  <si>
    <t>أنغويلا</t>
  </si>
  <si>
    <t>ALA</t>
  </si>
  <si>
    <t>Åland Islands</t>
  </si>
  <si>
    <t>Îles d’Åland</t>
  </si>
  <si>
    <t>Islas Åland</t>
  </si>
  <si>
    <t>Аландских островов</t>
  </si>
  <si>
    <t>جزر ألاند</t>
  </si>
  <si>
    <t>ALB</t>
  </si>
  <si>
    <t>Albania</t>
  </si>
  <si>
    <t>Albanie</t>
  </si>
  <si>
    <t>Албания</t>
  </si>
  <si>
    <t>ألبانيا</t>
  </si>
  <si>
    <t>AND</t>
  </si>
  <si>
    <t>Andorra</t>
  </si>
  <si>
    <t>Andorre</t>
  </si>
  <si>
    <t>Андорра</t>
  </si>
  <si>
    <t>أندورا</t>
  </si>
  <si>
    <t>ARE</t>
  </si>
  <si>
    <t>United Arab Emirates</t>
  </si>
  <si>
    <t>Émirats arabes unis</t>
  </si>
  <si>
    <t>Emiratos Árabes Unidos</t>
  </si>
  <si>
    <t>Объединенные Арабские Эмираты</t>
  </si>
  <si>
    <t>الإمارات العربية المتحدة</t>
  </si>
  <si>
    <t>ARG</t>
  </si>
  <si>
    <t>Argentina</t>
  </si>
  <si>
    <t>Argentine</t>
  </si>
  <si>
    <t>Аргентина</t>
  </si>
  <si>
    <t>الأرجنتين</t>
  </si>
  <si>
    <t>ARM</t>
  </si>
  <si>
    <t>Armenia</t>
  </si>
  <si>
    <t>Arménie</t>
  </si>
  <si>
    <t>Армения</t>
  </si>
  <si>
    <t>أرمينيا</t>
  </si>
  <si>
    <t>ASM</t>
  </si>
  <si>
    <t>American Samoa</t>
  </si>
  <si>
    <t>Samoa américaines</t>
  </si>
  <si>
    <t>Samoa Americana</t>
  </si>
  <si>
    <t>Американское Самоа</t>
  </si>
  <si>
    <t>ساموا الأمريكية</t>
  </si>
  <si>
    <t>ATF</t>
  </si>
  <si>
    <t>French Southern Territories</t>
  </si>
  <si>
    <t>Terres australes françaises</t>
  </si>
  <si>
    <t>Territorio de las Tierras Australes Francesas</t>
  </si>
  <si>
    <t>Южные земли (французская заморская территория)</t>
  </si>
  <si>
    <t>الأراضي الفرنسية الجنوبية الجنوبية</t>
  </si>
  <si>
    <t>ATG</t>
  </si>
  <si>
    <t>Antigua and Barbuda</t>
  </si>
  <si>
    <t>Antigua-et-Barbuda</t>
  </si>
  <si>
    <t>Antigua y Barbuda</t>
  </si>
  <si>
    <t>Антигуа и Барбуда</t>
  </si>
  <si>
    <t>أنتيغوا وبربودا</t>
  </si>
  <si>
    <t>AUS</t>
  </si>
  <si>
    <t>Australia</t>
  </si>
  <si>
    <t>Australie</t>
  </si>
  <si>
    <t>Австралия</t>
  </si>
  <si>
    <t>أستراليا</t>
  </si>
  <si>
    <t>AUT</t>
  </si>
  <si>
    <t>Austria</t>
  </si>
  <si>
    <t>Autriche</t>
  </si>
  <si>
    <t>Австрия</t>
  </si>
  <si>
    <t>النمسا</t>
  </si>
  <si>
    <t>AZE</t>
  </si>
  <si>
    <t>Azerbaijan</t>
  </si>
  <si>
    <t>Azerbaïdjan</t>
  </si>
  <si>
    <t>Azerbaiyán</t>
  </si>
  <si>
    <t>Азербайджан</t>
  </si>
  <si>
    <t>أذربيجان</t>
  </si>
  <si>
    <t>BDI</t>
  </si>
  <si>
    <t>Burundi</t>
  </si>
  <si>
    <t>Бурунди</t>
  </si>
  <si>
    <t>بوروندي</t>
  </si>
  <si>
    <t>BEL</t>
  </si>
  <si>
    <t>Belgium</t>
  </si>
  <si>
    <t>Belgique</t>
  </si>
  <si>
    <t>Bélgica</t>
  </si>
  <si>
    <t>Бельгия</t>
  </si>
  <si>
    <t>بلجيكا</t>
  </si>
  <si>
    <t>BEN</t>
  </si>
  <si>
    <t>Benin</t>
  </si>
  <si>
    <t>Bénin</t>
  </si>
  <si>
    <t>Бенин</t>
  </si>
  <si>
    <t>بنن</t>
  </si>
  <si>
    <t>BES</t>
  </si>
  <si>
    <t>Bonaire, Sint Eustatius and Saba</t>
  </si>
  <si>
    <t>Bonaire, Saint-Eustache et Saba</t>
  </si>
  <si>
    <t>Bonaire, San Eustaquio y Saba</t>
  </si>
  <si>
    <t>Бонайре, Синт-Эстатиус и Саба</t>
  </si>
  <si>
    <t>بونير وسانت يوستاشيوس وسابا</t>
  </si>
  <si>
    <t>BFA</t>
  </si>
  <si>
    <t>Burkina Faso</t>
  </si>
  <si>
    <t>Буркина-Фасо</t>
  </si>
  <si>
    <t>بوركينا فاسو</t>
  </si>
  <si>
    <t>BGD</t>
  </si>
  <si>
    <t>Bangladesh</t>
  </si>
  <si>
    <t>Бангладеш</t>
  </si>
  <si>
    <t>بنغلاديش</t>
  </si>
  <si>
    <t>BGR</t>
  </si>
  <si>
    <t>Bulgaria</t>
  </si>
  <si>
    <t>Bulgarie</t>
  </si>
  <si>
    <t>Болгария</t>
  </si>
  <si>
    <t>بلغاريا</t>
  </si>
  <si>
    <t>BHR</t>
  </si>
  <si>
    <t>Bahrain</t>
  </si>
  <si>
    <t>Bahreïn</t>
  </si>
  <si>
    <t>Bahrein</t>
  </si>
  <si>
    <t>Бахрейн</t>
  </si>
  <si>
    <t>البحرين</t>
  </si>
  <si>
    <t>BHS</t>
  </si>
  <si>
    <t>Bahamas</t>
  </si>
  <si>
    <t>Багамские Острова</t>
  </si>
  <si>
    <t>جزر البهاما</t>
  </si>
  <si>
    <t>BIH</t>
  </si>
  <si>
    <t>Bosnia and Herzegovina</t>
  </si>
  <si>
    <t>Bosnie-Herzégovine</t>
  </si>
  <si>
    <t>Bosnia y Herzegovina</t>
  </si>
  <si>
    <t>Босния и Герцеговина</t>
  </si>
  <si>
    <t>البوسنة والهرسك</t>
  </si>
  <si>
    <t>BLM</t>
  </si>
  <si>
    <t>Saint Barthélemy</t>
  </si>
  <si>
    <t>Saint-Barthélemy</t>
  </si>
  <si>
    <t>San Barthélemy</t>
  </si>
  <si>
    <t>Сен-Бартелеми</t>
  </si>
  <si>
    <t>سان بارتليمي</t>
  </si>
  <si>
    <t>BLR</t>
  </si>
  <si>
    <t>Belarus</t>
  </si>
  <si>
    <t>Bélarus</t>
  </si>
  <si>
    <t>Belarús</t>
  </si>
  <si>
    <t>Беларусь</t>
  </si>
  <si>
    <t>بيلاروس</t>
  </si>
  <si>
    <t>BLZ</t>
  </si>
  <si>
    <t>Belize</t>
  </si>
  <si>
    <t>Belice</t>
  </si>
  <si>
    <t>Белиз</t>
  </si>
  <si>
    <t>بليز</t>
  </si>
  <si>
    <t>BMU</t>
  </si>
  <si>
    <t>Bermuda</t>
  </si>
  <si>
    <t>Bermudes</t>
  </si>
  <si>
    <t>Бермудские острова</t>
  </si>
  <si>
    <t>برمودا</t>
  </si>
  <si>
    <t>BOL</t>
  </si>
  <si>
    <t>Bolivia (Plurinational State of)</t>
  </si>
  <si>
    <t>Bolivie (État plurinational de)</t>
  </si>
  <si>
    <t>Bolivia (Estado Plurinacional de)</t>
  </si>
  <si>
    <t>Боливия (Многонациональное Государство)</t>
  </si>
  <si>
    <t>بوليفيا (دولة - المتعددة القوميات)</t>
  </si>
  <si>
    <t>BRA</t>
  </si>
  <si>
    <t>Brazil</t>
  </si>
  <si>
    <t>Brésil</t>
  </si>
  <si>
    <t>Brasil</t>
  </si>
  <si>
    <t>Бразилия</t>
  </si>
  <si>
    <t>البرازيل</t>
  </si>
  <si>
    <t>BRB</t>
  </si>
  <si>
    <t>Barbados</t>
  </si>
  <si>
    <t>Barbade</t>
  </si>
  <si>
    <t>Барбадос</t>
  </si>
  <si>
    <t>بربادوس</t>
  </si>
  <si>
    <t>BRN</t>
  </si>
  <si>
    <t>Brunei Darussalam</t>
  </si>
  <si>
    <t>Brunéi Darussalam</t>
  </si>
  <si>
    <t>Бруней-Даруссалам</t>
  </si>
  <si>
    <t>بروني دار السلام</t>
  </si>
  <si>
    <t>BTN</t>
  </si>
  <si>
    <t>Bhutan</t>
  </si>
  <si>
    <t>Bhoutan</t>
  </si>
  <si>
    <t>Bhután</t>
  </si>
  <si>
    <t>Бутан</t>
  </si>
  <si>
    <t>بوتان</t>
  </si>
  <si>
    <t>BWA</t>
  </si>
  <si>
    <t>Botswana</t>
  </si>
  <si>
    <t>Ботсвана</t>
  </si>
  <si>
    <t>بوتسوانا</t>
  </si>
  <si>
    <t>CAF</t>
  </si>
  <si>
    <t>Central African Republic</t>
  </si>
  <si>
    <t>République centrafricaine</t>
  </si>
  <si>
    <t>República Centroafricana</t>
  </si>
  <si>
    <t>Центральноафриканская Республика</t>
  </si>
  <si>
    <t>جمهورية أفريقيا الوسطى</t>
  </si>
  <si>
    <t>CAN</t>
  </si>
  <si>
    <t>Canada</t>
  </si>
  <si>
    <t>Canadá</t>
  </si>
  <si>
    <t>Канада</t>
  </si>
  <si>
    <t>كندا</t>
  </si>
  <si>
    <t>CCK</t>
  </si>
  <si>
    <t>Cocos (Keeling) Islands</t>
  </si>
  <si>
    <t>Îles des Cocos (Keeling)</t>
  </si>
  <si>
    <t>Islas Cocos (Keeling)</t>
  </si>
  <si>
    <t>Кокосовых (Килинг) островов</t>
  </si>
  <si>
    <t>جزر كوكس (كيلينغ)</t>
  </si>
  <si>
    <t>CHE</t>
  </si>
  <si>
    <t>Switzerland</t>
  </si>
  <si>
    <t>Suisse</t>
  </si>
  <si>
    <t>Suiza</t>
  </si>
  <si>
    <t>Швейцария</t>
  </si>
  <si>
    <t>سويسرا</t>
  </si>
  <si>
    <t>CHI</t>
  </si>
  <si>
    <t>Channel Islands</t>
  </si>
  <si>
    <t>Islas del Canal</t>
  </si>
  <si>
    <t>Îles anglo-normandes</t>
  </si>
  <si>
    <t>Нормандские острова</t>
  </si>
  <si>
    <t>جزر القناة</t>
  </si>
  <si>
    <t>CHL</t>
  </si>
  <si>
    <t>Chile</t>
  </si>
  <si>
    <t>Chili</t>
  </si>
  <si>
    <t>Чили</t>
  </si>
  <si>
    <t>شيلي</t>
  </si>
  <si>
    <t>CHN</t>
  </si>
  <si>
    <t>China</t>
  </si>
  <si>
    <t>Chine</t>
  </si>
  <si>
    <t>Китай</t>
  </si>
  <si>
    <t>الصين</t>
  </si>
  <si>
    <t>CIV</t>
  </si>
  <si>
    <t>Côte d’Ivoire</t>
  </si>
  <si>
    <t>Кот-д'Ивуар</t>
  </si>
  <si>
    <t>كوت ديفوار</t>
  </si>
  <si>
    <t>CMR</t>
  </si>
  <si>
    <t>Cameroon</t>
  </si>
  <si>
    <t>Cameroun</t>
  </si>
  <si>
    <t>Camerún</t>
  </si>
  <si>
    <t>Камерун</t>
  </si>
  <si>
    <t>الكاميرون</t>
  </si>
  <si>
    <t>COD</t>
  </si>
  <si>
    <t>Democratic Republic of the Congo</t>
  </si>
  <si>
    <t>République démocratique du Congo</t>
  </si>
  <si>
    <t>República Democrática del Congo</t>
  </si>
  <si>
    <t>Демократическая Республика Конго</t>
  </si>
  <si>
    <t>جمهورية الكونغو الديمقراطية</t>
  </si>
  <si>
    <t>COG</t>
  </si>
  <si>
    <t>Congo</t>
  </si>
  <si>
    <t>Конго</t>
  </si>
  <si>
    <t>الكونغو</t>
  </si>
  <si>
    <t>COK</t>
  </si>
  <si>
    <t>Cook Islands</t>
  </si>
  <si>
    <t>Îles Cook</t>
  </si>
  <si>
    <t>Islas Cook</t>
  </si>
  <si>
    <t>Острова Кука</t>
  </si>
  <si>
    <t>جزر كوك</t>
  </si>
  <si>
    <t>COL</t>
  </si>
  <si>
    <t>Colombia</t>
  </si>
  <si>
    <t>Colombie</t>
  </si>
  <si>
    <t>Колумбия</t>
  </si>
  <si>
    <t>كولومبيا</t>
  </si>
  <si>
    <t>COM</t>
  </si>
  <si>
    <t>Comoros</t>
  </si>
  <si>
    <t>Comores</t>
  </si>
  <si>
    <t>Comoras</t>
  </si>
  <si>
    <t>Коморские Острова</t>
  </si>
  <si>
    <t>جزر القمر</t>
  </si>
  <si>
    <t>CPV</t>
  </si>
  <si>
    <t>Cabo Verde</t>
  </si>
  <si>
    <t>Кабо-Верде</t>
  </si>
  <si>
    <t>كابو فيردي</t>
  </si>
  <si>
    <t>CRI</t>
  </si>
  <si>
    <t>Costa Rica</t>
  </si>
  <si>
    <t>Коста-Рика</t>
  </si>
  <si>
    <t>كوستاريكا</t>
  </si>
  <si>
    <t>CUB</t>
  </si>
  <si>
    <t>Cuba</t>
  </si>
  <si>
    <t>Куба</t>
  </si>
  <si>
    <t>كوبا</t>
  </si>
  <si>
    <t>CUW</t>
  </si>
  <si>
    <t>Curaçao</t>
  </si>
  <si>
    <t>Curazao</t>
  </si>
  <si>
    <t>Кюрасао</t>
  </si>
  <si>
    <t>كوراساو</t>
  </si>
  <si>
    <t>CZE</t>
  </si>
  <si>
    <t>Czechia</t>
  </si>
  <si>
    <t>Tchéquie</t>
  </si>
  <si>
    <t>Chequia</t>
  </si>
  <si>
    <t>Чехия</t>
  </si>
  <si>
    <t>تشيكيا</t>
  </si>
  <si>
    <t>DEU</t>
  </si>
  <si>
    <t>Germany</t>
  </si>
  <si>
    <t>Allemagne</t>
  </si>
  <si>
    <t>Alemania</t>
  </si>
  <si>
    <t>Германия</t>
  </si>
  <si>
    <t>ألمانيا</t>
  </si>
  <si>
    <t>DJI</t>
  </si>
  <si>
    <t>Djibouti</t>
  </si>
  <si>
    <t>Джибути</t>
  </si>
  <si>
    <t>جيبوتي</t>
  </si>
  <si>
    <t>DMA</t>
  </si>
  <si>
    <t>Dominica</t>
  </si>
  <si>
    <t>Dominique</t>
  </si>
  <si>
    <t>Доминика</t>
  </si>
  <si>
    <t>دومينيكا</t>
  </si>
  <si>
    <t>DNK</t>
  </si>
  <si>
    <t>Denmark</t>
  </si>
  <si>
    <t>Danemark</t>
  </si>
  <si>
    <t>Dinamarca</t>
  </si>
  <si>
    <t>Дания</t>
  </si>
  <si>
    <t>الدانمرك</t>
  </si>
  <si>
    <t>DOM</t>
  </si>
  <si>
    <t>Dominican Republic</t>
  </si>
  <si>
    <t>République dominicaine</t>
  </si>
  <si>
    <t>República Dominicana</t>
  </si>
  <si>
    <t>Доминиканская Республика</t>
  </si>
  <si>
    <t>الجمهورية الدومينيكية</t>
  </si>
  <si>
    <t>DZA</t>
  </si>
  <si>
    <t>Algeria</t>
  </si>
  <si>
    <t>Algérie</t>
  </si>
  <si>
    <t>Argelia</t>
  </si>
  <si>
    <t>Алжир</t>
  </si>
  <si>
    <t>الجزائر</t>
  </si>
  <si>
    <t>ECU</t>
  </si>
  <si>
    <t>Ecuador</t>
  </si>
  <si>
    <t>Équateur</t>
  </si>
  <si>
    <t>Эквадор</t>
  </si>
  <si>
    <t>إكوادور</t>
  </si>
  <si>
    <t>EGY</t>
  </si>
  <si>
    <t>Egypt</t>
  </si>
  <si>
    <t>Égypte</t>
  </si>
  <si>
    <t>Egipto</t>
  </si>
  <si>
    <t>Египет</t>
  </si>
  <si>
    <t>مصر</t>
  </si>
  <si>
    <t>ERI</t>
  </si>
  <si>
    <t>Eritrea</t>
  </si>
  <si>
    <t>Érythrée</t>
  </si>
  <si>
    <t>Эритрея</t>
  </si>
  <si>
    <t>إريتريا</t>
  </si>
  <si>
    <t>ESH</t>
  </si>
  <si>
    <t>Western Sahara</t>
  </si>
  <si>
    <t>Sahara occidental</t>
  </si>
  <si>
    <t>Sáhara Occidental</t>
  </si>
  <si>
    <t>Западная Сахара</t>
  </si>
  <si>
    <t>الصحراء الغربية</t>
  </si>
  <si>
    <t>ESP</t>
  </si>
  <si>
    <t>Spain</t>
  </si>
  <si>
    <t>Espagne</t>
  </si>
  <si>
    <t>España</t>
  </si>
  <si>
    <t>Испания</t>
  </si>
  <si>
    <t>إسبانيا</t>
  </si>
  <si>
    <t>EST</t>
  </si>
  <si>
    <t>Estonia</t>
  </si>
  <si>
    <t>Estonie</t>
  </si>
  <si>
    <t>Эстония</t>
  </si>
  <si>
    <t>إستونيا</t>
  </si>
  <si>
    <t>ETH</t>
  </si>
  <si>
    <t>Ethiopia</t>
  </si>
  <si>
    <t>Éthiopie</t>
  </si>
  <si>
    <t>Etiopía</t>
  </si>
  <si>
    <t>Эфиопия</t>
  </si>
  <si>
    <t>إثيوبيا</t>
  </si>
  <si>
    <t>FIN</t>
  </si>
  <si>
    <t>Finland</t>
  </si>
  <si>
    <t>Finlande</t>
  </si>
  <si>
    <t>Finlandia</t>
  </si>
  <si>
    <t>Финляндия</t>
  </si>
  <si>
    <t>فنلندا</t>
  </si>
  <si>
    <t>FJI</t>
  </si>
  <si>
    <t>Fiji</t>
  </si>
  <si>
    <t>Fidji</t>
  </si>
  <si>
    <t>Фиджи</t>
  </si>
  <si>
    <t>فيجي</t>
  </si>
  <si>
    <t>FLK</t>
  </si>
  <si>
    <t>Falkland Islands (Malvinas)</t>
  </si>
  <si>
    <t>Îles Falkland (Malvinas)</t>
  </si>
  <si>
    <t>Islas Malvinas (Falkland)</t>
  </si>
  <si>
    <t>Фолклендские (Мальвинские) острова</t>
  </si>
  <si>
    <t>جزر فوكلاند (مالفيناس)</t>
  </si>
  <si>
    <t>FRA</t>
  </si>
  <si>
    <t>France</t>
  </si>
  <si>
    <t>Francia</t>
  </si>
  <si>
    <t>Франция</t>
  </si>
  <si>
    <t>فرنسا</t>
  </si>
  <si>
    <t>FRO</t>
  </si>
  <si>
    <t>Faroe Islands</t>
  </si>
  <si>
    <t>Îles Féroé</t>
  </si>
  <si>
    <t>Islas Feroe</t>
  </si>
  <si>
    <t>Фарерские острова</t>
  </si>
  <si>
    <t>جزر فايرو</t>
  </si>
  <si>
    <t>FSM</t>
  </si>
  <si>
    <t>Micronesia (Federated States of)</t>
  </si>
  <si>
    <t>Micronésie (États fédérés de)</t>
  </si>
  <si>
    <t>Micronesia (Estados Federados de)</t>
  </si>
  <si>
    <t>Микронезия (Федеративные Штаты)</t>
  </si>
  <si>
    <t>ميكرونيزيا (ولايات - الموحدة)</t>
  </si>
  <si>
    <t>GAB</t>
  </si>
  <si>
    <t>Gabon</t>
  </si>
  <si>
    <t>Gabón</t>
  </si>
  <si>
    <t>Габон</t>
  </si>
  <si>
    <t>غابون</t>
  </si>
  <si>
    <t>GBR</t>
  </si>
  <si>
    <t>United Kingdom of Great Britain and Northern Ireland</t>
  </si>
  <si>
    <t>Royaume-Uni de Grande-Bretagne et d’Irlande du Nord</t>
  </si>
  <si>
    <t>Reino Unido de Gran Bretaña e Irlanda del Norte</t>
  </si>
  <si>
    <t>Соединенное Королевство Великобритании и Северной Ирландии</t>
  </si>
  <si>
    <t>المملكة المتحدة لبريطانيا العظمى وآيرلندا الشمالية</t>
  </si>
  <si>
    <t>GEO</t>
  </si>
  <si>
    <t>Georgia</t>
  </si>
  <si>
    <t>Géorgie</t>
  </si>
  <si>
    <t>Грузия</t>
  </si>
  <si>
    <t>جورجيا</t>
  </si>
  <si>
    <t>GGY</t>
  </si>
  <si>
    <t>Guernsey</t>
  </si>
  <si>
    <t>Guernesey</t>
  </si>
  <si>
    <t>Гернси</t>
  </si>
  <si>
    <t>غيرنسي</t>
  </si>
  <si>
    <t>GHA</t>
  </si>
  <si>
    <t>Ghana</t>
  </si>
  <si>
    <t>Гана</t>
  </si>
  <si>
    <t>غانا</t>
  </si>
  <si>
    <t>GIB</t>
  </si>
  <si>
    <t>Gibraltar</t>
  </si>
  <si>
    <t>Гибралтар</t>
  </si>
  <si>
    <t>جبل طارق</t>
  </si>
  <si>
    <t>GIN</t>
  </si>
  <si>
    <t>Guinea</t>
  </si>
  <si>
    <t>Guinée</t>
  </si>
  <si>
    <t>Гвинея</t>
  </si>
  <si>
    <t>غينيا</t>
  </si>
  <si>
    <t>GLP</t>
  </si>
  <si>
    <t>Guadeloupe</t>
  </si>
  <si>
    <t>Guadalupe</t>
  </si>
  <si>
    <t>Гваделупа</t>
  </si>
  <si>
    <t>غوادلوب</t>
  </si>
  <si>
    <t>GMB</t>
  </si>
  <si>
    <t>Gambia</t>
  </si>
  <si>
    <t>Gambie</t>
  </si>
  <si>
    <t>Гамбия</t>
  </si>
  <si>
    <t>غامبيا</t>
  </si>
  <si>
    <t>GNB</t>
  </si>
  <si>
    <t>Guinea-Bissau</t>
  </si>
  <si>
    <t>Guinée-Bissau</t>
  </si>
  <si>
    <t>Гвинея-Бисау</t>
  </si>
  <si>
    <t>غينيا - بيساو</t>
  </si>
  <si>
    <t>GNQ</t>
  </si>
  <si>
    <t>Equatorial Guinea</t>
  </si>
  <si>
    <t>Guinée équatoriale</t>
  </si>
  <si>
    <t>Guinea Ecuatorial</t>
  </si>
  <si>
    <t>Экваториальная Гвинея</t>
  </si>
  <si>
    <t>غينيا الاستوائية</t>
  </si>
  <si>
    <t>GRC</t>
  </si>
  <si>
    <t>Greece</t>
  </si>
  <si>
    <t>Grèce</t>
  </si>
  <si>
    <t>Grecia</t>
  </si>
  <si>
    <t>Греция</t>
  </si>
  <si>
    <t>اليونان</t>
  </si>
  <si>
    <t>GRD</t>
  </si>
  <si>
    <t>Grenada</t>
  </si>
  <si>
    <t>Grenade</t>
  </si>
  <si>
    <t>Granada</t>
  </si>
  <si>
    <t>Гренада</t>
  </si>
  <si>
    <t>غرينادا</t>
  </si>
  <si>
    <t>GRL</t>
  </si>
  <si>
    <t>Greenland</t>
  </si>
  <si>
    <t>Groenland</t>
  </si>
  <si>
    <t>Groenlandia</t>
  </si>
  <si>
    <t>Гренландия</t>
  </si>
  <si>
    <t>غرينلند</t>
  </si>
  <si>
    <t>GTM</t>
  </si>
  <si>
    <t>Guatemala</t>
  </si>
  <si>
    <t>Гватемала</t>
  </si>
  <si>
    <t>غواتيمالا</t>
  </si>
  <si>
    <t>GUF</t>
  </si>
  <si>
    <t>French Guiana</t>
  </si>
  <si>
    <t>Guyane française</t>
  </si>
  <si>
    <t>Guayana Francesa</t>
  </si>
  <si>
    <t>Французская Гвиана</t>
  </si>
  <si>
    <t>غيانا الفرنسية</t>
  </si>
  <si>
    <t>GUM</t>
  </si>
  <si>
    <t>Guam</t>
  </si>
  <si>
    <t>Гуам</t>
  </si>
  <si>
    <t>غوام</t>
  </si>
  <si>
    <t>GUY</t>
  </si>
  <si>
    <t>Guyana</t>
  </si>
  <si>
    <t>Гайана</t>
  </si>
  <si>
    <t>غيانا</t>
  </si>
  <si>
    <t>HKG</t>
  </si>
  <si>
    <t>China, Hong Kong Special Administrative Region</t>
  </si>
  <si>
    <t>Chine, région administrative spéciale de Hong Kong</t>
  </si>
  <si>
    <t>China, región administrativa especial de Hong Kong</t>
  </si>
  <si>
    <t>Китай, Специальный административный район Гонконг</t>
  </si>
  <si>
    <t>الصين، منطقة هونغ كونغ الإدارية الخاصة</t>
  </si>
  <si>
    <t>HMD</t>
  </si>
  <si>
    <t>Heard Island and McDonald Islands</t>
  </si>
  <si>
    <t>Île Heard-et-Îles MacDonald</t>
  </si>
  <si>
    <t>Islas Heard y McDonald</t>
  </si>
  <si>
    <t>Остров Херд и острова Макдональд</t>
  </si>
  <si>
    <t>جزيرة هيرد وجزر ماكدونالد</t>
  </si>
  <si>
    <t>HND</t>
  </si>
  <si>
    <t>Honduras</t>
  </si>
  <si>
    <t>Гондурас</t>
  </si>
  <si>
    <t>هندوراس</t>
  </si>
  <si>
    <t>HRV</t>
  </si>
  <si>
    <t>Croatia</t>
  </si>
  <si>
    <t>Croatie</t>
  </si>
  <si>
    <t>Croacia</t>
  </si>
  <si>
    <t>Хорватия</t>
  </si>
  <si>
    <t>كرواتيا</t>
  </si>
  <si>
    <t>HTI</t>
  </si>
  <si>
    <t>Haiti</t>
  </si>
  <si>
    <t>Haïti</t>
  </si>
  <si>
    <t>Haití</t>
  </si>
  <si>
    <t>Гаити</t>
  </si>
  <si>
    <t>هايتي</t>
  </si>
  <si>
    <t>HUN</t>
  </si>
  <si>
    <t>Hungary</t>
  </si>
  <si>
    <t>Hongrie</t>
  </si>
  <si>
    <t>Hungría</t>
  </si>
  <si>
    <t>Венгрия</t>
  </si>
  <si>
    <t>هنغاريا</t>
  </si>
  <si>
    <t>IDN</t>
  </si>
  <si>
    <t>Indonesia</t>
  </si>
  <si>
    <t>Indonésie</t>
  </si>
  <si>
    <t>Индонезия</t>
  </si>
  <si>
    <t>إندونيسيا</t>
  </si>
  <si>
    <t>IMN</t>
  </si>
  <si>
    <t>Isle of Man</t>
  </si>
  <si>
    <t>Île de Man</t>
  </si>
  <si>
    <t>Isla de Man</t>
  </si>
  <si>
    <t>Остров Мэн</t>
  </si>
  <si>
    <t>جزيرة مان</t>
  </si>
  <si>
    <t>IND</t>
  </si>
  <si>
    <t>India</t>
  </si>
  <si>
    <t>Inde</t>
  </si>
  <si>
    <t>Индия</t>
  </si>
  <si>
    <t>الهند</t>
  </si>
  <si>
    <t>IOT</t>
  </si>
  <si>
    <t>British Indian Ocean Territory</t>
  </si>
  <si>
    <t>Territoire britannique de l'océan Indien</t>
  </si>
  <si>
    <t>Territorio Británico del Océano Índico</t>
  </si>
  <si>
    <t>Британская территория в Индийском океане</t>
  </si>
  <si>
    <t>المحيط الهندي الإقليم البريطاني في</t>
  </si>
  <si>
    <t>IRL</t>
  </si>
  <si>
    <t>Ireland</t>
  </si>
  <si>
    <t>Irlande</t>
  </si>
  <si>
    <t>Irlanda</t>
  </si>
  <si>
    <t>Ирландия</t>
  </si>
  <si>
    <t>آيرلندا</t>
  </si>
  <si>
    <t>IRN</t>
  </si>
  <si>
    <t>Iran (Islamic Republic of)</t>
  </si>
  <si>
    <t>Iran (République islamique d’)</t>
  </si>
  <si>
    <t>Irán (República Islámica del)</t>
  </si>
  <si>
    <t>Иран (Исламская Республика)</t>
  </si>
  <si>
    <t>إيران (جمهورية - الإسلامية)</t>
  </si>
  <si>
    <t>IRQ</t>
  </si>
  <si>
    <t>Iraq</t>
  </si>
  <si>
    <t>Ирак</t>
  </si>
  <si>
    <t>العراق</t>
  </si>
  <si>
    <t>ISL</t>
  </si>
  <si>
    <t>Iceland</t>
  </si>
  <si>
    <t>Islande</t>
  </si>
  <si>
    <t>Islandia</t>
  </si>
  <si>
    <t>Исландия</t>
  </si>
  <si>
    <t>آيسلندا</t>
  </si>
  <si>
    <t>ISR</t>
  </si>
  <si>
    <t>Israel</t>
  </si>
  <si>
    <t>Israël</t>
  </si>
  <si>
    <t>Израиль</t>
  </si>
  <si>
    <t>إسرائيل</t>
  </si>
  <si>
    <t>Italie</t>
  </si>
  <si>
    <t>Italia</t>
  </si>
  <si>
    <t>Италия</t>
  </si>
  <si>
    <t>إيطاليا</t>
  </si>
  <si>
    <t>JAM</t>
  </si>
  <si>
    <t>Jamaica</t>
  </si>
  <si>
    <t>Jamaïque</t>
  </si>
  <si>
    <t>Ямайка</t>
  </si>
  <si>
    <t>جامايكا</t>
  </si>
  <si>
    <t>JEY</t>
  </si>
  <si>
    <t>Jersey</t>
  </si>
  <si>
    <t>Джерси</t>
  </si>
  <si>
    <t>جيرسي</t>
  </si>
  <si>
    <t>JOR</t>
  </si>
  <si>
    <t>Jordan</t>
  </si>
  <si>
    <t>Jordanie</t>
  </si>
  <si>
    <t>Jordania</t>
  </si>
  <si>
    <t>Иордания</t>
  </si>
  <si>
    <t>الأردن</t>
  </si>
  <si>
    <t>JPN</t>
  </si>
  <si>
    <t>Japan</t>
  </si>
  <si>
    <t>Japon</t>
  </si>
  <si>
    <t>Japón</t>
  </si>
  <si>
    <t>Япония</t>
  </si>
  <si>
    <t>اليابان</t>
  </si>
  <si>
    <t>KAZ</t>
  </si>
  <si>
    <t>Kazakhstan</t>
  </si>
  <si>
    <t>Kazajstán</t>
  </si>
  <si>
    <t>Казахстан</t>
  </si>
  <si>
    <t>كازاخستان</t>
  </si>
  <si>
    <t>KEN</t>
  </si>
  <si>
    <t>Kenya</t>
  </si>
  <si>
    <t>Кения</t>
  </si>
  <si>
    <t>كينيا</t>
  </si>
  <si>
    <t>KGZ</t>
  </si>
  <si>
    <t>Kyrgyzstan</t>
  </si>
  <si>
    <t>Kirghizistan</t>
  </si>
  <si>
    <t>Kirguistán</t>
  </si>
  <si>
    <t>Кыргызстан</t>
  </si>
  <si>
    <t>قيرغيزستان</t>
  </si>
  <si>
    <t>KHM</t>
  </si>
  <si>
    <t>Cambodia</t>
  </si>
  <si>
    <t>Cambodge</t>
  </si>
  <si>
    <t>Camboya</t>
  </si>
  <si>
    <t>Камбоджа</t>
  </si>
  <si>
    <t>كمبوديا</t>
  </si>
  <si>
    <t>KIR</t>
  </si>
  <si>
    <t>Kiribati</t>
  </si>
  <si>
    <t>Кирибати</t>
  </si>
  <si>
    <t>كيريباس</t>
  </si>
  <si>
    <t>KNA</t>
  </si>
  <si>
    <t>Saint Kitts and Nevis</t>
  </si>
  <si>
    <t>Saint-Kitts-et-Nevis</t>
  </si>
  <si>
    <t>Saint Kitts y Nevis</t>
  </si>
  <si>
    <t>Сент-Китс и Невис</t>
  </si>
  <si>
    <t>سانت كيتس ونيفس</t>
  </si>
  <si>
    <t>KOR</t>
  </si>
  <si>
    <t>Republic of Korea</t>
  </si>
  <si>
    <t>République de Corée</t>
  </si>
  <si>
    <t>República de Corea</t>
  </si>
  <si>
    <t>Республика Корея</t>
  </si>
  <si>
    <t>جمهورية كوريا</t>
  </si>
  <si>
    <t>KWT</t>
  </si>
  <si>
    <t>Kuwait</t>
  </si>
  <si>
    <t>Koweït</t>
  </si>
  <si>
    <t>Кувейт</t>
  </si>
  <si>
    <t>الكويت</t>
  </si>
  <si>
    <t>LAO</t>
  </si>
  <si>
    <t>Lao People's Democratic Republic</t>
  </si>
  <si>
    <t>République démocratique populaire lao</t>
  </si>
  <si>
    <t>República Democrática Popular Lao</t>
  </si>
  <si>
    <t>Лаосская Народно-Демократическая Республика</t>
  </si>
  <si>
    <t>جمهورية لاو الديمقراطية الشعبية</t>
  </si>
  <si>
    <t>LBN</t>
  </si>
  <si>
    <t>Lebanon</t>
  </si>
  <si>
    <t>Liban</t>
  </si>
  <si>
    <t>Líbano</t>
  </si>
  <si>
    <t>Ливан</t>
  </si>
  <si>
    <t>لبنان</t>
  </si>
  <si>
    <t>LBR</t>
  </si>
  <si>
    <t>Liberia</t>
  </si>
  <si>
    <t>Libéria</t>
  </si>
  <si>
    <t>Либерия</t>
  </si>
  <si>
    <t>ليبريا</t>
  </si>
  <si>
    <t>LBY</t>
  </si>
  <si>
    <t>Libya</t>
  </si>
  <si>
    <t>Libye</t>
  </si>
  <si>
    <t>Libia</t>
  </si>
  <si>
    <t>Ливия</t>
  </si>
  <si>
    <t>ليبيا</t>
  </si>
  <si>
    <t>LCA</t>
  </si>
  <si>
    <t>Saint Lucia</t>
  </si>
  <si>
    <t>Sainte-Lucie</t>
  </si>
  <si>
    <t>Santa Lucía</t>
  </si>
  <si>
    <t>Сент-Люсия</t>
  </si>
  <si>
    <t>سانت لوسيا</t>
  </si>
  <si>
    <t>LIE</t>
  </si>
  <si>
    <t>Liechtenstein</t>
  </si>
  <si>
    <t>Лихтенштейн</t>
  </si>
  <si>
    <t>ليختنشتاين</t>
  </si>
  <si>
    <t>LKA</t>
  </si>
  <si>
    <t>Sri Lanka</t>
  </si>
  <si>
    <t>Шри-Ланка</t>
  </si>
  <si>
    <t>سري لانكا</t>
  </si>
  <si>
    <t>LSO</t>
  </si>
  <si>
    <t>Lesotho</t>
  </si>
  <si>
    <t>Лесото</t>
  </si>
  <si>
    <t>ليسوتو</t>
  </si>
  <si>
    <t>LTU</t>
  </si>
  <si>
    <t>Lithuania</t>
  </si>
  <si>
    <t>Lituanie</t>
  </si>
  <si>
    <t>Lituania</t>
  </si>
  <si>
    <t>Литва</t>
  </si>
  <si>
    <t>ليتوانيا</t>
  </si>
  <si>
    <t>LUX</t>
  </si>
  <si>
    <t>Luxembourg</t>
  </si>
  <si>
    <t>Luxemburgo</t>
  </si>
  <si>
    <t>Люксембург</t>
  </si>
  <si>
    <t>لكسمبرغ</t>
  </si>
  <si>
    <t>LVA</t>
  </si>
  <si>
    <t>Latvia</t>
  </si>
  <si>
    <t>Lettonie</t>
  </si>
  <si>
    <t>Letonia</t>
  </si>
  <si>
    <t>Латвия</t>
  </si>
  <si>
    <t>لاتفيا</t>
  </si>
  <si>
    <t>MAC</t>
  </si>
  <si>
    <t>China, Macao Special Administrative Region</t>
  </si>
  <si>
    <t>Chine, région administrative spéciale de Macao</t>
  </si>
  <si>
    <t>China, región administrativa especial de Macao</t>
  </si>
  <si>
    <t>Китай, Специальный административный район Макао</t>
  </si>
  <si>
    <t>الصين، منطقة ماكاو الإدارية الخاصة</t>
  </si>
  <si>
    <t>MAF</t>
  </si>
  <si>
    <t>Saint Martin (French Part)</t>
  </si>
  <si>
    <t>Saint-Martin (partie française)</t>
  </si>
  <si>
    <t>San Martín (parte francesa)</t>
  </si>
  <si>
    <t>Сен-Мартен (французская часть)</t>
  </si>
  <si>
    <t>سانت مارتن (الجزء الفرنسي)</t>
  </si>
  <si>
    <t>MAR</t>
  </si>
  <si>
    <t>Morocco</t>
  </si>
  <si>
    <t>Maroc</t>
  </si>
  <si>
    <t>Marruecos</t>
  </si>
  <si>
    <t>Марокко</t>
  </si>
  <si>
    <t>المغرب</t>
  </si>
  <si>
    <t>MCO</t>
  </si>
  <si>
    <t>Monaco</t>
  </si>
  <si>
    <t>Mónaco</t>
  </si>
  <si>
    <t>Монако</t>
  </si>
  <si>
    <t>موناكو</t>
  </si>
  <si>
    <t>MDA</t>
  </si>
  <si>
    <t>Republic of Moldova</t>
  </si>
  <si>
    <t>République de Moldova</t>
  </si>
  <si>
    <t>República de Moldova</t>
  </si>
  <si>
    <t>Республика Молдова</t>
  </si>
  <si>
    <t>جمهورية مولدوفا</t>
  </si>
  <si>
    <t>MDG</t>
  </si>
  <si>
    <t>Madagascar</t>
  </si>
  <si>
    <t>Мадагаскар</t>
  </si>
  <si>
    <t>مدغشقر</t>
  </si>
  <si>
    <t>MDV</t>
  </si>
  <si>
    <t>Maldives</t>
  </si>
  <si>
    <t>Maldivas</t>
  </si>
  <si>
    <t>Мальдивские Острова</t>
  </si>
  <si>
    <t>ملديف</t>
  </si>
  <si>
    <t>MEX</t>
  </si>
  <si>
    <t>Mexico</t>
  </si>
  <si>
    <t>Mexique</t>
  </si>
  <si>
    <t>México</t>
  </si>
  <si>
    <t>Мексика</t>
  </si>
  <si>
    <t>المكسيك</t>
  </si>
  <si>
    <t>MHL</t>
  </si>
  <si>
    <t>Marshall Islands</t>
  </si>
  <si>
    <t>Îles Marshall</t>
  </si>
  <si>
    <t>Islas Marshall</t>
  </si>
  <si>
    <t>Маршалловы Острова</t>
  </si>
  <si>
    <t>جزر مارشال</t>
  </si>
  <si>
    <t>MKD</t>
  </si>
  <si>
    <t>North Macedonia</t>
  </si>
  <si>
    <t>Macédoine du Nord</t>
  </si>
  <si>
    <t>Macedonia del Norte</t>
  </si>
  <si>
    <t>Северная Македония</t>
  </si>
  <si>
    <t>مقدونيا الشمالية</t>
  </si>
  <si>
    <t>MLI</t>
  </si>
  <si>
    <t>Mali</t>
  </si>
  <si>
    <t>Malí</t>
  </si>
  <si>
    <t>Мали</t>
  </si>
  <si>
    <t>مالي</t>
  </si>
  <si>
    <t>MLT</t>
  </si>
  <si>
    <t>Malta</t>
  </si>
  <si>
    <t>Malte</t>
  </si>
  <si>
    <t>Мальта</t>
  </si>
  <si>
    <t>مالطة</t>
  </si>
  <si>
    <t>MMR</t>
  </si>
  <si>
    <t>Myanmar</t>
  </si>
  <si>
    <t>Мьянма</t>
  </si>
  <si>
    <t>ميانمار</t>
  </si>
  <si>
    <t>MNE</t>
  </si>
  <si>
    <t>Montenegro</t>
  </si>
  <si>
    <t>Monténégro</t>
  </si>
  <si>
    <t>Черногория</t>
  </si>
  <si>
    <t>الجبل الأسود</t>
  </si>
  <si>
    <t>MNG</t>
  </si>
  <si>
    <t>Mongolia</t>
  </si>
  <si>
    <t>Mongolie</t>
  </si>
  <si>
    <t>Монголия</t>
  </si>
  <si>
    <t>منغوليا</t>
  </si>
  <si>
    <t>MNP</t>
  </si>
  <si>
    <t>Northern Mariana Islands</t>
  </si>
  <si>
    <t>Îles Mariannes du Nord</t>
  </si>
  <si>
    <t>Islas Marianas Septentrionales</t>
  </si>
  <si>
    <t>Северные Марианские острова</t>
  </si>
  <si>
    <t>جزر ماريانا الشمالية</t>
  </si>
  <si>
    <t>MOZ</t>
  </si>
  <si>
    <t>Mozambique</t>
  </si>
  <si>
    <t>Мозамбик</t>
  </si>
  <si>
    <t>موزامبيق</t>
  </si>
  <si>
    <t>MRT</t>
  </si>
  <si>
    <t>Mauritania</t>
  </si>
  <si>
    <t>Mauritanie</t>
  </si>
  <si>
    <t>Мавритания</t>
  </si>
  <si>
    <t>موريتانيا</t>
  </si>
  <si>
    <t>MSR</t>
  </si>
  <si>
    <t>Montserrat</t>
  </si>
  <si>
    <t>Монтсеррат</t>
  </si>
  <si>
    <t>مونتسيرات</t>
  </si>
  <si>
    <t>MTQ</t>
  </si>
  <si>
    <t>Martinique</t>
  </si>
  <si>
    <t>Martinica</t>
  </si>
  <si>
    <t>Мартиника</t>
  </si>
  <si>
    <t>مارتينيك</t>
  </si>
  <si>
    <t>MUS</t>
  </si>
  <si>
    <t>Mauritius</t>
  </si>
  <si>
    <t>Maurice</t>
  </si>
  <si>
    <t>Mauricio</t>
  </si>
  <si>
    <t>Маврикий</t>
  </si>
  <si>
    <t>موريشيوس</t>
  </si>
  <si>
    <t>MWI</t>
  </si>
  <si>
    <t>Malawi</t>
  </si>
  <si>
    <t>Малави</t>
  </si>
  <si>
    <t>ملاوي</t>
  </si>
  <si>
    <t>MYS</t>
  </si>
  <si>
    <t>Malaysia</t>
  </si>
  <si>
    <t>Malaisie</t>
  </si>
  <si>
    <t>Malasia</t>
  </si>
  <si>
    <t>Малайзия</t>
  </si>
  <si>
    <t>ماليزيا</t>
  </si>
  <si>
    <t>MYT</t>
  </si>
  <si>
    <t>Mayotte</t>
  </si>
  <si>
    <t>Остров Майотта</t>
  </si>
  <si>
    <t>مايوت</t>
  </si>
  <si>
    <t>NAM</t>
  </si>
  <si>
    <t>Namibia</t>
  </si>
  <si>
    <t>Namibie</t>
  </si>
  <si>
    <t>Намибия</t>
  </si>
  <si>
    <t>ناميبيا</t>
  </si>
  <si>
    <t>NCL</t>
  </si>
  <si>
    <t>New Caledonia</t>
  </si>
  <si>
    <t>Nouvelle-Calédonie</t>
  </si>
  <si>
    <t>Nueva Caledonia</t>
  </si>
  <si>
    <t>Новая Каледония</t>
  </si>
  <si>
    <t>كاليدونيا الجديدة</t>
  </si>
  <si>
    <t>NER</t>
  </si>
  <si>
    <t>Niger</t>
  </si>
  <si>
    <t>Níger</t>
  </si>
  <si>
    <t>Нигер</t>
  </si>
  <si>
    <t>النيجر</t>
  </si>
  <si>
    <t>NFK</t>
  </si>
  <si>
    <t>Norfolk Island</t>
  </si>
  <si>
    <t>Île Norfolk</t>
  </si>
  <si>
    <t>Isla Norfolk</t>
  </si>
  <si>
    <t>Остров Норфолк</t>
  </si>
  <si>
    <t>جزيرة نورفولك</t>
  </si>
  <si>
    <t>NGA</t>
  </si>
  <si>
    <t>Nigeria</t>
  </si>
  <si>
    <t>Nigéria</t>
  </si>
  <si>
    <t>Нигерия</t>
  </si>
  <si>
    <t>نيجيريا</t>
  </si>
  <si>
    <t>NIC</t>
  </si>
  <si>
    <t>Nicaragua</t>
  </si>
  <si>
    <t>Никарагуа</t>
  </si>
  <si>
    <t>نيكاراغوا</t>
  </si>
  <si>
    <t>NIU</t>
  </si>
  <si>
    <t>Niue</t>
  </si>
  <si>
    <t>Nioué</t>
  </si>
  <si>
    <t>Ниуэ</t>
  </si>
  <si>
    <t>نيوي</t>
  </si>
  <si>
    <t>NLD</t>
  </si>
  <si>
    <t>NOR</t>
  </si>
  <si>
    <t>Norway</t>
  </si>
  <si>
    <t>Norvège</t>
  </si>
  <si>
    <t>Noruega</t>
  </si>
  <si>
    <t>Норвегия</t>
  </si>
  <si>
    <t>النرويج</t>
  </si>
  <si>
    <t>NPL</t>
  </si>
  <si>
    <t>Nepal</t>
  </si>
  <si>
    <t>Népal</t>
  </si>
  <si>
    <t>Непал</t>
  </si>
  <si>
    <t>نيبال</t>
  </si>
  <si>
    <t>NRU</t>
  </si>
  <si>
    <t>Nauru</t>
  </si>
  <si>
    <t>Науру</t>
  </si>
  <si>
    <t>ناورو</t>
  </si>
  <si>
    <t>NZL</t>
  </si>
  <si>
    <t>New Zealand</t>
  </si>
  <si>
    <t>Nouvelle-Zélande</t>
  </si>
  <si>
    <t>Nueva Zelandia</t>
  </si>
  <si>
    <t>Новая Зеландия</t>
  </si>
  <si>
    <t>نيوزيلندا</t>
  </si>
  <si>
    <t>OMN</t>
  </si>
  <si>
    <t>Oman</t>
  </si>
  <si>
    <t>Omán</t>
  </si>
  <si>
    <t>Оман</t>
  </si>
  <si>
    <t>عمان</t>
  </si>
  <si>
    <t>PAK</t>
  </si>
  <si>
    <t>Pakistan</t>
  </si>
  <si>
    <t>Pakistán</t>
  </si>
  <si>
    <t>Пакистан</t>
  </si>
  <si>
    <t>باكستان</t>
  </si>
  <si>
    <t>PAN</t>
  </si>
  <si>
    <t>Panama</t>
  </si>
  <si>
    <t>Panamá</t>
  </si>
  <si>
    <t>Панама</t>
  </si>
  <si>
    <t>بنما</t>
  </si>
  <si>
    <t>PCN</t>
  </si>
  <si>
    <t>Pitcairn</t>
  </si>
  <si>
    <t>Питкэрн</t>
  </si>
  <si>
    <t>بيتكرن</t>
  </si>
  <si>
    <t>PER</t>
  </si>
  <si>
    <t>Peru</t>
  </si>
  <si>
    <t>Pérou</t>
  </si>
  <si>
    <t>Perú</t>
  </si>
  <si>
    <t>Перу</t>
  </si>
  <si>
    <t>بيرو</t>
  </si>
  <si>
    <t>PHL</t>
  </si>
  <si>
    <t>Philippines</t>
  </si>
  <si>
    <t>Filipinas</t>
  </si>
  <si>
    <t>Филиппины</t>
  </si>
  <si>
    <t>الفلبين</t>
  </si>
  <si>
    <t>PLW</t>
  </si>
  <si>
    <t>Palau</t>
  </si>
  <si>
    <t>Palaos</t>
  </si>
  <si>
    <t>Палау</t>
  </si>
  <si>
    <t>بالاو</t>
  </si>
  <si>
    <t>PNG</t>
  </si>
  <si>
    <t>Papua New Guinea</t>
  </si>
  <si>
    <t>Papouasie-Nouvelle-Guinée</t>
  </si>
  <si>
    <t>Papua Nueva Guinea</t>
  </si>
  <si>
    <t>Папуа-Новая Гвинея</t>
  </si>
  <si>
    <t>بابوا غينيا الجديدة</t>
  </si>
  <si>
    <t>POL</t>
  </si>
  <si>
    <t>Poland</t>
  </si>
  <si>
    <t>Pologne</t>
  </si>
  <si>
    <t>Polonia</t>
  </si>
  <si>
    <t>Польша</t>
  </si>
  <si>
    <t>بولندا</t>
  </si>
  <si>
    <t>PRI</t>
  </si>
  <si>
    <t>Puerto Rico</t>
  </si>
  <si>
    <t>Porto Rico</t>
  </si>
  <si>
    <t>Пуэрто-Рико</t>
  </si>
  <si>
    <t>بورتوريكو</t>
  </si>
  <si>
    <t>PRK</t>
  </si>
  <si>
    <t>Democratic People's Republic of Korea</t>
  </si>
  <si>
    <t>République populaire démocratique de Corée</t>
  </si>
  <si>
    <t>República Popular Democrática de Corea</t>
  </si>
  <si>
    <t>Корейская Народно-Демократическая Республика</t>
  </si>
  <si>
    <t>جمهورية كوريا الشعبية الديمقراطية</t>
  </si>
  <si>
    <t>PRT</t>
  </si>
  <si>
    <t>Portugal</t>
  </si>
  <si>
    <t>Португалия</t>
  </si>
  <si>
    <t>البرتغال</t>
  </si>
  <si>
    <t>PRY</t>
  </si>
  <si>
    <t>Paraguay</t>
  </si>
  <si>
    <t>Парагвай</t>
  </si>
  <si>
    <t>باراغواي</t>
  </si>
  <si>
    <t>PSE</t>
  </si>
  <si>
    <t>PYF</t>
  </si>
  <si>
    <t>French Polynesia</t>
  </si>
  <si>
    <t>Polynésie française</t>
  </si>
  <si>
    <t>Polinesia Francesa</t>
  </si>
  <si>
    <t>Французская Полинезия</t>
  </si>
  <si>
    <t>بولينيزيا الفرنسية</t>
  </si>
  <si>
    <t>QAT</t>
  </si>
  <si>
    <t>Qatar</t>
  </si>
  <si>
    <t>Катар</t>
  </si>
  <si>
    <t>قطر</t>
  </si>
  <si>
    <t>REU</t>
  </si>
  <si>
    <t>Réunion</t>
  </si>
  <si>
    <t>Reunión</t>
  </si>
  <si>
    <t>Реюньон</t>
  </si>
  <si>
    <t>ريونيون</t>
  </si>
  <si>
    <t>ROU</t>
  </si>
  <si>
    <t>Romania</t>
  </si>
  <si>
    <t>Roumanie</t>
  </si>
  <si>
    <t>Rumania</t>
  </si>
  <si>
    <t>Румыния</t>
  </si>
  <si>
    <t>رومانيا</t>
  </si>
  <si>
    <t>RUS</t>
  </si>
  <si>
    <t>Russian Federation</t>
  </si>
  <si>
    <t>Fédération de Russie</t>
  </si>
  <si>
    <t>Federación de Rusia</t>
  </si>
  <si>
    <t>Российская Федерация</t>
  </si>
  <si>
    <t>الاتحاد الروسي</t>
  </si>
  <si>
    <t>RWA</t>
  </si>
  <si>
    <t>Rwanda</t>
  </si>
  <si>
    <t>Руанда</t>
  </si>
  <si>
    <t>رواندا</t>
  </si>
  <si>
    <t>SAU</t>
  </si>
  <si>
    <t>Saudi Arabia</t>
  </si>
  <si>
    <t>Arabie saoudite</t>
  </si>
  <si>
    <t>Arabia Saudita</t>
  </si>
  <si>
    <t>Саудовская Аравия</t>
  </si>
  <si>
    <t>المملكة العربية السعودية</t>
  </si>
  <si>
    <t>SDN</t>
  </si>
  <si>
    <t>Sudan</t>
  </si>
  <si>
    <t>Soudan</t>
  </si>
  <si>
    <t>Sudán</t>
  </si>
  <si>
    <t>Судан</t>
  </si>
  <si>
    <t>السودان</t>
  </si>
  <si>
    <t>SEN</t>
  </si>
  <si>
    <t>Senegal</t>
  </si>
  <si>
    <t>Sénégal</t>
  </si>
  <si>
    <t>Сенегал</t>
  </si>
  <si>
    <t>السنغال</t>
  </si>
  <si>
    <t>SGP</t>
  </si>
  <si>
    <t>Singapore</t>
  </si>
  <si>
    <t>Singapour</t>
  </si>
  <si>
    <t>Singapur</t>
  </si>
  <si>
    <t>Сингапур</t>
  </si>
  <si>
    <t>سنغافورة</t>
  </si>
  <si>
    <t>SGS</t>
  </si>
  <si>
    <t>South Georgia and the South Sandwich Islands</t>
  </si>
  <si>
    <t>Géorgie du Sud-et-les Îles Sandwich du Sud</t>
  </si>
  <si>
    <t>Georgia del Sur y las Islas Sandwich del Sur</t>
  </si>
  <si>
    <t>Южная Джорджия и Южные Сандвичевы острова</t>
  </si>
  <si>
    <t>جورجيا الجنوبية وجزر ساندويتش الجنوبية</t>
  </si>
  <si>
    <t>SHN</t>
  </si>
  <si>
    <t>Saint Helena</t>
  </si>
  <si>
    <t>Sainte-Hélène</t>
  </si>
  <si>
    <t>Santa Elena</t>
  </si>
  <si>
    <t>Остров Святой Елены</t>
  </si>
  <si>
    <t>سانت هيلانة</t>
  </si>
  <si>
    <t>SJM</t>
  </si>
  <si>
    <t>Svalbard and Jan Mayen Islands</t>
  </si>
  <si>
    <t>Îles Svalbard-et-Jan Mayen</t>
  </si>
  <si>
    <t>Islas Svalbard y Jan Mayen</t>
  </si>
  <si>
    <t>Острова Свальбард и Ян-Майен</t>
  </si>
  <si>
    <t>جزيرتي سفالبارد وجان مايِن</t>
  </si>
  <si>
    <t>SLB</t>
  </si>
  <si>
    <t>Solomon Islands</t>
  </si>
  <si>
    <t>Îles Salomon</t>
  </si>
  <si>
    <t>Islas Salomón</t>
  </si>
  <si>
    <t>Соломоновы Острова</t>
  </si>
  <si>
    <t>جزر سليمان</t>
  </si>
  <si>
    <t>SLE</t>
  </si>
  <si>
    <t>Sierra Leone</t>
  </si>
  <si>
    <t>Sierra Leona</t>
  </si>
  <si>
    <t>Сьерра-Леоне</t>
  </si>
  <si>
    <t>سيراليون</t>
  </si>
  <si>
    <t>SLV</t>
  </si>
  <si>
    <t>El Salvador</t>
  </si>
  <si>
    <t>Сальвадор</t>
  </si>
  <si>
    <t>السلفادور</t>
  </si>
  <si>
    <t>SMR</t>
  </si>
  <si>
    <t>San Marino</t>
  </si>
  <si>
    <t>Saint-Marin</t>
  </si>
  <si>
    <t>Сан-Марино</t>
  </si>
  <si>
    <t>سان مارينو</t>
  </si>
  <si>
    <t>SOM</t>
  </si>
  <si>
    <t>Somalia</t>
  </si>
  <si>
    <t>Somalie</t>
  </si>
  <si>
    <t>Сомали</t>
  </si>
  <si>
    <t>الصومال</t>
  </si>
  <si>
    <t>SPM</t>
  </si>
  <si>
    <t>Saint Pierre and Miquelon</t>
  </si>
  <si>
    <t>Saint-Pierre-et-Miquelon</t>
  </si>
  <si>
    <t>San Pedro y Miquelón</t>
  </si>
  <si>
    <t>Сен-Пьер и Микелон</t>
  </si>
  <si>
    <t>سان بيير وميكلون</t>
  </si>
  <si>
    <t>SRB</t>
  </si>
  <si>
    <t>Serbia</t>
  </si>
  <si>
    <t>Serbie</t>
  </si>
  <si>
    <t>Сербия</t>
  </si>
  <si>
    <t>صربيا</t>
  </si>
  <si>
    <t>SSD</t>
  </si>
  <si>
    <t>South Sudan</t>
  </si>
  <si>
    <t>Soudan du Sud</t>
  </si>
  <si>
    <t>Sudán del Sur</t>
  </si>
  <si>
    <t>Южный Судан</t>
  </si>
  <si>
    <t>جنوب السودان</t>
  </si>
  <si>
    <t>STP</t>
  </si>
  <si>
    <t>Sao Tome and Principe</t>
  </si>
  <si>
    <t>Sao Tomé-et-Principe</t>
  </si>
  <si>
    <t>Santo Tomé y Príncipe</t>
  </si>
  <si>
    <t>Сан-Томе и Принсипи</t>
  </si>
  <si>
    <t>سان تومي وبرينسيبي</t>
  </si>
  <si>
    <t>SUR</t>
  </si>
  <si>
    <t>Suriname</t>
  </si>
  <si>
    <t>Суринам</t>
  </si>
  <si>
    <t>سورينام</t>
  </si>
  <si>
    <t>SVK</t>
  </si>
  <si>
    <t>Slovakia</t>
  </si>
  <si>
    <t>Slovaquie</t>
  </si>
  <si>
    <t>Eslovaquia</t>
  </si>
  <si>
    <t>Словакия</t>
  </si>
  <si>
    <t>سلوفاكيا</t>
  </si>
  <si>
    <t>SVN</t>
  </si>
  <si>
    <t>Slovenia</t>
  </si>
  <si>
    <t>Slovénie</t>
  </si>
  <si>
    <t>Eslovenia</t>
  </si>
  <si>
    <t>Словения</t>
  </si>
  <si>
    <t>سلوفينيا</t>
  </si>
  <si>
    <t>SWE</t>
  </si>
  <si>
    <t>Sweden</t>
  </si>
  <si>
    <t>Suède</t>
  </si>
  <si>
    <t>Suecia</t>
  </si>
  <si>
    <t>Швеция</t>
  </si>
  <si>
    <t>السويد</t>
  </si>
  <si>
    <t>SWZ</t>
  </si>
  <si>
    <t>Eswatini</t>
  </si>
  <si>
    <t>Эсватини</t>
  </si>
  <si>
    <t>إسواتيني</t>
  </si>
  <si>
    <t>SXM</t>
  </si>
  <si>
    <t>Sint Maarten (Dutch part)</t>
  </si>
  <si>
    <t>Saint-Martin (partie néerlandaise)</t>
  </si>
  <si>
    <t>San Martín (parte Holandesa)</t>
  </si>
  <si>
    <t>Синт-Мартен (нидерландская часть)</t>
  </si>
  <si>
    <t>سانت مارتن (الجزء الهولندي)</t>
  </si>
  <si>
    <t>SYC</t>
  </si>
  <si>
    <t>Seychelles</t>
  </si>
  <si>
    <t>Сейшельские Острова</t>
  </si>
  <si>
    <t>سيشيل</t>
  </si>
  <si>
    <t>SYR</t>
  </si>
  <si>
    <t>Syrian Arab Republic</t>
  </si>
  <si>
    <t>République arabe syrienne</t>
  </si>
  <si>
    <t>República Árabe Siria</t>
  </si>
  <si>
    <t>Сирийская Арабская Республика</t>
  </si>
  <si>
    <t>الجمهورية العربية السورية</t>
  </si>
  <si>
    <t>TCA</t>
  </si>
  <si>
    <t>Turks and Caicos Islands</t>
  </si>
  <si>
    <t>Îles Turques-et-Caïques</t>
  </si>
  <si>
    <t>Islas Turcas y Caicos</t>
  </si>
  <si>
    <t>Острова Теркс и Кайкос</t>
  </si>
  <si>
    <t>جزر تركس وكايكوس</t>
  </si>
  <si>
    <t>TCD</t>
  </si>
  <si>
    <t>Chad</t>
  </si>
  <si>
    <t>Tchad</t>
  </si>
  <si>
    <t>Чад</t>
  </si>
  <si>
    <t>تشاد</t>
  </si>
  <si>
    <t>TGO</t>
  </si>
  <si>
    <t>Togo</t>
  </si>
  <si>
    <t>Того</t>
  </si>
  <si>
    <t>توغو</t>
  </si>
  <si>
    <t>THA</t>
  </si>
  <si>
    <t>Thailand</t>
  </si>
  <si>
    <t>Thaïlande</t>
  </si>
  <si>
    <t>Tailandia</t>
  </si>
  <si>
    <t>Таиланд</t>
  </si>
  <si>
    <t>تايلند</t>
  </si>
  <si>
    <t>TJK</t>
  </si>
  <si>
    <t>Tajikistan</t>
  </si>
  <si>
    <t>Tadjikistan</t>
  </si>
  <si>
    <t>Tayikistán</t>
  </si>
  <si>
    <t>Таджикистан</t>
  </si>
  <si>
    <t>طاجيكستان</t>
  </si>
  <si>
    <t>TKL</t>
  </si>
  <si>
    <t>Tokelau</t>
  </si>
  <si>
    <t>Tokélaou</t>
  </si>
  <si>
    <t>Токелау</t>
  </si>
  <si>
    <t>توكيلاو</t>
  </si>
  <si>
    <t>TKM</t>
  </si>
  <si>
    <t>Turkmenistan</t>
  </si>
  <si>
    <t>Turkménistan</t>
  </si>
  <si>
    <t>Turkmenistán</t>
  </si>
  <si>
    <t>Туркменистан</t>
  </si>
  <si>
    <t>تركمانستان</t>
  </si>
  <si>
    <t>TLS</t>
  </si>
  <si>
    <t>Timor-Leste</t>
  </si>
  <si>
    <t>Тимор-Лешти</t>
  </si>
  <si>
    <t>تيمور - ليشتي</t>
  </si>
  <si>
    <t>TON</t>
  </si>
  <si>
    <t>Tonga</t>
  </si>
  <si>
    <t>Тонга</t>
  </si>
  <si>
    <t>تونغا</t>
  </si>
  <si>
    <t>TTO</t>
  </si>
  <si>
    <t>Trinidad and Tobago</t>
  </si>
  <si>
    <t>Trinité-et-Tobago</t>
  </si>
  <si>
    <t>Trinidad y Tabago</t>
  </si>
  <si>
    <t>Тринидад и Тобаго</t>
  </si>
  <si>
    <t>ترينيداد وتوباغو</t>
  </si>
  <si>
    <t>TUN</t>
  </si>
  <si>
    <t>Tunisia</t>
  </si>
  <si>
    <t>Tunisie</t>
  </si>
  <si>
    <t>Túnez</t>
  </si>
  <si>
    <t>Тунис</t>
  </si>
  <si>
    <t>تونس</t>
  </si>
  <si>
    <t>TUR</t>
  </si>
  <si>
    <t>Republic of Türkiye</t>
  </si>
  <si>
    <t>République de Türkiye</t>
  </si>
  <si>
    <t>República de Türkiye</t>
  </si>
  <si>
    <t>Турецкая Pеспублика</t>
  </si>
  <si>
    <t>جمهورية تركيا</t>
  </si>
  <si>
    <t>TUV</t>
  </si>
  <si>
    <t>Tuvalu</t>
  </si>
  <si>
    <t>Тувалу</t>
  </si>
  <si>
    <t>توفالو</t>
  </si>
  <si>
    <t>TZA</t>
  </si>
  <si>
    <t>United Republic of Tanzania</t>
  </si>
  <si>
    <t>République-Unie de Tanzanie</t>
  </si>
  <si>
    <t>República Unida de Tanzanía</t>
  </si>
  <si>
    <t>Объединенная Республика Танзания</t>
  </si>
  <si>
    <t>جمهورية تنزانيا المتحدة</t>
  </si>
  <si>
    <t>UGA</t>
  </si>
  <si>
    <t>Uganda</t>
  </si>
  <si>
    <t>Ouganda</t>
  </si>
  <si>
    <t>Уганда</t>
  </si>
  <si>
    <t>أوغندا</t>
  </si>
  <si>
    <t>UKR</t>
  </si>
  <si>
    <t>Ukraine</t>
  </si>
  <si>
    <t>Ucrania</t>
  </si>
  <si>
    <t>Украина</t>
  </si>
  <si>
    <t>أوكرانيا</t>
  </si>
  <si>
    <t>UMI</t>
  </si>
  <si>
    <t>United States Minor Outlying Islands</t>
  </si>
  <si>
    <t>Îles mineures éloignées des États-Unis</t>
  </si>
  <si>
    <t>Islas menores alejadas de Estados Unidos</t>
  </si>
  <si>
    <t>Внешние малые острова Соединенных Штатов</t>
  </si>
  <si>
    <t>نائية التابعة للولايات المتحدة</t>
  </si>
  <si>
    <t>URY</t>
  </si>
  <si>
    <t>Uruguay</t>
  </si>
  <si>
    <t>Уругвай</t>
  </si>
  <si>
    <t>أوروغواي</t>
  </si>
  <si>
    <t>USA</t>
  </si>
  <si>
    <t>United States of America</t>
  </si>
  <si>
    <t>États-Unis d’Amérique</t>
  </si>
  <si>
    <t>Estados Unidos de América</t>
  </si>
  <si>
    <t>Соединенные Штаты Америки</t>
  </si>
  <si>
    <t>الولايات المتحدة الأمريكية</t>
  </si>
  <si>
    <t>UZB</t>
  </si>
  <si>
    <t>Uzbekistan</t>
  </si>
  <si>
    <t>Ouzbékistan</t>
  </si>
  <si>
    <t>Uzbekistán</t>
  </si>
  <si>
    <t>Узбекистан</t>
  </si>
  <si>
    <t>أوزبكستان</t>
  </si>
  <si>
    <t>VAT</t>
  </si>
  <si>
    <t>Holy See</t>
  </si>
  <si>
    <t>Saint-Siège</t>
  </si>
  <si>
    <t>Santa Sede</t>
  </si>
  <si>
    <t>Святой Престол</t>
  </si>
  <si>
    <t>الكرسي الرسولي</t>
  </si>
  <si>
    <t>VCT</t>
  </si>
  <si>
    <t>Saint Vincent and the Grenadines</t>
  </si>
  <si>
    <t>Saint-Vincent-et-les Grenadines</t>
  </si>
  <si>
    <t>San Vicente y las Granadinas</t>
  </si>
  <si>
    <t>Сент-Винсент и Гренадины</t>
  </si>
  <si>
    <t>سانت فنسنت وجزر غرينادين</t>
  </si>
  <si>
    <t>VEN</t>
  </si>
  <si>
    <t>Venezuela (Bolivarian Republic of)</t>
  </si>
  <si>
    <t>Venezuela (République bolivarienne du)</t>
  </si>
  <si>
    <t>Venezuela (República Bolivariana de)</t>
  </si>
  <si>
    <t>Венесуэла (Боливарианская Республика)</t>
  </si>
  <si>
    <t>فنزويلا (جمهورية - البوليفارية)</t>
  </si>
  <si>
    <t>VGB</t>
  </si>
  <si>
    <t>British Virgin Islands</t>
  </si>
  <si>
    <t>Îles Vierges britanniques</t>
  </si>
  <si>
    <t>Islas Vírgenes Británicas</t>
  </si>
  <si>
    <t>Британские Виргинские острова</t>
  </si>
  <si>
    <t>جزر فرجن البريطانية</t>
  </si>
  <si>
    <t>VIR</t>
  </si>
  <si>
    <t>United States Virgin Islands</t>
  </si>
  <si>
    <t>Îles Vierges américaines</t>
  </si>
  <si>
    <t>Islas Vírgenes de los Estados Unidos</t>
  </si>
  <si>
    <t>Виргинские острова Соединенных Штатов</t>
  </si>
  <si>
    <t>جزر فرجن التابعة للولايات المتحدة</t>
  </si>
  <si>
    <t>VNM</t>
  </si>
  <si>
    <t>Viet Nam</t>
  </si>
  <si>
    <t>Вьетнам</t>
  </si>
  <si>
    <t>فييت نام</t>
  </si>
  <si>
    <t>VUT</t>
  </si>
  <si>
    <t>Vanuatu</t>
  </si>
  <si>
    <t>Вануату</t>
  </si>
  <si>
    <t>فانواتو</t>
  </si>
  <si>
    <t>WLF</t>
  </si>
  <si>
    <t>Wallis and Futuna Islands</t>
  </si>
  <si>
    <t>Îles Wallis-et-Futuna</t>
  </si>
  <si>
    <t>Islas Wallis y Futuna</t>
  </si>
  <si>
    <t>Острова Уоллис и Футуна</t>
  </si>
  <si>
    <t>جزر واليس وفوتونا</t>
  </si>
  <si>
    <t>WSM</t>
  </si>
  <si>
    <t>Samoa</t>
  </si>
  <si>
    <t>Самоа</t>
  </si>
  <si>
    <t>ساموا</t>
  </si>
  <si>
    <t>YEM</t>
  </si>
  <si>
    <t>Yemen</t>
  </si>
  <si>
    <t>Yémen</t>
  </si>
  <si>
    <t>Йемен</t>
  </si>
  <si>
    <t>اليمن</t>
  </si>
  <si>
    <t>ZAF</t>
  </si>
  <si>
    <t>South Africa</t>
  </si>
  <si>
    <t>Afrique du Sud</t>
  </si>
  <si>
    <t>Sudáfrica</t>
  </si>
  <si>
    <t>Южная Африка</t>
  </si>
  <si>
    <t>جنوب أفريقيا</t>
  </si>
  <si>
    <t>ZMB</t>
  </si>
  <si>
    <t>Zambia</t>
  </si>
  <si>
    <t>Zambie</t>
  </si>
  <si>
    <t>Замбия</t>
  </si>
  <si>
    <t>زامبيا</t>
  </si>
  <si>
    <t>ZWE</t>
  </si>
  <si>
    <t>Zimbabwe</t>
  </si>
  <si>
    <t>Зимбабве</t>
  </si>
  <si>
    <t>زمبابوي</t>
  </si>
  <si>
    <t>TMP</t>
  </si>
  <si>
    <t>Template</t>
  </si>
  <si>
    <t>Utilisado</t>
  </si>
  <si>
    <t>Razón no utilizado</t>
  </si>
  <si>
    <t>Notas</t>
  </si>
  <si>
    <t>A - Suposición</t>
  </si>
  <si>
    <t>Parte B: Estimación de aguas residuales domésticas generadas por flujo (tipo de instalación de saneamiento)</t>
  </si>
  <si>
    <r>
      <t>Volume 
[million m</t>
    </r>
    <r>
      <rPr>
        <vertAlign val="superscript"/>
        <sz val="12"/>
        <color rgb="FF000000"/>
        <rFont val="Arial"/>
        <family val="2"/>
      </rPr>
      <t>3</t>
    </r>
    <r>
      <rPr>
        <sz val="12"/>
        <color rgb="FF000000"/>
        <rFont val="Arial"/>
        <family val="2"/>
      </rPr>
      <t>/year]</t>
    </r>
  </si>
  <si>
    <r>
      <t>Volumen [millones de m</t>
    </r>
    <r>
      <rPr>
        <vertAlign val="superscript"/>
        <sz val="12"/>
        <color rgb="FF000000"/>
        <rFont val="Arial"/>
        <family val="2"/>
      </rPr>
      <t>3</t>
    </r>
    <r>
      <rPr>
        <sz val="12"/>
        <color rgb="FF000000"/>
        <rFont val="Arial"/>
        <family val="2"/>
      </rPr>
      <t>/año]</t>
    </r>
  </si>
  <si>
    <r>
      <t>Volume [millions de m</t>
    </r>
    <r>
      <rPr>
        <vertAlign val="superscript"/>
        <sz val="12"/>
        <color rgb="FF000000"/>
        <rFont val="Arial"/>
        <family val="2"/>
      </rPr>
      <t>3</t>
    </r>
    <r>
      <rPr>
        <sz val="12"/>
        <color rgb="FF000000"/>
        <rFont val="Arial"/>
        <family val="2"/>
      </rPr>
      <t>/an]</t>
    </r>
  </si>
  <si>
    <t>Flujo 1: Alcantarillas</t>
  </si>
  <si>
    <t>Flujo 2: Fosas sépticas</t>
  </si>
  <si>
    <t>Flujo 1: flujos de aguas residuales de alcantarillado</t>
  </si>
  <si>
    <t>Flujo 2: Flujos de aguas residuales de fosas sépticas</t>
  </si>
  <si>
    <t>Flujo 2b: Tratamiento de aguas residuales de fosas sépticas y eliminación en el sitio</t>
  </si>
  <si>
    <t>Flujo 2a: Tratamiento de aguas residuales de fosas sépticas y eliminación fuera del sitio</t>
  </si>
  <si>
    <t>Proporción del volumen generado en cada flujo de aguas residuales (%)</t>
  </si>
  <si>
    <t>Flujo 1: tratamiento seguro de alcantarillas en plantas de tratamiento de aguas residuales</t>
  </si>
  <si>
    <t>Flujo 2a: tratamiento seguro en tanques sépticos con lodo fecal tratado de manera segura en plantas de tratamiento de aguas residuales fuera del sitio</t>
  </si>
  <si>
    <t>Flujo 2b: tratamiento seguro en fosas sépticas con lodo fecal tratado de forma segura en el lugar de tratamiento</t>
  </si>
  <si>
    <t>6.3.1 Aguas residuales domésticas tratadas de manera segura</t>
  </si>
  <si>
    <t>Aguas residuales domésticas tratadas de manera segura:</t>
  </si>
  <si>
    <t>Aguas residuales tratadas de manera segura: datos insuficientes</t>
  </si>
  <si>
    <t>Sí,</t>
  </si>
  <si>
    <t>Да,</t>
  </si>
  <si>
    <t>[variable numbers shown in square brackets - see links to the 'Data inputs (all)' worksheet for additional details]</t>
  </si>
  <si>
    <t>Total:</t>
  </si>
  <si>
    <t>المجموع:</t>
  </si>
  <si>
    <t>Общий:</t>
  </si>
  <si>
    <t>Population (1000s)</t>
  </si>
  <si>
    <t>Proportion of sewer wastewater delivered to treatment plants</t>
  </si>
  <si>
    <t>Proportion of received sewer wastewater safely treated (by compliance) at treatment plants</t>
  </si>
  <si>
    <t>Proportion of received sewer wastewater safely treated (by technology) at treatment plants</t>
  </si>
  <si>
    <t>Proportion of septic tanks with faecal sludge removed and delivered to off-site treatment plants</t>
  </si>
  <si>
    <t>Proportion of septic tanks with faecal sludge delivered to and safely treated at off-site treatment plants</t>
  </si>
  <si>
    <t>Volume of sewer wastewater delivered to wastewater treatment plants</t>
  </si>
  <si>
    <t>Volume of septic tank wastewater collected in septic tanks with faecal sludge delivered to off-site treatment plants</t>
  </si>
  <si>
    <t>Volume of septic tank wastewater collected in septic tanks with faecal sludge remaining on-site</t>
  </si>
  <si>
    <t>Volume of household wastewater delivered to treatment facilities</t>
  </si>
  <si>
    <t>Volume of septic tank wastewater safely treated in septic tanks with faecal sludge safely treated at off-site treatment plants</t>
  </si>
  <si>
    <t>Volume of septic tank wastewater safely treated in septic tanks with faecal sludge safely treated on-site</t>
  </si>
  <si>
    <t>[nombres variables indiqués entre crochets - voir les liens vers la feuille de calcul "Données d'estimation du pays" pour plus de détails]</t>
  </si>
  <si>
    <t>[los números de las variables se muestran entre corchetes; consulte los enlaces a la hoja de trabajo 'Datos estimados del país' para obtener detalles adicionales]</t>
  </si>
  <si>
    <t>[أرقام متغيرة موضحة بين قوسين معقوفين - انظر الروابط إلى ورقة عمل "بيانات تقدير البلد" للحصول على تفاصيل إضافية]</t>
  </si>
  <si>
    <t>[числа переменных указаны в квадратных скобках — дополнительные сведения см. по ссылкам на рабочий лист «Расчетные данные по стране»]</t>
  </si>
  <si>
    <t>XKX</t>
  </si>
  <si>
    <t>Kosovo (under United Nations Security Council Resolution 1244/99)</t>
  </si>
  <si>
    <t>Kosovo (en vertu de la résolution 1244/99 du Conseil de sécurité des Nations Unies)</t>
  </si>
  <si>
    <t>Kosovo (bajo la Resolución 1244/99 del Consejo de Seguridad de las Naciones Unidas)</t>
  </si>
  <si>
    <t>Косово (в соответствии с резолюцией 1244/99 Совета Безопасности ООН)</t>
  </si>
  <si>
    <t>كوسوفو (بموجب قرار مجلس الأمن التابع للأمم المتحدة 1244/99)</t>
  </si>
  <si>
    <t>Esta hoja de trabajo presenta un resumen de los flujos estimados de aguas residuales domésticas tratadas de manera segura con base en los datos presentados en las Partes B, C y D. Si se informaron datos suficientes oficialmente, también se presenta la estimación general del país para las aguas residuales domésticas tratadas de manera segura [40]. Se presentan proporciones del total de aguas residuales domésticas generadas (Columna E) y por cada flujo (Columna H).</t>
  </si>
  <si>
    <t>Part D: Estimation of household wastewater delivered to treatment facilities</t>
  </si>
  <si>
    <t>Proportion of septic tanks with wastewater collected and contained</t>
  </si>
  <si>
    <t>Proportion of septic tanks with faecal sludge emptied and discharged locally (not delivered to treatment)</t>
  </si>
  <si>
    <t>Proportion delivered to treatment plants</t>
  </si>
  <si>
    <t>Proportion of delivered that is safely treated (by compliance) at treatment plants</t>
  </si>
  <si>
    <t>Proportion of delivered that is safely treated (by technology) at treatment plants</t>
  </si>
  <si>
    <t>Proportion of tanks with wastewater collected and contained</t>
  </si>
  <si>
    <t>Proportion of tanks with faecal sludge removed off-site and delivered to off-site treatment plants</t>
  </si>
  <si>
    <t>Proportion of tanks with faecal sludge delivered to and safely treated at off-site treatment plants</t>
  </si>
  <si>
    <t>This worksheet presents a summary of estimated household wastewater flows delivered to treatment facilities based on the computations and data in Parts B and C.  Proportions are presented of the total household wastewater generated (Column E) and by each stream (Column H).</t>
  </si>
  <si>
    <t>Stream 1: Sewers delivered to wastewater treatment plants</t>
  </si>
  <si>
    <t>Stream 2a: Collected in septic tanks with faecal sludge delivered to off-site wastewater treatment plants</t>
  </si>
  <si>
    <t>Stream 2b: Collected in septic tanks with faecal sludge delivered to on-site treatment</t>
  </si>
  <si>
    <t>Total delivered to treatment</t>
  </si>
  <si>
    <t>Parte D: Estimación de las aguas residuales domésticas transportadas a las instalaciones de tratamiento</t>
  </si>
  <si>
    <t>Proporción de aguas residuales de alcantarillado transportadas a plantas de tratamiento</t>
  </si>
  <si>
    <t>Proporción de aguas residuales de alcantarillado recibidas tratadas de manera segura (por cumplimiento) en plantas de tratamiento</t>
  </si>
  <si>
    <t>Proporción de aguas residuales de alcantarillado recibidas tratadas de manera segura (mediante tecnología) en plantas de tratamiento</t>
  </si>
  <si>
    <t>Proporción de fosas sépticas con aguas residuales recogidas y contenidas</t>
  </si>
  <si>
    <t>Proporción de fosas sépticas con lodos fecales vaciados y vertidos localmente (no transportados a tratamiento)</t>
  </si>
  <si>
    <t>Proporción de fosas sépticas con lodos fecales extraídos y transportados a plantas de tratamiento externas</t>
  </si>
  <si>
    <t>Proporción de fosas sépticas con lodos fecales transportados y tratados de forma segura en plantas de tratamiento externas</t>
  </si>
  <si>
    <t>Volumen de aguas residuales de alcantarillado transportadas a plantas de tratamiento de aguas residuales</t>
  </si>
  <si>
    <t>Volumen de aguas residuales de tanques sépticos recolectados en tanques sépticos con lodo fecal transportadas a plantas de tratamiento de aguas residuales fuera del sitio</t>
  </si>
  <si>
    <t>Volumen de aguas residuales domésticas transportadas a las instalaciones de tratamiento</t>
  </si>
  <si>
    <t>Volumen de aguas residuales de tanques sépticos tratados de manera segura en tanques sépticos con lodos fecales tratados de manera segura en plantas de tratamiento externas</t>
  </si>
  <si>
    <t>Proporción transportada a plantas de tratamiento</t>
  </si>
  <si>
    <t>Proporción de transportados que se trata de manera segura (por cumplimiento) en las plantas de tratamiento</t>
  </si>
  <si>
    <t>Proporción de transportados que se trata de manera segura (mediante tecnología) en las plantas de tratamiento</t>
  </si>
  <si>
    <t>Proporción de tanques con aguas residuales recogidas y contenidas</t>
  </si>
  <si>
    <t>Proporción de tanques con lodos fecales removidos fuera del sitio y transportados a plantas de tratamiento fuera del sitio</t>
  </si>
  <si>
    <t>Proporción de tanques con lodos fecales transportados y tratados de manera segura en plantas de tratamiento externas</t>
  </si>
  <si>
    <t>Esta hoja de trabajo presenta un resumen de los flujos estimados de aguas residuales domésticas transportadas a las instalaciones de tratamiento con base en los cálculos y datos de las Partes B y C. Se presentan proporciones del total de aguas residuales domésticas generadas (Columna E) y por cada corriente (Columna H).</t>
  </si>
  <si>
    <t>Flujo 1: Alcantarillas transportados a plantas de tratamiento de aguas residuales</t>
  </si>
  <si>
    <t>Flujo 2a: Recolectado en tanques sépticos con lodo fecal transportadas a plantas de tratamiento de aguas residuales fuera del sitio</t>
  </si>
  <si>
    <t>Flujo 2b: Recolectado en tanques sépticos con lodo fecal transportado al tratamiento en el sitio</t>
  </si>
  <si>
    <t>Partie D : Estimation des eaux usées ménagères livrées vers les stations d'épuration</t>
  </si>
  <si>
    <t>Proportion des eaux usées d'égout livrées vers les stations d'épuration</t>
  </si>
  <si>
    <t>Proportion d'eaux usées d'égout reçues traitées en toute sécurité (par conformité) dans les stations d'épuration</t>
  </si>
  <si>
    <t>Proportion d'eaux usées d'égout reçues traitées en toute sécurité (par la technologie) dans les stations d'épuration</t>
  </si>
  <si>
    <t>Proportion de fosses septiques collectées et confinant des eaux usées</t>
  </si>
  <si>
    <t>Proportion de fosses septiques avec boues fécales vidées et rejetées localement (non livrées au traitement)</t>
  </si>
  <si>
    <t>Proportion de fosses septiques dont les boues fécales ont été retirées et livrées vers des stations d'épuration hors site</t>
  </si>
  <si>
    <t>Proportion de fosses septiques contenant des boues fécales livrées et traitées en toute sécurité dans des stations d'épuration hors site</t>
  </si>
  <si>
    <t>Volume des eaux usées d'égout livrées vers les stations d'épuration</t>
  </si>
  <si>
    <t>Volume des eaux usées des fosses septiques collectées dans les fosses septiques avec des boues fécales livrées vers les stations d'épuration hors site</t>
  </si>
  <si>
    <t>Volume d'eaux usées domestiques livrées vers les stations d'épuration</t>
  </si>
  <si>
    <t>Proportion livrée aux stations d'épuration</t>
  </si>
  <si>
    <t>Proportion de livraisons qui est traitée en toute sécurité (par conformité) dans les stations d'épuration</t>
  </si>
  <si>
    <t>Proportion de livraisons qui est traitée en toute sécurité (par la technologie) dans les stations d'épuration</t>
  </si>
  <si>
    <t>Proportion de fosses septiques  contenant des boues fécales vidés et rejetés localement</t>
  </si>
  <si>
    <t>Proportion de fosses septiques contenant des boues fécales vidés et évacués hors site</t>
  </si>
  <si>
    <t>Proportion de fosses septiques contenant des boues fécales non encore vidangés</t>
  </si>
  <si>
    <t>Proportion de fosses septiques contenant des boues fécales vidés et enfouis sur place</t>
  </si>
  <si>
    <t>Proportion de fosses septiques contenant des boues fécales évacués hors site et livrées vers des stations d'épuration hors site</t>
  </si>
  <si>
    <t>Cette feuille de travail présente un résumé des débits d'eaux usées domestiques estimés livrées vers les installations de traitement sur la base des calculs et des données des parties B et C. Les proportions sont présentées du total des eaux usées domestiques générées (colonne E) et par chaque flux (colonne H).</t>
  </si>
  <si>
    <t>Volet 1 : Égouts livrés aux usines de traitement des eaux usées</t>
  </si>
  <si>
    <t>Volet 2a : Collecté dans des fosses septiques avec des boues fécales livrées vers les stations d'épuration hors site</t>
  </si>
  <si>
    <t>Volet 2b : Collecté dans des fosses septiques avec des boues fécales livrées sur place</t>
  </si>
  <si>
    <t>الجزء د: تقدير مياه الصرف المنزلية التي يتم توصيلها إلى مرافق المعالجة</t>
  </si>
  <si>
    <t>نسبة مياه الصرف الصحي المتلقاة المعالجة بأمان (عن طريق الامتثال) في محطات المعالجة</t>
  </si>
  <si>
    <t>نسبة مياه الصرف الصحي المتلقاة المعالجة بأمان (بالتكنولوجيا) في محطات المعالجة</t>
  </si>
  <si>
    <t>نسبة خزانات الصرف الصحي التي تحتوي على مياه الصرف الصحي التي يتم جمعها واحتوائها</t>
  </si>
  <si>
    <t>نسبة خزانات الصرف الصحي مع حمأة البراز التي تم تفريغها وتفريغها محليًا (لم يتم تسليمها للمعالجة)</t>
  </si>
  <si>
    <t>نسبة خزانات الصرف الصحي مع إزالة حمأة البراز وتسليمها إلى محطات المعالجة خارج الموقع</t>
  </si>
  <si>
    <t>نسبة خزانات الصرف الصحي مع حمأة البراز التي يتم تسليمها ومعالجتها بأمان في محطات المعالجة خارج الموقع</t>
  </si>
  <si>
    <t>حجم مياه الصرف الصحي المنقولة إلى محطات معالجة مياه الصرف الصحي</t>
  </si>
  <si>
    <t>حجم المياه العادمة لخزانات الصرف الصحي التي يتم تجميعها في خزانات الصرف مع حمأة البراز التي يتم تسليمها إلى محطات المعالجة خارج الموقع</t>
  </si>
  <si>
    <t>حجم مياه الصرف المنزلية التي يتم توصيلها إلى مرافق المعالجة</t>
  </si>
  <si>
    <t>حجم المياه العادمة لخزانات الصرف الصحي المعالجة بأمان في خزانات الصرف الصحي مع حمأة البراز المعالجة بأمان في محطات المعالجة خارج الموقع</t>
  </si>
  <si>
    <t>يتم تسليم النسبة لمحطات المعالجة</t>
  </si>
  <si>
    <t>نسبة ما يتم تسليمه ومعالجته بأمان (عن طريق الامتثال) في محطات المعالجة</t>
  </si>
  <si>
    <t>نسبة ما يتم تسليمه والمعالج بأمان (بالتكنولوجيا) في محطات المعالجة</t>
  </si>
  <si>
    <t>نسبة الخزانات التي تحتوي على مياه الصرف الصحي التي يتم تجميعها واحتوائها</t>
  </si>
  <si>
    <t>نسبة الخزانات التي تمت إزالتها من الحمأة البرازية خارج الموقع وتسليمها إلى محطات المعالجة خارج الموقع</t>
  </si>
  <si>
    <t>نسبة الخزانات التي تحتوي على حمأة برازية يتم تسليمها ومعالجتها بأمان في محطات المعالجة خارج الموقع</t>
  </si>
  <si>
    <t>تعرض ورقة العمل هذه ملخصًا لتدفقات المياه العادمة المنزلية المقدرة التي تم تسليمها إلى مرافق المعالجة بناءً على الحسابات والبيانات الواردة في الجزأين B و C. يتم عرض النسب من إجمالي مياه الصرف المنزلية المتولدة (العمود E) وبواسطة كل تيار (العمود H).</t>
  </si>
  <si>
    <t>التيار 1: المجاري المسلمة إلى محطات معالجة مياه الصرف الصحي</t>
  </si>
  <si>
    <t>التيار 2 أ: يتم تجميعه في خزانات الصرف الصحي مع نقل الحمأة البرازية إلى محطات معالجة مياه الصرف الصحي خارج الموقع</t>
  </si>
  <si>
    <t>التيار 2 ب: مجمعة في خزانات الصرف الصحي مع حمأة البراز وتوصيلها إلى المعالجة في الموقع</t>
  </si>
  <si>
    <t>Часть D: Оценка бытовых сточных вод, поступающих на очистные сооружения</t>
  </si>
  <si>
    <t>Доля канализационных сточных вод, поступающих на очистные сооружения</t>
  </si>
  <si>
    <t>Доля поступающих канализационных сточных вод, безопасно очищаемых (в соответствии с требованиями) на очистных сооружениях</t>
  </si>
  <si>
    <t>Доля поступающих канализационных сточных вод, безопасно очищенных (по технологии) на очистных сооружениях</t>
  </si>
  <si>
    <t>Доля септиков, в которых собираются и хранятся сточные воды</t>
  </si>
  <si>
    <t>Доля септиков с фекальным осадком, опорожняемых и сбрасываемых локально (не доставленных на очистку)</t>
  </si>
  <si>
    <t>Доля септических резервуаров, из которых удаляют фекальный шлам и доставляют на очистные сооружения за пределами площадки</t>
  </si>
  <si>
    <t>Доля септиков с фекальным илом, доставленных и безопасно обработанных на очистных сооружениях за пределами площадки</t>
  </si>
  <si>
    <t>Объем канализационных сточных вод, поступающих на очистные сооружения</t>
  </si>
  <si>
    <t>Объем сточных вод из септиктенков, собранных в септических резервуарах с фекальным илом, доставленных на очистные сооружения за пределами площадки</t>
  </si>
  <si>
    <t>Объем хозяйственно-бытовых сточных вод, поступающих на очистные сооружения</t>
  </si>
  <si>
    <t>Объем сточных вод из септиктенков, безопасно очищаемых в септических резервуарах с фекальным илом, безопасно очищаемых на очистных сооружениях за пределами площадки</t>
  </si>
  <si>
    <t>Доля, доставленная на очистные сооружения</t>
  </si>
  <si>
    <t>Доля поставленного груза, который безопасно обрабатывается (в соответствии с требованиями) на очистных сооружениях</t>
  </si>
  <si>
    <t>Доля поставленного груза, безопасно очищенного (по технологии) на очистных сооружениях</t>
  </si>
  <si>
    <t>Доля резервуаров, в которых собираются и хранятся сточные воды</t>
  </si>
  <si>
    <t>Доля резервуаров с фекальным илом, вывозимым за пределы участка и доставляемым на очистные сооружения за пределами участка</t>
  </si>
  <si>
    <t>Доля резервуаров с фекальным илом, доставленных и безопасно обработанных на очистных сооружениях за пределами площадки</t>
  </si>
  <si>
    <t>На этом рабочем листе представлена ​​сводка расчетных потоков бытовых сточных вод, поступающих на очистные сооружения, на основе расчетов и данных, приведенных в частях B и C. Представлены пропорции общего количества образующихся бытовых сточных вод (столбец E) и по каждому потоку (столбец H).</t>
  </si>
  <si>
    <t>Поток 1: Канализационные трубы доставлены на очистные сооружения.</t>
  </si>
  <si>
    <t>Поток 2а: Собирается в септических резервуарах, а фекальный ил доставляется на очистные сооружения за пределами участка.</t>
  </si>
  <si>
    <t>Поток 2b: Сбор в септических емкостях с доставкой фекального ила на очистку на месте.</t>
  </si>
  <si>
    <t>Total household wastewater generated (from disaggregation)</t>
  </si>
  <si>
    <t>CYP</t>
  </si>
  <si>
    <t>Cyprus</t>
  </si>
  <si>
    <t>Chypre</t>
  </si>
  <si>
    <t>Chipre</t>
  </si>
  <si>
    <t>Кипр</t>
  </si>
  <si>
    <t>قبرصد</t>
  </si>
  <si>
    <t>Netherlands (Kingdom of the)</t>
  </si>
  <si>
    <t>Pays-Bas (Royaume des)</t>
  </si>
  <si>
    <t>Países Bajos (Reino de los)</t>
  </si>
  <si>
    <t>Нидерланды (Королевство)</t>
  </si>
  <si>
    <t>هولندا (مملكة)</t>
  </si>
  <si>
    <t>荷兰王国</t>
  </si>
  <si>
    <t>Parts A to E</t>
  </si>
  <si>
    <t>Data inputs (all)</t>
  </si>
  <si>
    <t>Check1</t>
  </si>
  <si>
    <t>Check2</t>
  </si>
  <si>
    <t>CYM</t>
  </si>
  <si>
    <t>Cayman Islands</t>
  </si>
  <si>
    <t>Islas Caimán</t>
  </si>
  <si>
    <t>Îles Caïmans</t>
  </si>
  <si>
    <t>Каймановы острова</t>
  </si>
  <si>
    <t>جزر كايمان</t>
  </si>
  <si>
    <t>Country Estimate</t>
  </si>
  <si>
    <t>occupied Palestinian territory, including east Jerusalem</t>
  </si>
  <si>
    <t>Territoire palestinien occupé, y compris Jérusalem-Est</t>
  </si>
  <si>
    <t>Territorio Palestino Ocupado, incluida Jerusalén Oriental</t>
  </si>
  <si>
    <t>Оккупированная Палестинская территория, включая Восточный Иерусалим</t>
  </si>
  <si>
    <t>الأرض الفلسطينية المحتلة، بما فيها القدس الشرقية</t>
  </si>
  <si>
    <t>filename_country</t>
  </si>
  <si>
    <t>POP</t>
  </si>
  <si>
    <t>POP_WATON_PCT</t>
  </si>
  <si>
    <t>POP_WATOFF_PCT</t>
  </si>
  <si>
    <t>USE_WATON_AVG</t>
  </si>
  <si>
    <t>USE_WATOFF_AVG</t>
  </si>
  <si>
    <t>USE_VOL</t>
  </si>
  <si>
    <t>USE_TO_WW_PCT</t>
  </si>
  <si>
    <t>GEN_VOL</t>
  </si>
  <si>
    <t>SEW_PCT</t>
  </si>
  <si>
    <t>SEP_PCT</t>
  </si>
  <si>
    <t>OTHIMP_PCT</t>
  </si>
  <si>
    <t>UNIMP_PCT</t>
  </si>
  <si>
    <t>OD_PCT</t>
  </si>
  <si>
    <t>SEW_VOL</t>
  </si>
  <si>
    <t>SEP_VOL</t>
  </si>
  <si>
    <t>OTHIMP_VOL</t>
  </si>
  <si>
    <t>UNIMP_VOL</t>
  </si>
  <si>
    <t>OD_VOL</t>
  </si>
  <si>
    <t>SEW_DEL_WWTP_PCT</t>
  </si>
  <si>
    <t>SEW_ST_WWTP_CMP_PCT</t>
  </si>
  <si>
    <t>SEW_ST_WWTP_TCH_PCT</t>
  </si>
  <si>
    <t>SEP_CONT_PCT</t>
  </si>
  <si>
    <t>SEP_ON_BUR_PCT</t>
  </si>
  <si>
    <t>SEP_LOCAL_PCT</t>
  </si>
  <si>
    <t>SEP_OFF_EMPT_PCT</t>
  </si>
  <si>
    <t>SEP_ON_NOEMPT_PCT</t>
  </si>
  <si>
    <t>SEP_OFF_DEL_WWTP_PCT</t>
  </si>
  <si>
    <t>SEP_OFF_ST_WWTP_PCT</t>
  </si>
  <si>
    <t>SEW_DEL_TRT_VOL</t>
  </si>
  <si>
    <t>SEP_OFF_DEL_TRT_VOL</t>
  </si>
  <si>
    <t>SEP_ON_DEL_TRT_VOL</t>
  </si>
  <si>
    <t>DEL_TRT_VOL</t>
  </si>
  <si>
    <t>SEW_STWW_VOL</t>
  </si>
  <si>
    <t>SEP_OFF_STWW_VOL</t>
  </si>
  <si>
    <t>SEP_ON_STWW_VOL</t>
  </si>
  <si>
    <t>STWW_VOL</t>
  </si>
  <si>
    <t>SEW_STWW_PCT</t>
  </si>
  <si>
    <t>SEP_OFF_STWW_PCT</t>
  </si>
  <si>
    <t>SEP_ON_STWW_PCT</t>
  </si>
  <si>
    <t>STWW_PCT</t>
  </si>
  <si>
    <t>R</t>
  </si>
  <si>
    <t>year</t>
  </si>
  <si>
    <t>2024 Revision of World Population Prospects</t>
  </si>
  <si>
    <t>WHO/UNICEF Joint Monitoring Programme for Water Supply, Sanitation, and Hygiene (JMP) Household Country File, 2025 (link: https://washdata.org/)</t>
  </si>
  <si>
    <t>Standard assumption</t>
  </si>
  <si>
    <t>UNSD, Country Files from the UNSD/UNEP data collection on Environment Statistics (date accessed: September 2024)</t>
  </si>
  <si>
    <t>Bureau of National Statistics; On the work of the structures of water supply and sanitation systems; 4th series Environment Statistics</t>
  </si>
  <si>
    <t>KAZ_2021_UNSD</t>
  </si>
  <si>
    <t>KAZ_2023_BNS</t>
  </si>
  <si>
    <t>Table W4, Line 9, Total wastewater generated by households</t>
  </si>
  <si>
    <t>Table W5, derived from the proportion of the population connected to wastewater treatment plants (line 2=56%) divided by the proportion of the population connected to wastewater collecting systems (sewers; line 1=75.7%)</t>
  </si>
  <si>
    <t>tab 11; normatively cleared divided by sum of normatively cleared and insufficiently purified</t>
  </si>
  <si>
    <t>Assumes that performance of faecal sludge treatment at centralized treatment facilities is the same as that for sewer wastewater treatment</t>
  </si>
  <si>
    <t>Using proportion of delivered sewer wastewater safely treated by compliance</t>
  </si>
  <si>
    <t>Ministry of National Economy of the Republic of Kazakhstan - Committee on Statistics</t>
  </si>
  <si>
    <t>KAZ_2014_UNSD</t>
  </si>
  <si>
    <t>KAZ_2015_UNSD</t>
  </si>
  <si>
    <t>KAZ_2016_UNSD</t>
  </si>
  <si>
    <t>KAZ_2017_UNSD</t>
  </si>
  <si>
    <t>KAZ_2018_UNSD</t>
  </si>
  <si>
    <t>KAZ_2019_UNSD</t>
  </si>
  <si>
    <t>KAZ_2020_UNSD</t>
  </si>
  <si>
    <t>KAZ_2022_BNS</t>
  </si>
  <si>
    <t>KAZ_2022_SC</t>
  </si>
  <si>
    <t>KAZ_2023_SC</t>
  </si>
  <si>
    <t>Table W5, derived from the proportion of the population connected to wastewater treatment plants (line 2=63%) divided by the proportion of the population connected to wastewater collecting systems (sewers; line 1=63%)</t>
  </si>
  <si>
    <t>Table W5, derived from the proportion of the population connected to wastewater treatment plants (line 2=57%) divided by the proportion of the population connected to wastewater collecting systems (sewers; line 1=57%)</t>
  </si>
  <si>
    <t>Table W5, derived from the proportion of the population connected to wastewater treatment plants (line 2=58%) divided by the proportion of the population connected to wastewater collecting systems (sewers; line 1=58%)</t>
  </si>
  <si>
    <t>Table W5, derived from the proportion of the population connected to wastewater treatment plants (line 2=55%) divided by the proportion of the population connected to wastewater collecting systems (sewers; line 1=55%)</t>
  </si>
  <si>
    <t>Table W5, derived from the proportion of the population connected to wastewater treatment plants (line 2=59%) divided by the proportion of the population connected to wastewater collecting systems (sewers; line 1=59%)</t>
  </si>
  <si>
    <t>Table W5, derived from the proportion of the population connected to wastewater treatment plants (line 2=55.1%) divided by the proportion of the population connected to wastewater collecting systems (sewers; line 1=70.5%)</t>
  </si>
  <si>
    <t>Table W4, derived from the volume of urban wastewater (million m3/year) delivered to wastewater treatment plants and treated by secondary or higher processes [secondary (line 13=513.55) &amp; tertiary (line 14=no data, treated as 0) treatment] divided by the volume delivered to wastewater treatment plants [primary (line 12=49.13), secondary (line 13=513.55), &amp; tertiary (line 14=no data, treated as 0) treatment].</t>
  </si>
  <si>
    <t>Table W4, derived from the volume of urban wastewater (million m3/year) delivered to wastewater treatment plants and treated by secondary or higher processes [secondary (line 13=516.48) &amp; tertiary (line 14=no data, treated as 0) treatment] divided by the volume delivered to wastewater treatment plants [primary (line 12=50.26), secondary (line 13=516.48), &amp; tertiary (line 14=no data, treated as 0) treatment].</t>
  </si>
  <si>
    <t>Table W4, derived from the volume of urban wastewater (million m3/year) delivered to wastewater treatment plants and treated by secondary or higher processes [secondary (line 13=520.86) &amp; tertiary (line 14=no data, treated as 0) treatment] divided by the volume delivered to wastewater treatment plants [primary (line 12=43.36), secondary (line 13=520.86), &amp; tertiary (line 14=no data, treated as 0) treatment].</t>
  </si>
  <si>
    <t>Table W4, derived from the volume of urban wastewater (million m3/year) delivered to wastewater treatment plants and treated by secondary or higher processes [secondary (line 13=519.58) &amp; tertiary (line 14=no data, treated as 0) treatment] divided by the volume delivered to wastewater treatment plants [primary (line 12=45.44), secondary (line 13=519.58), &amp; tertiary (line 14=no data, treated as 0) treatment].</t>
  </si>
  <si>
    <t>Table W4, derived from the volume of urban wastewater (million m3/year) delivered to wastewater treatment plants and treated by secondary or higher processes [secondary (line 13=519.91) &amp; tertiary (line 14=no data, treated as 0) treatment] divided by the volume delivered to wastewater treatment plants [primary (line 12=44.75), secondary (line 13=519.91), &amp; tertiary (line 14=no data, treated as 0) treatment].</t>
  </si>
  <si>
    <t>Table W4, derived from the volume of urban wastewater (million m3/year) delivered to wastewater treatment plants and treated by secondary or higher processes [secondary (line 13=484.72) &amp; tertiary (line 14=no data, treated as 0) treatment] divided by the volume delivered to wastewater treatment plants [primary (line 12=78.77), secondary (line 13=484.72), &amp; tertiary (line 14=no data, treated as 0) treatment].</t>
  </si>
  <si>
    <t>Table W4, derived from the volume of urban wastewater (million m3/year) delivered to wastewater treatment plants and treated by secondary or higher processes [secondary (line 13=489.83) &amp; tertiary (line 14=no data, treated as 0) treatment] divided by the volume delivered to wastewater treatment plants [primary (line 12=73), secondary (line 13=489.83), &amp; tertiary (line 14=no data, treated as 0) treatment].</t>
  </si>
  <si>
    <t>Table W4, derived from the volume of urban wastewater (million m3/year) delivered to wastewater treatment plants and treated by secondary or higher processes [secondary (line 13=506.26) &amp; tertiary (line 14=no data, treated as 0) treatment] divided by the volume delivered to wastewater treatment plants [primary (line 12=75.34), secondary (line 13=506.26), &amp; tertiary (line 14=no data, treated as 0) treatment].</t>
  </si>
</sst>
</file>

<file path=xl/styles.xml><?xml version="1.0" encoding="utf-8"?>
<styleSheet xmlns="http://schemas.openxmlformats.org/spreadsheetml/2006/main" xmlns:r="http://schemas.openxmlformats.org/officeDocument/2006/relationships" xmlns:xdr="http://schemas.openxmlformats.org/drawingml/2006/spreadsheetDrawing">
  <numFmts count="11">
    <numFmt numFmtId="43" formatCode="_(* #,##0.00_);_(* \(#,##0.00\);_(* &quot;-&quot;??_);_(@_)"/>
    <numFmt numFmtId="164" formatCode="&quot;[&quot;#&quot;]&quot;"/>
    <numFmt numFmtId="165" formatCode="0.0%"/>
    <numFmt numFmtId="166" formatCode="#,##0.000"/>
    <numFmt numFmtId="167" formatCode="&quot;[&quot;0&quot;]&quot;"/>
    <numFmt numFmtId="168" formatCode="0.00000"/>
    <numFmt numFmtId="169" formatCode="0.0"/>
    <numFmt numFmtId="170" formatCode="#,##0.0"/>
    <numFmt numFmtId="171" formatCode="#,##0.00000"/>
    <numFmt numFmtId="172" formatCode="&quot;[&quot;#\]"/>
    <numFmt numFmtId="173" formatCode="0.0000000000%"/>
  </numFmts>
  <fonts count="21">
    <font>
      <sz val="12"/>
      <color rgb="FF000000"/>
      <name val="Arial"/>
    </font>
    <font>
      <b/>
      <sz val="30"/>
      <color rgb="FF000000"/>
      <name val="Arial"/>
      <family val="2"/>
    </font>
    <font>
      <i/>
      <sz val="12"/>
      <color rgb="FF000000"/>
      <name val="Arial"/>
      <family val="2"/>
    </font>
    <font>
      <u/>
      <sz val="16"/>
      <color rgb="FF000000"/>
      <name val="Arial"/>
      <family val="2"/>
    </font>
    <font>
      <sz val="20"/>
      <color rgb="FF04ACDC"/>
      <name val="Arial"/>
      <family val="2"/>
    </font>
    <font>
      <b/>
      <sz val="12"/>
      <color rgb="FF000000"/>
      <name val="Arial"/>
      <family val="2"/>
    </font>
    <font>
      <sz val="12"/>
      <color rgb="FF000000"/>
      <name val="Arial"/>
      <family val="2"/>
    </font>
    <font>
      <sz val="8"/>
      <name val="Arial"/>
      <family val="2"/>
    </font>
    <font>
      <u/>
      <sz val="12"/>
      <color theme="10"/>
      <name val="Arial"/>
      <family val="2"/>
    </font>
    <font>
      <sz val="12"/>
      <color rgb="FF000000"/>
      <name val="Arial"/>
      <family val="2"/>
    </font>
    <font>
      <sz val="18"/>
      <color rgb="FF000000"/>
      <name val="Arial"/>
      <family val="2"/>
    </font>
    <font>
      <sz val="12"/>
      <color rgb="FF000000"/>
      <name val="Arial"/>
      <family val="2"/>
    </font>
    <font>
      <sz val="30"/>
      <color rgb="FF000000"/>
      <name val="Arial"/>
      <family val="2"/>
    </font>
    <font>
      <b/>
      <sz val="18"/>
      <color theme="0"/>
      <name val="Arial"/>
      <family val="2"/>
    </font>
    <font>
      <sz val="14"/>
      <color rgb="FF000000"/>
      <name val="Arial"/>
      <family val="2"/>
    </font>
    <font>
      <sz val="20"/>
      <color rgb="FF000000"/>
      <name val="Arial"/>
      <family val="2"/>
    </font>
    <font>
      <b/>
      <sz val="20"/>
      <color rgb="FF000000"/>
      <name val="Arial"/>
      <family val="2"/>
    </font>
    <font>
      <sz val="10"/>
      <name val="Arial"/>
      <family val="2"/>
    </font>
    <font>
      <b/>
      <sz val="10"/>
      <name val="Arial"/>
      <family val="2"/>
    </font>
    <font>
      <vertAlign val="superscript"/>
      <sz val="12"/>
      <color rgb="FF000000"/>
      <name val="Arial"/>
      <family val="2"/>
    </font>
    <font>
      <sz val="12"/>
      <color theme="0"/>
      <name val="Arial"/>
      <family val="2"/>
    </font>
  </fonts>
  <fills count="9">
    <fill>
      <patternFill patternType="none"/>
    </fill>
    <fill>
      <patternFill patternType="gray125"/>
    </fill>
    <fill>
      <patternFill patternType="solid">
        <fgColor theme="0"/>
        <bgColor indexed="64"/>
      </patternFill>
    </fill>
    <fill>
      <patternFill patternType="solid">
        <fgColor theme="6" tint="0.39997558519242"/>
        <bgColor indexed="64"/>
      </patternFill>
    </fill>
    <fill>
      <patternFill patternType="solid">
        <fgColor theme="6" tint="0.79995117038484"/>
        <bgColor indexed="64"/>
      </patternFill>
    </fill>
    <fill>
      <patternFill patternType="solid">
        <fgColor theme="6" tint="0.79995117038484"/>
        <bgColor indexed="64"/>
      </patternFill>
    </fill>
    <fill>
      <patternFill patternType="solid">
        <fgColor theme="5" tint="-0.24994659260842"/>
        <bgColor indexed="64"/>
      </patternFill>
    </fill>
    <fill>
      <patternFill patternType="solid">
        <fgColor theme="6" tint="0.39991454817347"/>
        <bgColor indexed="64"/>
      </patternFill>
    </fill>
    <fill>
      <patternFill patternType="solid">
        <fgColor theme="9"/>
        <bgColor indexed="64"/>
      </patternFill>
    </fill>
  </fills>
  <borders count="40">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style="thin">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style="medium">
        <color indexed="64"/>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s>
  <cellStyleXfs count="7">
    <xf numFmtId="0" fontId="0" fillId="0" borderId="0"/>
    <xf numFmtId="0" fontId="8" fillId="0" borderId="0" applyNumberFormat="false" applyFill="false" applyBorder="false" applyAlignment="false" applyProtection="false"/>
    <xf numFmtId="9" fontId="9" fillId="0" borderId="0" applyFont="false" applyFill="false" applyBorder="false" applyAlignment="false" applyProtection="false"/>
    <xf numFmtId="43" fontId="11" fillId="0" borderId="0" applyFont="false" applyFill="false" applyBorder="false" applyAlignment="false" applyProtection="false"/>
    <xf numFmtId="0" fontId="6" fillId="0" borderId="0"/>
    <xf numFmtId="0" fontId="17" fillId="0" borderId="0"/>
    <xf numFmtId="0" fontId="17" fillId="0" borderId="0"/>
  </cellStyleXfs>
  <cellXfs count="209">
    <xf numFmtId="0" fontId="0" fillId="0" borderId="0" xfId="0"/>
    <xf numFmtId="0" fontId="0" fillId="0" borderId="0" xfId="0" applyAlignment="true">
      <alignment horizontal="center"/>
    </xf>
    <xf numFmtId="0" fontId="1" fillId="0" borderId="0" xfId="0" applyFont="true" applyAlignment="true">
      <alignment horizontal="center"/>
    </xf>
    <xf numFmtId="0" fontId="3" fillId="0" borderId="0" xfId="0" applyFont="true" applyAlignment="true">
      <alignment horizontal="center"/>
    </xf>
    <xf numFmtId="0" fontId="4" fillId="0" borderId="0" xfId="0" applyFont="true" applyAlignment="true">
      <alignment horizontal="center"/>
    </xf>
    <xf numFmtId="0" fontId="8" fillId="0" borderId="0" xfId="1" applyAlignment="true">
      <alignment horizontal="center"/>
    </xf>
    <xf numFmtId="0" fontId="6" fillId="0" borderId="0" xfId="0" applyFont="true"/>
    <xf numFmtId="0" fontId="6" fillId="0" borderId="0" xfId="0" applyFont="true" applyAlignment="true">
      <alignment horizontal="left" vertical="top"/>
    </xf>
    <xf numFmtId="0" fontId="6" fillId="0" borderId="0" xfId="0" applyFont="true" applyAlignment="true">
      <alignment horizontal="right"/>
    </xf>
    <xf numFmtId="0" fontId="0" fillId="0" borderId="0" xfId="0" applyAlignment="true">
      <alignment horizontal="center" vertical="center"/>
    </xf>
    <xf numFmtId="0" fontId="5" fillId="0" borderId="0" xfId="0" applyFont="true" applyAlignment="true">
      <alignment horizontal="right" vertical="center"/>
    </xf>
    <xf numFmtId="0" fontId="6" fillId="0" borderId="0" xfId="0" applyFont="true" applyAlignment="true">
      <alignment horizontal="left"/>
    </xf>
    <xf numFmtId="0" fontId="0" fillId="2" borderId="0" xfId="0" applyFill="true"/>
    <xf numFmtId="164" fontId="6" fillId="4" borderId="3" xfId="0" applyNumberFormat="true" applyFont="true" applyFill="true" applyBorder="true" applyAlignment="true">
      <alignment horizontal="center" vertical="center"/>
    </xf>
    <xf numFmtId="0" fontId="10" fillId="0" borderId="0" xfId="0" applyFont="true" applyAlignment="true">
      <alignment horizontal="left" vertical="top" wrapText="true"/>
    </xf>
    <xf numFmtId="0" fontId="6" fillId="0" borderId="0" xfId="0" applyFont="true" applyAlignment="true">
      <alignment vertical="center"/>
    </xf>
    <xf numFmtId="0" fontId="0" fillId="0" borderId="0" xfId="0" applyAlignment="true">
      <alignment vertical="center"/>
    </xf>
    <xf numFmtId="0" fontId="0" fillId="4" borderId="20" xfId="0" applyFill="true" applyBorder="true" applyAlignment="true">
      <alignment horizontal="center" vertical="center"/>
    </xf>
    <xf numFmtId="0" fontId="0" fillId="4" borderId="21" xfId="0" applyFill="true" applyBorder="true" applyAlignment="true">
      <alignment horizontal="center" vertical="center"/>
    </xf>
    <xf numFmtId="0" fontId="6" fillId="4" borderId="20" xfId="0" applyFont="true" applyFill="true" applyBorder="true" applyAlignment="true">
      <alignment horizontal="center" vertical="center"/>
    </xf>
    <xf numFmtId="9" fontId="12" fillId="0" borderId="0" xfId="0" applyNumberFormat="true" applyFont="true" applyAlignment="true">
      <alignment horizontal="center" vertical="center"/>
    </xf>
    <xf numFmtId="0" fontId="2" fillId="0" borderId="0" xfId="0" applyFont="true" applyAlignment="true">
      <alignment horizontal="center" vertical="center"/>
    </xf>
    <xf numFmtId="0" fontId="6" fillId="2" borderId="0" xfId="0" applyFont="true" applyFill="true"/>
    <xf numFmtId="3" fontId="6" fillId="4" borderId="8" xfId="0" applyNumberFormat="true" applyFont="true" applyFill="true" applyBorder="true" applyAlignment="true">
      <alignment horizontal="center" vertical="center"/>
    </xf>
    <xf numFmtId="165" fontId="6" fillId="4" borderId="2" xfId="2" applyNumberFormat="true" applyFont="true" applyFill="true" applyBorder="true" applyAlignment="true">
      <alignment horizontal="center" vertical="center"/>
    </xf>
    <xf numFmtId="165" fontId="6" fillId="4" borderId="4" xfId="2" applyNumberFormat="true" applyFont="true" applyFill="true" applyBorder="true" applyAlignment="true">
      <alignment horizontal="center" vertical="center"/>
    </xf>
    <xf numFmtId="0" fontId="6" fillId="0" borderId="0" xfId="0" quotePrefix="true" applyFont="true"/>
    <xf numFmtId="0" fontId="10" fillId="0" borderId="0" xfId="0" applyFont="true" applyAlignment="true">
      <alignment horizontal="left" vertical="top"/>
    </xf>
    <xf numFmtId="3" fontId="6" fillId="5" borderId="1" xfId="0" applyNumberFormat="true" applyFont="true" applyFill="true" applyBorder="true" applyAlignment="true">
      <alignment horizontal="center" vertical="center"/>
    </xf>
    <xf numFmtId="3" fontId="6" fillId="5" borderId="5" xfId="0" applyNumberFormat="true" applyFont="true" applyFill="true" applyBorder="true" applyAlignment="true">
      <alignment horizontal="center" vertical="center"/>
    </xf>
    <xf numFmtId="3" fontId="6" fillId="5" borderId="7" xfId="0" applyNumberFormat="true" applyFont="true" applyFill="true" applyBorder="true" applyAlignment="true">
      <alignment horizontal="center" vertical="center"/>
    </xf>
    <xf numFmtId="3" fontId="6" fillId="5" borderId="24" xfId="0" applyNumberFormat="true" applyFont="true" applyFill="true" applyBorder="true" applyAlignment="true">
      <alignment horizontal="center" vertical="center"/>
    </xf>
    <xf numFmtId="3" fontId="6" fillId="5" borderId="23" xfId="0" applyNumberFormat="true" applyFont="true" applyFill="true" applyBorder="true" applyAlignment="true">
      <alignment horizontal="center" vertical="center"/>
    </xf>
    <xf numFmtId="0" fontId="10" fillId="0" borderId="0" xfId="0" applyFont="true" applyAlignment="true">
      <alignment vertical="top"/>
    </xf>
    <xf numFmtId="3" fontId="6" fillId="5" borderId="8" xfId="0" applyNumberFormat="true" applyFont="true" applyFill="true" applyBorder="true" applyAlignment="true">
      <alignment horizontal="center" vertical="center"/>
    </xf>
    <xf numFmtId="165" fontId="6" fillId="5" borderId="2" xfId="2" applyNumberFormat="true" applyFont="true" applyFill="true" applyBorder="true" applyAlignment="true">
      <alignment horizontal="center" vertical="center"/>
    </xf>
    <xf numFmtId="165" fontId="6" fillId="5" borderId="4" xfId="2" applyNumberFormat="true" applyFont="true" applyFill="true" applyBorder="true" applyAlignment="true">
      <alignment horizontal="center" vertical="center"/>
    </xf>
    <xf numFmtId="3" fontId="6" fillId="4" borderId="3" xfId="0" applyNumberFormat="true" applyFont="true" applyFill="true" applyBorder="true" applyAlignment="true">
      <alignment horizontal="center" vertical="center"/>
    </xf>
    <xf numFmtId="3" fontId="6" fillId="5" borderId="3" xfId="0" applyNumberFormat="true" applyFont="true" applyFill="true" applyBorder="true" applyAlignment="true">
      <alignment horizontal="center" vertical="center"/>
    </xf>
    <xf numFmtId="0" fontId="6" fillId="5" borderId="5" xfId="0" applyFont="true" applyFill="true" applyBorder="true" applyAlignment="true">
      <alignment horizontal="center" vertical="center"/>
    </xf>
    <xf numFmtId="0" fontId="6" fillId="5" borderId="5" xfId="0" applyFont="true" applyFill="true" applyBorder="true" applyAlignment="true">
      <alignment horizontal="center" vertical="center" wrapText="true"/>
    </xf>
    <xf numFmtId="0" fontId="10" fillId="0" borderId="0" xfId="0" applyFont="true" applyAlignment="true">
      <alignment vertical="top" wrapText="true"/>
    </xf>
    <xf numFmtId="0" fontId="6" fillId="0" borderId="0" xfId="0" applyFont="true" applyAlignment="true">
      <alignment horizontal="center"/>
    </xf>
    <xf numFmtId="165" fontId="6" fillId="5" borderId="16" xfId="2" applyNumberFormat="true" applyFont="true" applyFill="true" applyBorder="true" applyAlignment="true">
      <alignment horizontal="center" vertical="center"/>
    </xf>
    <xf numFmtId="165" fontId="6" fillId="5" borderId="17" xfId="2" applyNumberFormat="true" applyFont="true" applyFill="true" applyBorder="true" applyAlignment="true">
      <alignment horizontal="center" vertical="center"/>
    </xf>
    <xf numFmtId="165" fontId="6" fillId="4" borderId="18" xfId="2" applyNumberFormat="true" applyFont="true" applyFill="true" applyBorder="true" applyAlignment="true">
      <alignment horizontal="center" vertical="center"/>
    </xf>
    <xf numFmtId="165" fontId="6" fillId="4" borderId="25" xfId="2" applyNumberFormat="true" applyFont="true" applyFill="true" applyBorder="true" applyAlignment="true">
      <alignment horizontal="center" vertical="center"/>
    </xf>
    <xf numFmtId="0" fontId="6" fillId="5" borderId="10" xfId="0" applyFont="true" applyFill="true" applyBorder="true" applyAlignment="true">
      <alignment horizontal="center" vertical="center" wrapText="true"/>
    </xf>
    <xf numFmtId="0" fontId="6" fillId="5" borderId="20" xfId="0" applyFont="true" applyFill="true" applyBorder="true" applyAlignment="true">
      <alignment horizontal="center" vertical="center" wrapText="true"/>
    </xf>
    <xf numFmtId="0" fontId="5" fillId="5" borderId="21" xfId="0" applyFont="true" applyFill="true" applyBorder="true" applyAlignment="true">
      <alignment horizontal="center" vertical="center" wrapText="true"/>
    </xf>
    <xf numFmtId="164" fontId="6" fillId="5" borderId="5" xfId="0" applyNumberFormat="true" applyFont="true" applyFill="true" applyBorder="true" applyAlignment="true">
      <alignment horizontal="center" vertical="center" wrapText="true"/>
    </xf>
    <xf numFmtId="164" fontId="6" fillId="5" borderId="3" xfId="0" applyNumberFormat="true" applyFont="true" applyFill="true" applyBorder="true" applyAlignment="true">
      <alignment horizontal="center" vertical="center" wrapText="true"/>
    </xf>
    <xf numFmtId="3" fontId="6" fillId="4" borderId="1" xfId="0" applyNumberFormat="true" applyFont="true" applyFill="true" applyBorder="true" applyAlignment="true">
      <alignment horizontal="center" vertical="center"/>
    </xf>
    <xf numFmtId="165" fontId="6" fillId="4" borderId="1" xfId="2" applyNumberFormat="true" applyFont="true" applyFill="true" applyBorder="true" applyAlignment="true">
      <alignment horizontal="center" vertical="center"/>
    </xf>
    <xf numFmtId="0" fontId="6" fillId="4" borderId="1" xfId="0" applyFont="true" applyFill="true" applyBorder="true" applyAlignment="true">
      <alignment horizontal="center" vertical="center"/>
    </xf>
    <xf numFmtId="165" fontId="6" fillId="4" borderId="8" xfId="2" applyNumberFormat="true" applyFont="true" applyFill="true" applyBorder="true" applyAlignment="true">
      <alignment horizontal="center" vertical="center"/>
    </xf>
    <xf numFmtId="0" fontId="6" fillId="4" borderId="5" xfId="0" applyFont="true" applyFill="true" applyBorder="true" applyAlignment="true">
      <alignment horizontal="center" vertical="center"/>
    </xf>
    <xf numFmtId="166" fontId="5" fillId="4" borderId="4" xfId="0" applyNumberFormat="true" applyFont="true" applyFill="true" applyBorder="true" applyAlignment="true">
      <alignment horizontal="center" vertical="center"/>
    </xf>
    <xf numFmtId="164" fontId="6" fillId="4" borderId="15" xfId="0" applyNumberFormat="true" applyFont="true" applyFill="true" applyBorder="true" applyAlignment="true">
      <alignment horizontal="center" vertical="center" wrapText="true"/>
    </xf>
    <xf numFmtId="164" fontId="6" fillId="4" borderId="11" xfId="0" applyNumberFormat="true" applyFont="true" applyFill="true" applyBorder="true" applyAlignment="true">
      <alignment horizontal="center" vertical="center" wrapText="true"/>
    </xf>
    <xf numFmtId="164" fontId="6" fillId="4" borderId="5" xfId="0" applyNumberFormat="true" applyFont="true" applyFill="true" applyBorder="true" applyAlignment="true">
      <alignment horizontal="center" vertical="center"/>
    </xf>
    <xf numFmtId="0" fontId="5" fillId="5" borderId="34" xfId="0" applyFont="true" applyFill="true" applyBorder="true" applyAlignment="true">
      <alignment horizontal="center" vertical="center" wrapText="true"/>
    </xf>
    <xf numFmtId="0" fontId="5" fillId="5" borderId="32" xfId="0" applyFont="true" applyFill="true" applyBorder="true" applyAlignment="true">
      <alignment horizontal="center" vertical="center" wrapText="true"/>
    </xf>
    <xf numFmtId="165" fontId="13" fillId="6" borderId="4" xfId="2" applyNumberFormat="true" applyFont="true" applyFill="true" applyBorder="true" applyAlignment="true">
      <alignment horizontal="center" vertical="center" wrapText="true"/>
    </xf>
    <xf numFmtId="0" fontId="6" fillId="0" borderId="0" xfId="0" applyFont="true" applyAlignment="true">
      <alignment vertical="center" wrapText="true"/>
    </xf>
    <xf numFmtId="0" fontId="5" fillId="4" borderId="0" xfId="0" applyFont="true" applyFill="true" applyAlignment="true">
      <alignment horizontal="left" vertical="center"/>
    </xf>
    <xf numFmtId="3" fontId="5" fillId="4" borderId="10" xfId="0" applyNumberFormat="true" applyFont="true" applyFill="true" applyBorder="true" applyAlignment="true">
      <alignment horizontal="left" vertical="center"/>
    </xf>
    <xf numFmtId="3" fontId="6" fillId="4" borderId="16" xfId="0" applyNumberFormat="true" applyFont="true" applyFill="true" applyBorder="true" applyAlignment="true">
      <alignment horizontal="left" vertical="center"/>
    </xf>
    <xf numFmtId="3" fontId="6" fillId="4" borderId="30" xfId="0" applyNumberFormat="true" applyFont="true" applyFill="true" applyBorder="true" applyAlignment="true">
      <alignment horizontal="center" vertical="center"/>
    </xf>
    <xf numFmtId="3" fontId="6" fillId="4" borderId="30" xfId="0" applyNumberFormat="true" applyFont="true" applyFill="true" applyBorder="true" applyAlignment="true">
      <alignment horizontal="left" vertical="center"/>
    </xf>
    <xf numFmtId="3" fontId="5" fillId="4" borderId="20" xfId="0" applyNumberFormat="true" applyFont="true" applyFill="true" applyBorder="true" applyAlignment="true">
      <alignment horizontal="left" vertical="center"/>
    </xf>
    <xf numFmtId="3" fontId="6" fillId="4" borderId="17" xfId="0" applyNumberFormat="true" applyFont="true" applyFill="true" applyBorder="true" applyAlignment="true">
      <alignment horizontal="left" vertical="center"/>
    </xf>
    <xf numFmtId="3" fontId="6" fillId="4" borderId="31" xfId="0" applyNumberFormat="true" applyFont="true" applyFill="true" applyBorder="true" applyAlignment="true">
      <alignment horizontal="center" vertical="center"/>
    </xf>
    <xf numFmtId="3" fontId="6" fillId="4" borderId="31" xfId="0" applyNumberFormat="true" applyFont="true" applyFill="true" applyBorder="true" applyAlignment="true">
      <alignment horizontal="left" vertical="center"/>
    </xf>
    <xf numFmtId="3" fontId="6" fillId="4" borderId="31" xfId="0" quotePrefix="true" applyNumberFormat="true" applyFont="true" applyFill="true" applyBorder="true" applyAlignment="true">
      <alignment horizontal="left" vertical="center"/>
    </xf>
    <xf numFmtId="3" fontId="6" fillId="4" borderId="33" xfId="0" applyNumberFormat="true" applyFont="true" applyFill="true" applyBorder="true" applyAlignment="true">
      <alignment horizontal="left" vertical="center"/>
    </xf>
    <xf numFmtId="3" fontId="6" fillId="4" borderId="32" xfId="0" applyNumberFormat="true" applyFont="true" applyFill="true" applyBorder="true" applyAlignment="true">
      <alignment horizontal="center" vertical="center"/>
    </xf>
    <xf numFmtId="3" fontId="6" fillId="4" borderId="32" xfId="0" applyNumberFormat="true" applyFont="true" applyFill="true" applyBorder="true" applyAlignment="true">
      <alignment horizontal="left" vertical="center"/>
    </xf>
    <xf numFmtId="3" fontId="5" fillId="7" borderId="28" xfId="0" applyNumberFormat="true" applyFont="true" applyFill="true" applyBorder="true" applyAlignment="true">
      <alignment horizontal="center" vertical="center" wrapText="true"/>
    </xf>
    <xf numFmtId="0" fontId="5" fillId="4" borderId="29" xfId="0" applyFont="true" applyFill="true" applyBorder="true" applyAlignment="true">
      <alignment horizontal="center" vertical="center"/>
    </xf>
    <xf numFmtId="166" fontId="0" fillId="5" borderId="29" xfId="0" applyNumberFormat="true" applyFill="true" applyBorder="true" applyAlignment="true">
      <alignment horizontal="center" vertical="center"/>
    </xf>
    <xf numFmtId="3" fontId="6" fillId="5" borderId="29" xfId="0" applyNumberFormat="true" applyFont="true" applyFill="true" applyBorder="true" applyAlignment="true">
      <alignment horizontal="center" vertical="center"/>
    </xf>
    <xf numFmtId="164" fontId="6" fillId="5" borderId="29" xfId="0" applyNumberFormat="true" applyFont="true" applyFill="true" applyBorder="true" applyAlignment="true">
      <alignment horizontal="left" vertical="center"/>
    </xf>
    <xf numFmtId="0" fontId="6" fillId="4" borderId="17" xfId="0" applyFont="true" applyFill="true" applyBorder="true" applyAlignment="true">
      <alignment horizontal="left" vertical="center"/>
    </xf>
    <xf numFmtId="0" fontId="6" fillId="4" borderId="31" xfId="0" applyFont="true" applyFill="true" applyBorder="true" applyAlignment="true">
      <alignment horizontal="center" vertical="center"/>
    </xf>
    <xf numFmtId="166" fontId="0" fillId="5" borderId="31" xfId="0" applyNumberFormat="true" applyFill="true" applyBorder="true" applyAlignment="true">
      <alignment horizontal="center" vertical="center"/>
    </xf>
    <xf numFmtId="3" fontId="6" fillId="5" borderId="31" xfId="0" applyNumberFormat="true" applyFont="true" applyFill="true" applyBorder="true" applyAlignment="true">
      <alignment horizontal="center" vertical="center"/>
    </xf>
    <xf numFmtId="164" fontId="6" fillId="5" borderId="31" xfId="0" applyNumberFormat="true" applyFont="true" applyFill="true" applyBorder="true" applyAlignment="true">
      <alignment horizontal="left" vertical="center"/>
    </xf>
    <xf numFmtId="0" fontId="6" fillId="4" borderId="31" xfId="0" quotePrefix="true" applyFont="true" applyFill="true" applyBorder="true" applyAlignment="true">
      <alignment horizontal="center" vertical="center"/>
    </xf>
    <xf numFmtId="165" fontId="6" fillId="5" borderId="31" xfId="2" applyNumberFormat="true" applyFont="true" applyFill="true" applyBorder="true" applyAlignment="true">
      <alignment horizontal="center" vertical="center"/>
    </xf>
    <xf numFmtId="3" fontId="6" fillId="5" borderId="31" xfId="0" quotePrefix="true" applyNumberFormat="true" applyFont="true" applyFill="true" applyBorder="true" applyAlignment="true">
      <alignment horizontal="left" vertical="center"/>
    </xf>
    <xf numFmtId="1" fontId="0" fillId="4" borderId="31" xfId="0" applyNumberFormat="true" applyFill="true" applyBorder="true" applyAlignment="true">
      <alignment horizontal="center" vertical="center"/>
    </xf>
    <xf numFmtId="164" fontId="6" fillId="4" borderId="31" xfId="0" applyNumberFormat="true" applyFont="true" applyFill="true" applyBorder="true" applyAlignment="true">
      <alignment horizontal="left" vertical="center"/>
    </xf>
    <xf numFmtId="0" fontId="0" fillId="4" borderId="31" xfId="0" applyFill="true" applyBorder="true" applyAlignment="true">
      <alignment horizontal="center" vertical="center"/>
    </xf>
    <xf numFmtId="0" fontId="5" fillId="4" borderId="20" xfId="0" applyFont="true" applyFill="true" applyBorder="true" applyAlignment="true">
      <alignment horizontal="left" vertical="center"/>
    </xf>
    <xf numFmtId="0" fontId="5" fillId="4" borderId="27" xfId="0" applyFont="true" applyFill="true" applyBorder="true" applyAlignment="true">
      <alignment horizontal="left" vertical="center"/>
    </xf>
    <xf numFmtId="165" fontId="6" fillId="5" borderId="32" xfId="2" applyNumberFormat="true" applyFont="true" applyFill="true" applyBorder="true" applyAlignment="true">
      <alignment horizontal="center" vertical="center"/>
    </xf>
    <xf numFmtId="1" fontId="0" fillId="4" borderId="32" xfId="0" applyNumberFormat="true" applyFill="true" applyBorder="true" applyAlignment="true">
      <alignment horizontal="center" vertical="center"/>
    </xf>
    <xf numFmtId="164" fontId="6" fillId="4" borderId="32" xfId="0" applyNumberFormat="true" applyFont="true" applyFill="true" applyBorder="true" applyAlignment="true">
      <alignment horizontal="left" vertical="center"/>
    </xf>
    <xf numFmtId="0" fontId="14" fillId="0" borderId="0" xfId="0" applyFont="true"/>
    <xf numFmtId="3" fontId="8" fillId="4" borderId="30" xfId="1" applyNumberFormat="true" applyFill="true" applyBorder="true" applyAlignment="true">
      <alignment horizontal="center" vertical="center"/>
    </xf>
    <xf numFmtId="3" fontId="8" fillId="4" borderId="31" xfId="1" applyNumberFormat="true" applyFill="true" applyBorder="true" applyAlignment="true">
      <alignment horizontal="center" vertical="center"/>
    </xf>
    <xf numFmtId="3" fontId="8" fillId="4" borderId="32" xfId="1" applyNumberFormat="true" applyFill="true" applyBorder="true" applyAlignment="true">
      <alignment horizontal="center" vertical="center"/>
    </xf>
    <xf numFmtId="0" fontId="8" fillId="4" borderId="31" xfId="1" applyFill="true" applyBorder="true" applyAlignment="true">
      <alignment horizontal="center" vertical="center"/>
    </xf>
    <xf numFmtId="0" fontId="8" fillId="4" borderId="32" xfId="1" applyFill="true" applyBorder="true" applyAlignment="true">
      <alignment horizontal="center" vertical="center"/>
    </xf>
    <xf numFmtId="0" fontId="0" fillId="0" borderId="0" xfId="0" applyAlignment="true">
      <alignment horizontal="left"/>
    </xf>
    <xf numFmtId="0" fontId="0" fillId="0" borderId="0" xfId="0" applyAlignment="true">
      <alignment horizontal="right"/>
    </xf>
    <xf numFmtId="0" fontId="5" fillId="3" borderId="29" xfId="0" applyFont="true" applyFill="true" applyBorder="true" applyAlignment="true">
      <alignment horizontal="center" vertical="center" wrapText="true"/>
    </xf>
    <xf numFmtId="3" fontId="5" fillId="7" borderId="28" xfId="0" applyNumberFormat="true" applyFont="true" applyFill="true" applyBorder="true" applyAlignment="true">
      <alignment horizontal="center" vertical="center"/>
    </xf>
    <xf numFmtId="0" fontId="15" fillId="0" borderId="0" xfId="0" applyFont="true"/>
    <xf numFmtId="167" fontId="0" fillId="0" borderId="0" xfId="0" applyNumberFormat="true" applyAlignment="true">
      <alignment horizontal="center"/>
    </xf>
    <xf numFmtId="166" fontId="0" fillId="5" borderId="34" xfId="0" applyNumberFormat="true" applyFill="true" applyBorder="true" applyAlignment="true">
      <alignment horizontal="right" vertical="center"/>
    </xf>
    <xf numFmtId="166" fontId="0" fillId="5" borderId="35" xfId="0" applyNumberFormat="true" applyFill="true" applyBorder="true" applyAlignment="true">
      <alignment horizontal="right" vertical="center"/>
    </xf>
    <xf numFmtId="166" fontId="0" fillId="5" borderId="27" xfId="0" applyNumberFormat="true" applyFill="true" applyBorder="true" applyAlignment="true">
      <alignment horizontal="right" vertical="center"/>
    </xf>
    <xf numFmtId="166" fontId="0" fillId="5" borderId="36" xfId="0" applyNumberFormat="true" applyFill="true" applyBorder="true" applyAlignment="true">
      <alignment horizontal="right" vertical="center"/>
    </xf>
    <xf numFmtId="3" fontId="6" fillId="4" borderId="34" xfId="0" applyNumberFormat="true" applyFont="true" applyFill="true" applyBorder="true" applyAlignment="true">
      <alignment horizontal="left" vertical="center"/>
    </xf>
    <xf numFmtId="3" fontId="6" fillId="4" borderId="27" xfId="0" applyNumberFormat="true" applyFont="true" applyFill="true" applyBorder="true" applyAlignment="true">
      <alignment horizontal="left" vertical="center"/>
    </xf>
    <xf numFmtId="3" fontId="6" fillId="4" borderId="35" xfId="0" applyNumberFormat="true" applyFont="true" applyFill="true" applyBorder="true" applyAlignment="true">
      <alignment horizontal="left" vertical="center"/>
    </xf>
    <xf numFmtId="3" fontId="6" fillId="4" borderId="36" xfId="0" applyNumberFormat="true" applyFont="true" applyFill="true" applyBorder="true" applyAlignment="true">
      <alignment horizontal="left" vertical="center"/>
    </xf>
    <xf numFmtId="0" fontId="0" fillId="4" borderId="5" xfId="0" applyFill="true" applyBorder="true" applyAlignment="true">
      <alignment horizontal="center" vertical="center"/>
    </xf>
    <xf numFmtId="0" fontId="0" fillId="4" borderId="7" xfId="0" applyFill="true" applyBorder="true" applyAlignment="true">
      <alignment horizontal="center" vertical="center"/>
    </xf>
    <xf numFmtId="164" fontId="8" fillId="4" borderId="20" xfId="1" applyNumberFormat="true" applyFill="true" applyBorder="true" applyAlignment="true">
      <alignment horizontal="center" vertical="center"/>
    </xf>
    <xf numFmtId="164" fontId="8" fillId="4" borderId="21" xfId="1" applyNumberFormat="true" applyFill="true" applyBorder="true" applyAlignment="true">
      <alignment horizontal="center" vertical="center"/>
    </xf>
    <xf numFmtId="165" fontId="0" fillId="4" borderId="1" xfId="2" applyNumberFormat="true" applyFont="true" applyFill="true" applyBorder="true" applyAlignment="true">
      <alignment horizontal="center" vertical="center"/>
    </xf>
    <xf numFmtId="165" fontId="0" fillId="4" borderId="9" xfId="2" applyNumberFormat="true" applyFont="true" applyFill="true" applyBorder="true" applyAlignment="true">
      <alignment horizontal="center" vertical="center"/>
    </xf>
    <xf numFmtId="164" fontId="8" fillId="5" borderId="17" xfId="1" applyNumberFormat="true" applyFill="true" applyBorder="true" applyAlignment="true">
      <alignment horizontal="center" vertical="center"/>
    </xf>
    <xf numFmtId="164" fontId="8" fillId="5" borderId="12" xfId="1" applyNumberFormat="true" applyFill="true" applyBorder="true" applyAlignment="true">
      <alignment horizontal="center" vertical="center"/>
    </xf>
    <xf numFmtId="0" fontId="15" fillId="0" borderId="0" xfId="0" applyFont="true" applyAlignment="true">
      <alignment horizontal="left"/>
    </xf>
    <xf numFmtId="0" fontId="16" fillId="0" borderId="0" xfId="0" applyFont="true" applyAlignment="true">
      <alignment horizontal="left"/>
    </xf>
    <xf numFmtId="3" fontId="6" fillId="5" borderId="9" xfId="0" applyNumberFormat="true" applyFont="true" applyFill="true" applyBorder="true" applyAlignment="true">
      <alignment horizontal="center" vertical="center"/>
    </xf>
    <xf numFmtId="164" fontId="6" fillId="5" borderId="7" xfId="0" applyNumberFormat="true" applyFont="true" applyFill="true" applyBorder="true" applyAlignment="true">
      <alignment horizontal="center" vertical="center" wrapText="true"/>
    </xf>
    <xf numFmtId="165" fontId="5" fillId="5" borderId="6" xfId="2" applyNumberFormat="true" applyFont="true" applyFill="true" applyBorder="true" applyAlignment="true">
      <alignment horizontal="center" vertical="center"/>
    </xf>
    <xf numFmtId="165" fontId="6" fillId="5" borderId="33" xfId="2" applyNumberFormat="true" applyFont="true" applyFill="true" applyBorder="true" applyAlignment="true">
      <alignment horizontal="center" vertical="center"/>
    </xf>
    <xf numFmtId="0" fontId="6" fillId="5" borderId="7" xfId="0" applyFont="true" applyFill="true" applyBorder="true" applyAlignment="true">
      <alignment horizontal="center" vertical="center"/>
    </xf>
    <xf numFmtId="165" fontId="6" fillId="5" borderId="6" xfId="2" applyNumberFormat="true" applyFont="true" applyFill="true" applyBorder="true" applyAlignment="true">
      <alignment horizontal="center" vertical="center"/>
    </xf>
    <xf numFmtId="0" fontId="6" fillId="0" borderId="0" xfId="4"/>
    <xf numFmtId="0" fontId="6" fillId="0" borderId="0" xfId="4" applyAlignment="true">
      <alignment vertical="top"/>
    </xf>
    <xf numFmtId="3" fontId="6" fillId="0" borderId="0" xfId="4" applyNumberFormat="true"/>
    <xf numFmtId="0" fontId="6" fillId="0" borderId="0" xfId="4" applyAlignment="true">
      <alignment horizontal="left"/>
    </xf>
    <xf numFmtId="0" fontId="6" fillId="0" borderId="0" xfId="4" applyAlignment="true">
      <alignment wrapText="true"/>
    </xf>
    <xf numFmtId="0" fontId="6" fillId="0" borderId="0" xfId="0" applyFont="true" applyAlignment="true">
      <alignment horizontal="left" vertical="center" wrapText="true"/>
    </xf>
    <xf numFmtId="0" fontId="18" fillId="8" borderId="0" xfId="5" applyFont="true" applyFill="true"/>
    <xf numFmtId="0" fontId="17" fillId="8" borderId="0" xfId="5" applyFill="true"/>
    <xf numFmtId="0" fontId="17" fillId="0" borderId="0" xfId="5"/>
    <xf numFmtId="167" fontId="0" fillId="0" borderId="0" xfId="0" applyNumberFormat="true" applyAlignment="true">
      <alignment horizontal="left"/>
    </xf>
    <xf numFmtId="0" fontId="0" fillId="0" borderId="35" xfId="0" applyBorder="true"/>
    <xf numFmtId="0" fontId="6" fillId="5" borderId="37" xfId="0" applyFont="true" applyFill="true" applyBorder="true" applyAlignment="true">
      <alignment horizontal="center" vertical="center" wrapText="true"/>
    </xf>
    <xf numFmtId="0" fontId="6" fillId="5" borderId="27" xfId="0" applyFont="true" applyFill="true" applyBorder="true" applyAlignment="true">
      <alignment horizontal="center" vertical="center" wrapText="true"/>
    </xf>
    <xf numFmtId="0" fontId="6" fillId="5" borderId="31" xfId="0" applyFont="true" applyFill="true" applyBorder="true" applyAlignment="true">
      <alignment horizontal="center" vertical="center" wrapText="true"/>
    </xf>
    <xf numFmtId="0" fontId="5" fillId="0" borderId="0" xfId="0" applyFont="true" applyAlignment="true">
      <alignment horizontal="center"/>
    </xf>
    <xf numFmtId="169" fontId="0" fillId="0" borderId="0" xfId="2" applyNumberFormat="true" applyFont="true"/>
    <xf numFmtId="168" fontId="0" fillId="0" borderId="0" xfId="3" applyNumberFormat="true" applyFont="true"/>
    <xf numFmtId="171" fontId="6" fillId="4" borderId="30" xfId="0" applyNumberFormat="true" applyFont="true" applyFill="true" applyBorder="true" applyAlignment="true">
      <alignment horizontal="center" vertical="center"/>
    </xf>
    <xf numFmtId="169" fontId="6" fillId="4" borderId="31" xfId="2" applyNumberFormat="true" applyFont="true" applyFill="true" applyBorder="true" applyAlignment="true">
      <alignment horizontal="center" vertical="center"/>
    </xf>
    <xf numFmtId="170" fontId="6" fillId="4" borderId="31" xfId="0" applyNumberFormat="true" applyFont="true" applyFill="true" applyBorder="true" applyAlignment="true">
      <alignment horizontal="center" vertical="center"/>
    </xf>
    <xf numFmtId="171" fontId="6" fillId="4" borderId="31" xfId="0" applyNumberFormat="true" applyFont="true" applyFill="true" applyBorder="true" applyAlignment="true">
      <alignment horizontal="center" vertical="center"/>
    </xf>
    <xf numFmtId="171" fontId="6" fillId="4" borderId="32" xfId="0" applyNumberFormat="true" applyFont="true" applyFill="true" applyBorder="true" applyAlignment="true">
      <alignment horizontal="center" vertical="center"/>
    </xf>
    <xf numFmtId="171" fontId="0" fillId="5" borderId="1" xfId="0" applyNumberFormat="true" applyFill="true" applyBorder="true" applyAlignment="true">
      <alignment horizontal="center" vertical="center"/>
    </xf>
    <xf numFmtId="171" fontId="5" fillId="5" borderId="24" xfId="0" applyNumberFormat="true" applyFont="true" applyFill="true" applyBorder="true" applyAlignment="true">
      <alignment horizontal="center" vertical="center"/>
    </xf>
    <xf numFmtId="169" fontId="0" fillId="5" borderId="4" xfId="2" applyNumberFormat="true" applyFont="true" applyFill="true" applyBorder="true" applyAlignment="true">
      <alignment horizontal="center" vertical="center"/>
    </xf>
    <xf numFmtId="169" fontId="0" fillId="5" borderId="22" xfId="2" applyNumberFormat="true" applyFont="true" applyFill="true" applyBorder="true" applyAlignment="true">
      <alignment horizontal="center" vertical="center"/>
    </xf>
    <xf numFmtId="171" fontId="0" fillId="5" borderId="31" xfId="0" applyNumberFormat="true" applyFill="true" applyBorder="true" applyAlignment="true">
      <alignment horizontal="center" vertical="center"/>
    </xf>
    <xf numFmtId="169" fontId="0" fillId="5" borderId="31" xfId="2" applyNumberFormat="true" applyFont="true" applyFill="true" applyBorder="true" applyAlignment="true">
      <alignment horizontal="center" vertical="center"/>
    </xf>
    <xf numFmtId="169" fontId="0" fillId="4" borderId="31" xfId="2" applyNumberFormat="true" applyFont="true" applyFill="true" applyBorder="true" applyAlignment="true">
      <alignment horizontal="center" vertical="center"/>
    </xf>
    <xf numFmtId="169" fontId="0" fillId="5" borderId="31" xfId="0" applyNumberFormat="true" applyFill="true" applyBorder="true" applyAlignment="true">
      <alignment horizontal="center" vertical="center"/>
    </xf>
    <xf numFmtId="169" fontId="0" fillId="4" borderId="32" xfId="2" applyNumberFormat="true" applyFont="true" applyFill="true" applyBorder="true" applyAlignment="true">
      <alignment horizontal="center" vertical="center"/>
    </xf>
    <xf numFmtId="171" fontId="6" fillId="5" borderId="2" xfId="0" applyNumberFormat="true" applyFont="true" applyFill="true" applyBorder="true" applyAlignment="true">
      <alignment horizontal="center" vertical="center"/>
    </xf>
    <xf numFmtId="171" fontId="6" fillId="5" borderId="4" xfId="0" applyNumberFormat="true" applyFont="true" applyFill="true" applyBorder="true" applyAlignment="true">
      <alignment horizontal="center" vertical="center"/>
    </xf>
    <xf numFmtId="171" fontId="5" fillId="5" borderId="6" xfId="0" applyNumberFormat="true" applyFont="true" applyFill="true" applyBorder="true" applyAlignment="true">
      <alignment horizontal="center" vertical="center"/>
    </xf>
    <xf numFmtId="171" fontId="0" fillId="0" borderId="0" xfId="0" applyNumberFormat="true"/>
    <xf numFmtId="171" fontId="6" fillId="4" borderId="4" xfId="0" applyNumberFormat="true" applyFont="true" applyFill="true" applyBorder="true" applyAlignment="true">
      <alignment horizontal="center" vertical="center"/>
    </xf>
    <xf numFmtId="171" fontId="6" fillId="4" borderId="25" xfId="0" applyNumberFormat="true" applyFont="true" applyFill="true" applyBorder="true" applyAlignment="true">
      <alignment horizontal="center" vertical="center"/>
    </xf>
    <xf numFmtId="171" fontId="6" fillId="4" borderId="2" xfId="0" applyNumberFormat="true" applyFont="true" applyFill="true" applyBorder="true" applyAlignment="true">
      <alignment horizontal="center" vertical="center"/>
    </xf>
    <xf numFmtId="168" fontId="0" fillId="0" borderId="0" xfId="0" applyNumberFormat="true"/>
    <xf numFmtId="0" fontId="17" fillId="0" borderId="0" xfId="6"/>
    <xf numFmtId="0" fontId="20" fillId="0" borderId="0" xfId="0" applyFont="true" applyAlignment="true">
      <alignment horizontal="center"/>
    </xf>
    <xf numFmtId="0" fontId="6" fillId="0" borderId="0" xfId="4" applyAlignment="true">
      <alignment vertical="center"/>
    </xf>
    <xf numFmtId="0" fontId="6" fillId="4" borderId="17" xfId="0" applyFont="true" applyFill="true" applyBorder="true" applyAlignment="true">
      <alignment horizontal="left" vertical="center" wrapText="true"/>
    </xf>
    <xf numFmtId="0" fontId="6" fillId="4" borderId="33" xfId="0" applyFont="true" applyFill="true" applyBorder="true" applyAlignment="true">
      <alignment horizontal="left" vertical="center" wrapText="true"/>
    </xf>
    <xf numFmtId="172" fontId="0" fillId="0" borderId="0" xfId="0" applyNumberFormat="true" applyAlignment="true">
      <alignment horizontal="center"/>
    </xf>
    <xf numFmtId="0" fontId="17" fillId="8" borderId="0" xfId="0" applyFont="true" applyFill="true"/>
    <xf numFmtId="0" fontId="0" fillId="8" borderId="0" xfId="0" applyFill="true"/>
    <xf numFmtId="173" fontId="0" fillId="0" borderId="0" xfId="2" applyNumberFormat="true" applyFont="true"/>
    <xf numFmtId="169" fontId="0" fillId="0" borderId="0" xfId="2" applyNumberFormat="true" applyFont="true" applyProtection="true">
      <protection locked="false"/>
    </xf>
    <xf numFmtId="168" fontId="0" fillId="0" borderId="0" xfId="3" applyNumberFormat="true" applyFont="true" applyProtection="true">
      <protection locked="false"/>
    </xf>
    <xf numFmtId="169" fontId="0" fillId="0" borderId="0" xfId="0" applyNumberFormat="true" applyProtection="true">
      <protection locked="false"/>
    </xf>
    <xf numFmtId="167" fontId="0" fillId="0" borderId="0" xfId="0" applyNumberFormat="true" applyAlignment="true" applyProtection="true">
      <alignment horizontal="center"/>
      <protection locked="false"/>
    </xf>
    <xf numFmtId="0" fontId="0" fillId="0" borderId="0" xfId="0" applyAlignment="true" applyProtection="true">
      <alignment horizontal="center"/>
      <protection locked="false"/>
    </xf>
    <xf numFmtId="167" fontId="0" fillId="0" borderId="0" xfId="0" applyNumberFormat="true" applyAlignment="true" applyProtection="true">
      <alignment horizontal="left"/>
      <protection locked="false"/>
    </xf>
    <xf numFmtId="169" fontId="0" fillId="0" borderId="0" xfId="2" applyNumberFormat="true" applyFont="true" applyFill="true" applyProtection="true">
      <protection locked="false"/>
    </xf>
    <xf numFmtId="169" fontId="0" fillId="0" borderId="0" xfId="2" applyNumberFormat="true" applyFont="true" applyAlignment="true" applyProtection="true">
      <alignment horizontal="center"/>
      <protection locked="false"/>
    </xf>
    <xf numFmtId="3" fontId="5" fillId="7" borderId="12" xfId="0" applyNumberFormat="true" applyFont="true" applyFill="true" applyBorder="true" applyAlignment="true">
      <alignment horizontal="center" vertical="center"/>
    </xf>
    <xf numFmtId="3" fontId="5" fillId="7" borderId="13" xfId="0" applyNumberFormat="true" applyFont="true" applyFill="true" applyBorder="true" applyAlignment="true">
      <alignment horizontal="center" vertical="center"/>
    </xf>
    <xf numFmtId="0" fontId="6" fillId="0" borderId="0" xfId="0" applyFont="true" applyAlignment="true">
      <alignment horizontal="left" vertical="top" wrapText="true"/>
    </xf>
    <xf numFmtId="0" fontId="5" fillId="0" borderId="0" xfId="0" applyFont="true" applyAlignment="true">
      <alignment horizontal="left" vertical="top" wrapText="true"/>
    </xf>
    <xf numFmtId="0" fontId="5" fillId="3" borderId="10" xfId="0" applyFont="true" applyFill="true" applyBorder="true" applyAlignment="true">
      <alignment horizontal="center" vertical="center" wrapText="true"/>
    </xf>
    <xf numFmtId="0" fontId="5" fillId="3" borderId="16" xfId="0" applyFont="true" applyFill="true" applyBorder="true" applyAlignment="true">
      <alignment horizontal="center" vertical="center" wrapText="true"/>
    </xf>
    <xf numFmtId="0" fontId="5" fillId="3" borderId="19" xfId="0" applyFont="true" applyFill="true" applyBorder="true" applyAlignment="true">
      <alignment horizontal="center" vertical="center" wrapText="true"/>
    </xf>
    <xf numFmtId="0" fontId="5" fillId="3" borderId="12" xfId="0" applyFont="true" applyFill="true" applyBorder="true" applyAlignment="true">
      <alignment horizontal="center" vertical="center" wrapText="true"/>
    </xf>
    <xf numFmtId="0" fontId="5" fillId="3" borderId="13" xfId="0" applyFont="true" applyFill="true" applyBorder="true" applyAlignment="true">
      <alignment horizontal="center" vertical="center" wrapText="true"/>
    </xf>
    <xf numFmtId="0" fontId="5" fillId="3" borderId="26" xfId="0" applyFont="true" applyFill="true" applyBorder="true" applyAlignment="true">
      <alignment horizontal="center" vertical="center" wrapText="true"/>
    </xf>
    <xf numFmtId="0" fontId="5" fillId="2" borderId="0" xfId="0" applyFont="true" applyFill="true" applyAlignment="true">
      <alignment horizontal="left" vertical="top" wrapText="true"/>
    </xf>
    <xf numFmtId="0" fontId="6" fillId="0" borderId="14" xfId="0" applyFont="true" applyBorder="true" applyAlignment="true">
      <alignment horizontal="left" vertical="top" wrapText="true"/>
    </xf>
    <xf numFmtId="0" fontId="5" fillId="3" borderId="37" xfId="0" applyFont="true" applyFill="true" applyBorder="true" applyAlignment="true">
      <alignment horizontal="center" vertical="center" wrapText="true"/>
    </xf>
    <xf numFmtId="0" fontId="5" fillId="3" borderId="38" xfId="0" applyFont="true" applyFill="true" applyBorder="true" applyAlignment="true">
      <alignment horizontal="center" vertical="center" wrapText="true"/>
    </xf>
    <xf numFmtId="0" fontId="5" fillId="3" borderId="39" xfId="0" applyFont="true" applyFill="true" applyBorder="true" applyAlignment="true">
      <alignment horizontal="center" vertical="center" wrapText="true"/>
    </xf>
    <xf numFmtId="9" fontId="5" fillId="4" borderId="6" xfId="2" applyFont="true" applyFill="true" applyBorder="true" applyAlignment="true">
      <alignment horizontal="center" vertical="center" wrapText="true"/>
    </xf>
    <xf numFmtId="9" fontId="5" fillId="4" borderId="9" xfId="2" applyFont="true" applyFill="true" applyBorder="true" applyAlignment="true">
      <alignment horizontal="center" vertical="center" wrapText="true"/>
    </xf>
    <xf numFmtId="9" fontId="5" fillId="4" borderId="7" xfId="2" applyFont="true" applyFill="true" applyBorder="true" applyAlignment="true">
      <alignment horizontal="center" vertical="center" wrapText="true"/>
    </xf>
  </cellXfs>
  <cellStyles count="7">
    <cellStyle name="Comma" xfId="3" builtinId="3"/>
    <cellStyle name="Hyperlink" xfId="1" builtinId="8"/>
    <cellStyle name="Normal" xfId="0" builtinId="0"/>
    <cellStyle name="Normal 2" xfId="4"/>
    <cellStyle name="Normal 7 2" xfId="6"/>
    <cellStyle name="Normal 8" xfId="5"/>
    <cellStyle name="Per cent" xfId="2" builtinId="5"/>
  </cellStyles>
  <dxfs count="5">
    <dxf>
      <fill>
        <patternFill patternType="lightHorizontal"/>
      </fill>
    </dxf>
    <dxf>
      <fill>
        <patternFill patternType="lightHorizontal"/>
      </fill>
    </dxf>
    <dxf>
      <fill>
        <patternFill patternType="lightHorizontal"/>
      </fill>
    </dxf>
    <dxf>
      <fill>
        <patternFill patternType="lightDown"/>
      </fill>
    </dxf>
    <dxf>
      <font>
        <b/>
        <i val="false"/>
      </font>
    </dxf>
  </dxfs>
  <tableStyles count="0" defaultTableStyle="TableStyleMedium2" defaultPivotStyle="PivotStyleLight16"/>
  <colors>
    <mruColors>
      <color rgb="FFEBF2DF"/>
      <color rgb="FF5196B6"/>
      <color rgb="FF7AA08E"/>
      <color rgb="FF589491"/>
      <color rgb="FF789E8B"/>
      <color rgb="FF7AA291"/>
      <color rgb="FF78AD9A"/>
      <color rgb="FF768C78"/>
      <color rgb="FF5399BC"/>
      <color rgb="FF7CB5A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Relationships xmlns="http://schemas.openxmlformats.org/package/2006/relationships"><Relationship Target="worksheets/sheet8.xml" Type="http://schemas.openxmlformats.org/officeDocument/2006/relationships/worksheet" Id="rId8"/><Relationship Target="worksheets/sheet13.xml" Type="http://schemas.openxmlformats.org/officeDocument/2006/relationships/worksheet" Id="rId13"/><Relationship Target="worksheets/sheet3.xml" Type="http://schemas.openxmlformats.org/officeDocument/2006/relationships/worksheet" Id="rId3"/><Relationship Target="worksheets/sheet7.xml" Type="http://schemas.openxmlformats.org/officeDocument/2006/relationships/worksheet" Id="rId7"/><Relationship Target="worksheets/sheet12.xml" Type="http://schemas.openxmlformats.org/officeDocument/2006/relationships/worksheet" Id="rId12"/><Relationship Target="metadata.xml" Type="http://schemas.openxmlformats.org/officeDocument/2006/relationships/sheetMetadata" Id="rId17"/><Relationship Target="worksheets/sheet2.xml" Type="http://schemas.openxmlformats.org/officeDocument/2006/relationships/worksheet" Id="rId2"/><Relationship Target="sharedStrings.xml" Type="http://schemas.openxmlformats.org/officeDocument/2006/relationships/sharedStrings" Id="rId16"/><Relationship Target="worksheets/sheet1.xml" Type="http://schemas.openxmlformats.org/officeDocument/2006/relationships/worksheet" Id="rId1"/><Relationship Target="worksheets/sheet6.xml" Type="http://schemas.openxmlformats.org/officeDocument/2006/relationships/worksheet" Id="rId6"/><Relationship Target="worksheets/sheet11.xml" Type="http://schemas.openxmlformats.org/officeDocument/2006/relationships/worksheet" Id="rId11"/><Relationship Target="worksheets/sheet5.xml" Type="http://schemas.openxmlformats.org/officeDocument/2006/relationships/worksheet" Id="rId5"/><Relationship Target="styles.xml" Type="http://schemas.openxmlformats.org/officeDocument/2006/relationships/styles" Id="rId15"/><Relationship Target="worksheets/sheet10.xml" Type="http://schemas.openxmlformats.org/officeDocument/2006/relationships/worksheet" Id="rId10"/><Relationship Target="worksheets/sheet4.xml" Type="http://schemas.openxmlformats.org/officeDocument/2006/relationships/worksheet" Id="rId4"/><Relationship Target="worksheets/sheet9.xml" Type="http://schemas.openxmlformats.org/officeDocument/2006/relationships/worksheet" Id="rId9"/><Relationship Target="theme/theme1.xml" Type="http://schemas.openxmlformats.org/officeDocument/2006/relationships/theme" Id="rId14"/></Relationships>
</file>

<file path=xl/drawings/_rels/drawing1.xml.rels><?xml version="1.0" encoding="UTF-8"?><Relationships xmlns="http://schemas.openxmlformats.org/package/2006/relationships"><Relationship Target="../media/image3.png" Type="http://schemas.openxmlformats.org/officeDocument/2006/relationships/image" Id="rId3"/><Relationship Target="../media/image2.png" Type="http://schemas.openxmlformats.org/officeDocument/2006/relationships/image" Id="rId2"/><Relationship Target="../media/image1.png" Type="http://schemas.openxmlformats.org/officeDocument/2006/relationships/image" Id="rId1"/></Relationships>
</file>

<file path=xl/drawings/_rels/drawing2.xml.rels><?xml version="1.0" encoding="UTF-8"?><Relationships xmlns="http://schemas.openxmlformats.org/package/2006/relationships"><Relationship Target="../media/image6.emf" Type="http://schemas.openxmlformats.org/officeDocument/2006/relationships/image" Id="rId3"/><Relationship Target="../media/image5.emf" Type="http://schemas.openxmlformats.org/officeDocument/2006/relationships/image" Id="rId2"/><Relationship Target="../media/image4.emf" Type="http://schemas.openxmlformats.org/officeDocument/2006/relationships/image" Id="rId1"/></Relationships>
</file>

<file path=xl/drawings/_rels/drawing3.xml.rels><?xml version="1.0" encoding="UTF-8"?><Relationships xmlns="http://schemas.openxmlformats.org/package/2006/relationships"><Relationship Target="../media/image17.png" Type="http://schemas.openxmlformats.org/officeDocument/2006/relationships/image" Id="rId8"/><Relationship Target="../media/image22.png" Type="http://schemas.openxmlformats.org/officeDocument/2006/relationships/image" Id="rId13"/><Relationship Target="../media/image12.png" Type="http://schemas.openxmlformats.org/officeDocument/2006/relationships/image" Id="rId3"/><Relationship Target="../media/image16.png" Type="http://schemas.openxmlformats.org/officeDocument/2006/relationships/image" Id="rId7"/><Relationship Target="../media/image21.png" Type="http://schemas.openxmlformats.org/officeDocument/2006/relationships/image" Id="rId12"/><Relationship Target="../media/image11.png" Type="http://schemas.openxmlformats.org/officeDocument/2006/relationships/image" Id="rId2"/><Relationship Target="../media/image10.png" Type="http://schemas.openxmlformats.org/officeDocument/2006/relationships/image" Id="rId1"/><Relationship Target="../media/image15.png" Type="http://schemas.openxmlformats.org/officeDocument/2006/relationships/image" Id="rId6"/><Relationship Target="../media/image20.png" Type="http://schemas.openxmlformats.org/officeDocument/2006/relationships/image" Id="rId11"/><Relationship Target="../media/image14.png" Type="http://schemas.openxmlformats.org/officeDocument/2006/relationships/image" Id="rId5"/><Relationship Target="../media/image24.png" Type="http://schemas.openxmlformats.org/officeDocument/2006/relationships/image" Id="rId15"/><Relationship Target="../media/image19.png" Type="http://schemas.openxmlformats.org/officeDocument/2006/relationships/image" Id="rId10"/><Relationship Target="../media/image13.png" Type="http://schemas.openxmlformats.org/officeDocument/2006/relationships/image" Id="rId4"/><Relationship Target="../media/image18.png" Type="http://schemas.openxmlformats.org/officeDocument/2006/relationships/image" Id="rId9"/><Relationship Target="../media/image23.png" Type="http://schemas.openxmlformats.org/officeDocument/2006/relationships/image" Id="rId14"/></Relationships>
</file>

<file path=xl/drawings/_rels/vmlDrawing1.vml.rels><?xml version="1.0" encoding="UTF-8"?><Relationships xmlns="http://schemas.openxmlformats.org/package/2006/relationships"><Relationship Target="../media/image9.emf" Type="http://schemas.openxmlformats.org/officeDocument/2006/relationships/image" Id="rId3"/><Relationship Target="../media/image8.emf" Type="http://schemas.openxmlformats.org/officeDocument/2006/relationships/image" Id="rId2"/><Relationship Target="../media/image7.emf" Type="http://schemas.openxmlformats.org/officeDocument/2006/relationships/image" Id="rId1"/></Relationships>
</file>

<file path=xl/drawings/drawing1.xml><?xml version="1.0" encoding="utf-8"?>
<xdr:wsDr xmlns:a="http://schemas.openxmlformats.org/drawingml/2006/main" xmlns:xdr="http://schemas.openxmlformats.org/drawingml/2006/spreadsheetDrawing" xmlns:r="http://schemas.openxmlformats.org/officeDocument/2006/relationships">
  <xdr:oneCellAnchor>
    <xdr:from>
      <xdr:col>1</xdr:col>
      <xdr:colOff>259556</xdr:colOff>
      <xdr:row>2</xdr:row>
      <xdr:rowOff>390525</xdr:rowOff>
    </xdr:from>
    <xdr:ext cx="1085850" cy="1085850"/>
    <xdr:pic>
      <xdr:nvPicPr>
        <xdr:cNvPr id="2" name="Picture 1">
          <a:extLst>
            <a:ext xmlns:a16="http://schemas.microsoft.com/office/drawing/2014/main" uri="{FF2B5EF4-FFF2-40B4-BE49-F238E27FC236}">
              <a16:creationId xmlns:a16="http://schemas.microsoft.com/office/drawing/2014/main" id="{00000000-0008-0000-0000-000002000000}"/>
            </a:ext>
          </a:extLst>
        </xdr:cNvPr>
        <xdr:cNvPicPr>
          <a:picLocks noChangeAspect="true"/>
        </xdr:cNvPicPr>
      </xdr:nvPicPr>
      <xdr:blipFill>
        <a:blip r:embed="rId1"/>
        <a:stretch>
          <a:fillRect/>
        </a:stretch>
      </xdr:blipFill>
      <xdr:spPr>
        <a:xfrm>
          <a:off x="1034256" y="796925"/>
          <a:ext cx="1085850" cy="1085850"/>
        </a:xfrm>
        <a:prstGeom prst="rect">
          <a:avLst/>
        </a:prstGeom>
      </xdr:spPr>
    </xdr:pic>
    <xdr:clientData/>
  </xdr:oneCellAnchor>
  <xdr:oneCellAnchor>
    <xdr:from>
      <xdr:col>3</xdr:col>
      <xdr:colOff>371475</xdr:colOff>
      <xdr:row>2</xdr:row>
      <xdr:rowOff>393700</xdr:rowOff>
    </xdr:from>
    <xdr:ext cx="809625" cy="809625"/>
    <xdr:pic>
      <xdr:nvPicPr>
        <xdr:cNvPr id="3" name="Picture 2">
          <a:extLst>
            <a:ext xmlns:a16="http://schemas.microsoft.com/office/drawing/2014/main" uri="{FF2B5EF4-FFF2-40B4-BE49-F238E27FC236}">
              <a16:creationId xmlns:a16="http://schemas.microsoft.com/office/drawing/2014/main" id="{00000000-0008-0000-0000-000003000000}"/>
            </a:ext>
          </a:extLst>
        </xdr:cNvPr>
        <xdr:cNvPicPr>
          <a:picLocks noChangeAspect="true"/>
        </xdr:cNvPicPr>
      </xdr:nvPicPr>
      <xdr:blipFill>
        <a:blip r:embed="rId2"/>
        <a:stretch>
          <a:fillRect/>
        </a:stretch>
      </xdr:blipFill>
      <xdr:spPr>
        <a:xfrm>
          <a:off x="9274175" y="800100"/>
          <a:ext cx="809625" cy="809625"/>
        </a:xfrm>
        <a:prstGeom prst="rect">
          <a:avLst/>
        </a:prstGeom>
      </xdr:spPr>
    </xdr:pic>
    <xdr:clientData/>
  </xdr:oneCellAnchor>
  <xdr:twoCellAnchor>
    <xdr:from>
      <xdr:col>2</xdr:col>
      <xdr:colOff>2546350</xdr:colOff>
      <xdr:row>3</xdr:row>
      <xdr:rowOff>184150</xdr:rowOff>
    </xdr:from>
    <xdr:to>
      <xdr:col>2</xdr:col>
      <xdr:colOff>3752850</xdr:colOff>
      <xdr:row>3</xdr:row>
      <xdr:rowOff>1596619</xdr:rowOff>
    </xdr:to>
    <xdr:grpSp>
      <xdr:nvGrpSpPr>
        <xdr:cNvPr id="4" name="Group 3">
          <a:extLst>
            <a:ext xmlns:a16="http://schemas.microsoft.com/office/drawing/2014/main" uri="{FF2B5EF4-FFF2-40B4-BE49-F238E27FC236}">
              <a16:creationId xmlns:a16="http://schemas.microsoft.com/office/drawing/2014/main" id="{0F598BA5-94C0-AE46-B45D-8FE246E8B505}"/>
            </a:ext>
          </a:extLst>
        </xdr:cNvPr>
        <xdr:cNvGrpSpPr/>
      </xdr:nvGrpSpPr>
      <xdr:grpSpPr>
        <a:xfrm>
          <a:off x="5695950" y="1581150"/>
          <a:ext cx="1206500" cy="1412469"/>
          <a:chOff x="0" y="0"/>
          <a:chExt cx="1828800" cy="2141408"/>
        </a:xfrm>
      </xdr:grpSpPr>
      <xdr:pic>
        <xdr:nvPicPr>
          <xdr:cNvPr id="5" name="Picture 4">
            <a:extLst>
              <a:ext uri="{FF2B5EF4-FFF2-40B4-BE49-F238E27FC236}">
                <a16:creationId xmlns:a16="http://schemas.microsoft.com/office/drawing/2014/main" id="{10CFC6BB-3DC8-784D-9F2A-E796A75F4099}"/>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828800" cy="1688592"/>
          </a:xfrm>
          <a:prstGeom prst="rect">
            <a:avLst/>
          </a:prstGeom>
          <a:noFill/>
          <a:ln>
            <a:noFill/>
          </a:ln>
        </xdr:spPr>
      </xdr:pic>
      <xdr:sp macro="" textlink="">
        <xdr:nvSpPr>
          <xdr:cNvPr id="6" name="Rectangle 5">
            <a:extLst>
              <a:ext uri="{FF2B5EF4-FFF2-40B4-BE49-F238E27FC236}">
                <a16:creationId xmlns:a16="http://schemas.microsoft.com/office/drawing/2014/main" id="{27B76F6A-C1F9-A642-8CBF-655ABF6C683D}"/>
              </a:ext>
            </a:extLst>
          </xdr:cNvPr>
          <xdr:cNvSpPr/>
        </xdr:nvSpPr>
        <xdr:spPr>
          <a:xfrm>
            <a:off x="0" y="1688592"/>
            <a:ext cx="1828800" cy="452816"/>
          </a:xfrm>
          <a:prstGeom prst="rect">
            <a:avLst/>
          </a:prstGeom>
          <a:solidFill>
            <a:srgbClr val="26BDE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n-US" sz="800" b="1" kern="1200">
                <a:solidFill>
                  <a:srgbClr val="FFFFFF"/>
                </a:solidFill>
                <a:effectLst/>
                <a:latin typeface="Arial Narrow" panose="020B0604020202020204" pitchFamily="34" charset="0"/>
                <a:ea typeface="Calibri" panose="020F0502020204030204" pitchFamily="34" charset="0"/>
                <a:cs typeface="Times New Roman" panose="02020603050405020304" pitchFamily="18" charset="0"/>
              </a:rPr>
              <a:t>IN HOUSEHOLDS</a:t>
            </a:r>
            <a:endParaRPr lang="en-GB" sz="1100">
              <a:effectLst/>
              <a:ea typeface="Calibri" panose="020F0502020204030204" pitchFamily="34" charset="0"/>
              <a:cs typeface="Times New Roman" panose="02020603050405020304" pitchFamily="18" charset="0"/>
            </a:endParaRPr>
          </a:p>
        </xdr:txBody>
      </xdr:sp>
    </xdr:grpSp>
    <xdr:clientData/>
  </xdr:twoCellAnchor>
  <xdr:twoCellAnchor>
    <xdr:from>
      <xdr:col>2</xdr:col>
      <xdr:colOff>2546350</xdr:colOff>
      <xdr:row>3</xdr:row>
      <xdr:rowOff>184150</xdr:rowOff>
    </xdr:from>
    <xdr:to>
      <xdr:col>2</xdr:col>
      <xdr:colOff>3752850</xdr:colOff>
      <xdr:row>3</xdr:row>
      <xdr:rowOff>1596619</xdr:rowOff>
    </xdr:to>
    <xdr:grpSp>
      <xdr:nvGrpSpPr>
        <xdr:cNvPr id="7" name="Group 6">
          <a:extLst>
            <a:ext xmlns:a16="http://schemas.microsoft.com/office/drawing/2014/main" uri="{FF2B5EF4-FFF2-40B4-BE49-F238E27FC236}">
              <a16:creationId xmlns:a16="http://schemas.microsoft.com/office/drawing/2014/main" id="{0D150D08-123E-3044-BE64-439426A57D1D}"/>
            </a:ext>
          </a:extLst>
        </xdr:cNvPr>
        <xdr:cNvGrpSpPr/>
      </xdr:nvGrpSpPr>
      <xdr:grpSpPr>
        <a:xfrm>
          <a:off x="5695950" y="1581150"/>
          <a:ext cx="1206500" cy="1412469"/>
          <a:chOff x="0" y="0"/>
          <a:chExt cx="1828800" cy="2141408"/>
        </a:xfrm>
      </xdr:grpSpPr>
      <xdr:pic>
        <xdr:nvPicPr>
          <xdr:cNvPr id="8" name="Picture 7">
            <a:extLst>
              <a:ext uri="{FF2B5EF4-FFF2-40B4-BE49-F238E27FC236}">
                <a16:creationId xmlns:a16="http://schemas.microsoft.com/office/drawing/2014/main" id="{D013E635-E2CF-D04C-B6CF-F2B22F89D473}"/>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828800" cy="1688592"/>
          </a:xfrm>
          <a:prstGeom prst="rect">
            <a:avLst/>
          </a:prstGeom>
          <a:noFill/>
          <a:ln>
            <a:noFill/>
          </a:ln>
        </xdr:spPr>
      </xdr:pic>
      <xdr:sp macro="" textlink="">
        <xdr:nvSpPr>
          <xdr:cNvPr id="9" name="Rectangle 8">
            <a:extLst>
              <a:ext uri="{FF2B5EF4-FFF2-40B4-BE49-F238E27FC236}">
                <a16:creationId xmlns:a16="http://schemas.microsoft.com/office/drawing/2014/main" id="{2A391029-20B8-9548-B7CF-52844A43BBD4}"/>
              </a:ext>
            </a:extLst>
          </xdr:cNvPr>
          <xdr:cNvSpPr/>
        </xdr:nvSpPr>
        <xdr:spPr>
          <a:xfrm>
            <a:off x="0" y="1688592"/>
            <a:ext cx="1828800" cy="452816"/>
          </a:xfrm>
          <a:prstGeom prst="rect">
            <a:avLst/>
          </a:prstGeom>
          <a:solidFill>
            <a:srgbClr val="26BDE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n-US" sz="800" b="1" kern="1200">
                <a:solidFill>
                  <a:srgbClr val="FFFFFF"/>
                </a:solidFill>
                <a:effectLst/>
                <a:latin typeface="Arial Narrow" panose="020B0604020202020204" pitchFamily="34" charset="0"/>
                <a:ea typeface="Calibri" panose="020F0502020204030204" pitchFamily="34" charset="0"/>
                <a:cs typeface="Times New Roman" panose="02020603050405020304" pitchFamily="18" charset="0"/>
              </a:rPr>
              <a:t>IN HOUSEHOLDS</a:t>
            </a:r>
            <a:endParaRPr lang="en-GB" sz="1100">
              <a:effectLst/>
              <a:ea typeface="Calibri" panose="020F0502020204030204" pitchFamily="34" charset="0"/>
              <a:cs typeface="Times New Roman" panose="02020603050405020304" pitchFamily="18" charset="0"/>
            </a:endParaRPr>
          </a:p>
        </xdr:txBody>
      </xdr:sp>
    </xdr:grpSp>
    <xdr:clientData/>
  </xdr:twoCellAnchor>
  <xdr:twoCellAnchor>
    <xdr:from>
      <xdr:col>1</xdr:col>
      <xdr:colOff>279400</xdr:colOff>
      <xdr:row>0</xdr:row>
      <xdr:rowOff>292100</xdr:rowOff>
    </xdr:from>
    <xdr:to>
      <xdr:col>1</xdr:col>
      <xdr:colOff>1041400</xdr:colOff>
      <xdr:row>2</xdr:row>
      <xdr:rowOff>101600</xdr:rowOff>
    </xdr:to>
    <xdr:sp macro="" textlink="">
      <xdr:nvSpPr>
        <xdr:cNvPr id="10" name="Right Arrow 9">
          <a:extLst>
            <a:ext xmlns:a16="http://schemas.microsoft.com/office/drawing/2014/main" uri="{FF2B5EF4-FFF2-40B4-BE49-F238E27FC236}">
              <a16:creationId xmlns:a16="http://schemas.microsoft.com/office/drawing/2014/main" id="{50ACE620-F05C-9AB6-EE1B-095A6F3060F6}"/>
            </a:ext>
          </a:extLst>
        </xdr:cNvPr>
        <xdr:cNvSpPr/>
      </xdr:nvSpPr>
      <xdr:spPr>
        <a:xfrm rot="10800000">
          <a:off x="1587500" y="292100"/>
          <a:ext cx="762000" cy="4445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false" anchor="t"/>
        <a:lstStyle/>
        <a:p>
          <a:pPr algn="l"/>
          <a:endParaRPr lang="en-GB" sz="1100"/>
        </a:p>
      </xdr:txBody>
    </xdr:sp>
    <xdr:clientData/>
  </xdr:twoCellAnchor>
</xdr:wsDr>
</file>

<file path=xl/drawings/drawing2.xml><?xml version="1.0" encoding="utf-8"?>
<xdr:wsDr xmlns:a="http://schemas.openxmlformats.org/drawingml/2006/main" xmlns:xdr="http://schemas.openxmlformats.org/drawingml/2006/spreadsheetDrawing"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10448925</xdr:colOff>
          <xdr:row>1</xdr:row>
          <xdr:rowOff>0</xdr:rowOff>
        </xdr:to>
        <xdr:pic>
          <xdr:nvPicPr>
            <xdr:cNvPr id="23" name="Picture 22">
              <a:extLst>
                <a:ext uri="{FF2B5EF4-FFF2-40B4-BE49-F238E27FC236}">
                  <a16:creationId xmlns:a16="http://schemas.microsoft.com/office/drawing/2014/main" id="{750370E4-F541-4FC0-A910-D59C00BB7807}"/>
                </a:ext>
              </a:extLst>
            </xdr:cNvPr>
            <xdr:cNvPicPr>
              <a:picLocks noChangeAspect="1"/>
              <a:extLst>
                <a:ext uri="{84589F7E-364E-4C9E-8A38-B11213B215E9}">
                  <a14:cameraTool cellRange="Guidance1" spid="_x0000_s4069"/>
                </a:ext>
              </a:extLst>
            </xdr:cNvPicPr>
          </xdr:nvPicPr>
          <xdr:blipFill>
            <a:blip xmlns:r="http://schemas.openxmlformats.org/officeDocument/2006/relationships" r:embed="rId1"/>
            <a:stretch>
              <a:fillRect/>
            </a:stretch>
          </xdr:blipFill>
          <xdr:spPr>
            <a:xfrm>
              <a:off x="0" y="0"/>
              <a:ext cx="10448925" cy="5200650"/>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xdr:row>
          <xdr:rowOff>0</xdr:rowOff>
        </xdr:from>
        <xdr:to>
          <xdr:col>0</xdr:col>
          <xdr:colOff>10448925</xdr:colOff>
          <xdr:row>2</xdr:row>
          <xdr:rowOff>0</xdr:rowOff>
        </xdr:to>
        <xdr:pic>
          <xdr:nvPicPr>
            <xdr:cNvPr id="24" name="Picture 23">
              <a:extLst>
                <a:ext uri="{FF2B5EF4-FFF2-40B4-BE49-F238E27FC236}">
                  <a16:creationId xmlns:a16="http://schemas.microsoft.com/office/drawing/2014/main" id="{DFD252AA-CF7B-453E-9AE7-E3EE4B751284}"/>
                </a:ext>
              </a:extLst>
            </xdr:cNvPr>
            <xdr:cNvPicPr>
              <a:picLocks noChangeAspect="1"/>
              <a:extLst>
                <a:ext uri="{84589F7E-364E-4C9E-8A38-B11213B215E9}">
                  <a14:cameraTool cellRange="Guidance2" spid="_x0000_s4070"/>
                </a:ext>
              </a:extLst>
            </xdr:cNvPicPr>
          </xdr:nvPicPr>
          <xdr:blipFill>
            <a:blip xmlns:r="http://schemas.openxmlformats.org/officeDocument/2006/relationships" r:embed="rId2"/>
            <a:stretch>
              <a:fillRect/>
            </a:stretch>
          </xdr:blipFill>
          <xdr:spPr>
            <a:xfrm>
              <a:off x="0" y="5200650"/>
              <a:ext cx="10448925" cy="5200650"/>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oneCellAnchor>
        <xdr:from>
          <xdr:col>0</xdr:col>
          <xdr:colOff>25400</xdr:colOff>
          <xdr:row>1</xdr:row>
          <xdr:rowOff>5181600</xdr:rowOff>
        </xdr:from>
        <xdr:ext cx="10448925" cy="5200650"/>
        <xdr:pic>
          <xdr:nvPicPr>
            <xdr:cNvPr id="25" name="Picture 24">
              <a:extLst>
                <a:ext uri="{FF2B5EF4-FFF2-40B4-BE49-F238E27FC236}">
                  <a16:creationId xmlns:a16="http://schemas.microsoft.com/office/drawing/2014/main" id="{09FEB69B-6541-47F6-9B66-244A076522C8}"/>
                </a:ext>
              </a:extLst>
            </xdr:cNvPr>
            <xdr:cNvPicPr>
              <a:picLocks noChangeAspect="1"/>
              <a:extLst>
                <a:ext uri="{84589F7E-364E-4C9E-8A38-B11213B215E9}">
                  <a14:cameraTool cellRange="Guidance3" spid="_x0000_s4071"/>
                </a:ext>
              </a:extLst>
            </xdr:cNvPicPr>
          </xdr:nvPicPr>
          <xdr:blipFill>
            <a:blip xmlns:r="http://schemas.openxmlformats.org/officeDocument/2006/relationships" r:embed="rId3"/>
            <a:stretch>
              <a:fillRect/>
            </a:stretch>
          </xdr:blipFill>
          <xdr:spPr>
            <a:xfrm>
              <a:off x="25400" y="10375900"/>
              <a:ext cx="10448925" cy="5200650"/>
            </a:xfrm>
            <a:prstGeom prst="rect">
              <a:avLst/>
            </a:prstGeom>
          </xdr:spPr>
        </xdr:pic>
        <xdr:clientData/>
      </xdr:oneCellAnchor>
    </mc:Choice>
    <mc:Fallback/>
  </mc:AlternateContent>
</xdr:wsDr>
</file>

<file path=xl/drawings/drawing3.xml><?xml version="1.0" encoding="utf-8"?>
<xdr:wsDr xmlns:a="http://schemas.openxmlformats.org/drawingml/2006/main" xmlns:xdr="http://schemas.openxmlformats.org/drawingml/2006/spreadsheetDrawing" xmlns:r="http://schemas.openxmlformats.org/officeDocument/2006/relationships">
  <xdr:twoCellAnchor editAs="oneCell">
    <xdr:from>
      <xdr:col>22</xdr:col>
      <xdr:colOff>190500</xdr:colOff>
      <xdr:row>250</xdr:row>
      <xdr:rowOff>104775</xdr:rowOff>
    </xdr:from>
    <xdr:to>
      <xdr:col>22</xdr:col>
      <xdr:colOff>9609548</xdr:colOff>
      <xdr:row>250</xdr:row>
      <xdr:rowOff>4428584</xdr:rowOff>
    </xdr:to>
    <xdr:pic>
      <xdr:nvPicPr>
        <xdr:cNvPr id="2" name="Picture 1">
          <a:extLst>
            <a:ext xmlns:a16="http://schemas.microsoft.com/office/drawing/2014/main" uri="{FF2B5EF4-FFF2-40B4-BE49-F238E27FC236}">
              <a16:creationId xmlns:a16="http://schemas.microsoft.com/office/drawing/2014/main" id="{D40E9B66-85FD-4095-A240-4856752251F2}"/>
            </a:ext>
          </a:extLst>
        </xdr:cNvPr>
        <xdr:cNvPicPr>
          <a:picLocks noChangeAspect="true"/>
        </xdr:cNvPicPr>
      </xdr:nvPicPr>
      <xdr:blipFill>
        <a:blip r:embed="rId1"/>
        <a:stretch>
          <a:fillRect/>
        </a:stretch>
      </xdr:blipFill>
      <xdr:spPr>
        <a:xfrm>
          <a:off x="34375725" y="49482375"/>
          <a:ext cx="9419048" cy="4323809"/>
        </a:xfrm>
        <a:prstGeom prst="rect">
          <a:avLst/>
        </a:prstGeom>
      </xdr:spPr>
    </xdr:pic>
    <xdr:clientData/>
  </xdr:twoCellAnchor>
  <xdr:twoCellAnchor editAs="oneCell">
    <xdr:from>
      <xdr:col>23</xdr:col>
      <xdr:colOff>0</xdr:colOff>
      <xdr:row>250</xdr:row>
      <xdr:rowOff>0</xdr:rowOff>
    </xdr:from>
    <xdr:to>
      <xdr:col>23</xdr:col>
      <xdr:colOff>9466667</xdr:colOff>
      <xdr:row>250</xdr:row>
      <xdr:rowOff>4600000</xdr:rowOff>
    </xdr:to>
    <xdr:pic>
      <xdr:nvPicPr>
        <xdr:cNvPr id="3" name="Picture 2">
          <a:extLst>
            <a:ext xmlns:a16="http://schemas.microsoft.com/office/drawing/2014/main" uri="{FF2B5EF4-FFF2-40B4-BE49-F238E27FC236}">
              <a16:creationId xmlns:a16="http://schemas.microsoft.com/office/drawing/2014/main" id="{FE6D0242-1F84-4081-A0FB-BD853D608B22}"/>
            </a:ext>
          </a:extLst>
        </xdr:cNvPr>
        <xdr:cNvPicPr>
          <a:picLocks noChangeAspect="true"/>
        </xdr:cNvPicPr>
      </xdr:nvPicPr>
      <xdr:blipFill>
        <a:blip r:embed="rId2"/>
        <a:stretch>
          <a:fillRect/>
        </a:stretch>
      </xdr:blipFill>
      <xdr:spPr>
        <a:xfrm>
          <a:off x="44634150" y="49377600"/>
          <a:ext cx="9466667" cy="4600000"/>
        </a:xfrm>
        <a:prstGeom prst="rect">
          <a:avLst/>
        </a:prstGeom>
      </xdr:spPr>
    </xdr:pic>
    <xdr:clientData/>
  </xdr:twoCellAnchor>
  <xdr:oneCellAnchor>
    <xdr:from>
      <xdr:col>24</xdr:col>
      <xdr:colOff>0</xdr:colOff>
      <xdr:row>250</xdr:row>
      <xdr:rowOff>0</xdr:rowOff>
    </xdr:from>
    <xdr:ext cx="9371428" cy="3904762"/>
    <xdr:pic>
      <xdr:nvPicPr>
        <xdr:cNvPr id="4" name="Picture 3">
          <a:extLst>
            <a:ext xmlns:a16="http://schemas.microsoft.com/office/drawing/2014/main" uri="{FF2B5EF4-FFF2-40B4-BE49-F238E27FC236}">
              <a16:creationId xmlns:a16="http://schemas.microsoft.com/office/drawing/2014/main" id="{34D658F9-9996-4E68-B5D7-85A842E8201A}"/>
            </a:ext>
          </a:extLst>
        </xdr:cNvPr>
        <xdr:cNvPicPr>
          <a:picLocks noChangeAspect="true"/>
        </xdr:cNvPicPr>
      </xdr:nvPicPr>
      <xdr:blipFill>
        <a:blip r:embed="rId3"/>
        <a:stretch>
          <a:fillRect/>
        </a:stretch>
      </xdr:blipFill>
      <xdr:spPr>
        <a:xfrm>
          <a:off x="21812250" y="0"/>
          <a:ext cx="9371428" cy="3904762"/>
        </a:xfrm>
        <a:prstGeom prst="rect">
          <a:avLst/>
        </a:prstGeom>
      </xdr:spPr>
    </xdr:pic>
    <xdr:clientData/>
  </xdr:oneCellAnchor>
  <xdr:twoCellAnchor editAs="oneCell">
    <xdr:from>
      <xdr:col>22</xdr:col>
      <xdr:colOff>0</xdr:colOff>
      <xdr:row>251</xdr:row>
      <xdr:rowOff>0</xdr:rowOff>
    </xdr:from>
    <xdr:to>
      <xdr:col>22</xdr:col>
      <xdr:colOff>9380952</xdr:colOff>
      <xdr:row>251</xdr:row>
      <xdr:rowOff>5047619</xdr:rowOff>
    </xdr:to>
    <xdr:pic>
      <xdr:nvPicPr>
        <xdr:cNvPr id="5" name="Picture 4">
          <a:extLst>
            <a:ext xmlns:a16="http://schemas.microsoft.com/office/drawing/2014/main" uri="{FF2B5EF4-FFF2-40B4-BE49-F238E27FC236}">
              <a16:creationId xmlns:a16="http://schemas.microsoft.com/office/drawing/2014/main" id="{7BB6EEBF-291D-4421-9A14-77CE4D927F49}"/>
            </a:ext>
          </a:extLst>
        </xdr:cNvPr>
        <xdr:cNvPicPr>
          <a:picLocks noChangeAspect="true"/>
        </xdr:cNvPicPr>
      </xdr:nvPicPr>
      <xdr:blipFill>
        <a:blip r:embed="rId4"/>
        <a:stretch>
          <a:fillRect/>
        </a:stretch>
      </xdr:blipFill>
      <xdr:spPr>
        <a:xfrm>
          <a:off x="34185225" y="54578250"/>
          <a:ext cx="9380952" cy="5047619"/>
        </a:xfrm>
        <a:prstGeom prst="rect">
          <a:avLst/>
        </a:prstGeom>
      </xdr:spPr>
    </xdr:pic>
    <xdr:clientData/>
  </xdr:twoCellAnchor>
  <xdr:twoCellAnchor editAs="oneCell">
    <xdr:from>
      <xdr:col>23</xdr:col>
      <xdr:colOff>0</xdr:colOff>
      <xdr:row>251</xdr:row>
      <xdr:rowOff>0</xdr:rowOff>
    </xdr:from>
    <xdr:to>
      <xdr:col>23</xdr:col>
      <xdr:colOff>9342857</xdr:colOff>
      <xdr:row>251</xdr:row>
      <xdr:rowOff>4609524</xdr:rowOff>
    </xdr:to>
    <xdr:pic>
      <xdr:nvPicPr>
        <xdr:cNvPr id="6" name="Picture 5">
          <a:extLst>
            <a:ext xmlns:a16="http://schemas.microsoft.com/office/drawing/2014/main" uri="{FF2B5EF4-FFF2-40B4-BE49-F238E27FC236}">
              <a16:creationId xmlns:a16="http://schemas.microsoft.com/office/drawing/2014/main" id="{AF4D20F6-A730-434B-9D3D-A65B990C4A07}"/>
            </a:ext>
          </a:extLst>
        </xdr:cNvPr>
        <xdr:cNvPicPr>
          <a:picLocks noChangeAspect="true"/>
        </xdr:cNvPicPr>
      </xdr:nvPicPr>
      <xdr:blipFill>
        <a:blip r:embed="rId5"/>
        <a:stretch>
          <a:fillRect/>
        </a:stretch>
      </xdr:blipFill>
      <xdr:spPr>
        <a:xfrm>
          <a:off x="44634150" y="54578250"/>
          <a:ext cx="9342857" cy="4609524"/>
        </a:xfrm>
        <a:prstGeom prst="rect">
          <a:avLst/>
        </a:prstGeom>
      </xdr:spPr>
    </xdr:pic>
    <xdr:clientData/>
  </xdr:twoCellAnchor>
  <xdr:twoCellAnchor editAs="oneCell">
    <xdr:from>
      <xdr:col>24</xdr:col>
      <xdr:colOff>0</xdr:colOff>
      <xdr:row>251</xdr:row>
      <xdr:rowOff>0</xdr:rowOff>
    </xdr:from>
    <xdr:to>
      <xdr:col>24</xdr:col>
      <xdr:colOff>9428571</xdr:colOff>
      <xdr:row>251</xdr:row>
      <xdr:rowOff>4324350</xdr:rowOff>
    </xdr:to>
    <xdr:pic>
      <xdr:nvPicPr>
        <xdr:cNvPr id="7" name="Picture 6">
          <a:extLst>
            <a:ext xmlns:a16="http://schemas.microsoft.com/office/drawing/2014/main" uri="{FF2B5EF4-FFF2-40B4-BE49-F238E27FC236}">
              <a16:creationId xmlns:a16="http://schemas.microsoft.com/office/drawing/2014/main" id="{42C9A478-D7B7-4FAA-B068-10F30B1B492F}"/>
            </a:ext>
          </a:extLst>
        </xdr:cNvPr>
        <xdr:cNvPicPr>
          <a:picLocks noChangeAspect="true"/>
        </xdr:cNvPicPr>
      </xdr:nvPicPr>
      <xdr:blipFill rotWithShape="true">
        <a:blip r:embed="rId6"/>
        <a:srcRect b="24324"/>
        <a:stretch/>
      </xdr:blipFill>
      <xdr:spPr>
        <a:xfrm>
          <a:off x="55083075" y="54578250"/>
          <a:ext cx="9428571" cy="4324350"/>
        </a:xfrm>
        <a:prstGeom prst="rect">
          <a:avLst/>
        </a:prstGeom>
      </xdr:spPr>
    </xdr:pic>
    <xdr:clientData/>
  </xdr:twoCellAnchor>
  <xdr:twoCellAnchor editAs="oneCell">
    <xdr:from>
      <xdr:col>22</xdr:col>
      <xdr:colOff>0</xdr:colOff>
      <xdr:row>252</xdr:row>
      <xdr:rowOff>0</xdr:rowOff>
    </xdr:from>
    <xdr:to>
      <xdr:col>22</xdr:col>
      <xdr:colOff>9476190</xdr:colOff>
      <xdr:row>252</xdr:row>
      <xdr:rowOff>4876190</xdr:rowOff>
    </xdr:to>
    <xdr:pic>
      <xdr:nvPicPr>
        <xdr:cNvPr id="8" name="Picture 7">
          <a:extLst>
            <a:ext xmlns:a16="http://schemas.microsoft.com/office/drawing/2014/main" uri="{FF2B5EF4-FFF2-40B4-BE49-F238E27FC236}">
              <a16:creationId xmlns:a16="http://schemas.microsoft.com/office/drawing/2014/main" id="{32232CBC-AEC4-4F19-AD93-3DFCA4CEE4A0}"/>
            </a:ext>
          </a:extLst>
        </xdr:cNvPr>
        <xdr:cNvPicPr>
          <a:picLocks noChangeAspect="true"/>
        </xdr:cNvPicPr>
      </xdr:nvPicPr>
      <xdr:blipFill>
        <a:blip r:embed="rId7"/>
        <a:stretch>
          <a:fillRect/>
        </a:stretch>
      </xdr:blipFill>
      <xdr:spPr>
        <a:xfrm>
          <a:off x="34185225" y="59778900"/>
          <a:ext cx="9476190" cy="4876190"/>
        </a:xfrm>
        <a:prstGeom prst="rect">
          <a:avLst/>
        </a:prstGeom>
      </xdr:spPr>
    </xdr:pic>
    <xdr:clientData/>
  </xdr:twoCellAnchor>
  <xdr:twoCellAnchor editAs="oneCell">
    <xdr:from>
      <xdr:col>23</xdr:col>
      <xdr:colOff>0</xdr:colOff>
      <xdr:row>252</xdr:row>
      <xdr:rowOff>0</xdr:rowOff>
    </xdr:from>
    <xdr:to>
      <xdr:col>23</xdr:col>
      <xdr:colOff>9352381</xdr:colOff>
      <xdr:row>252</xdr:row>
      <xdr:rowOff>4666667</xdr:rowOff>
    </xdr:to>
    <xdr:pic>
      <xdr:nvPicPr>
        <xdr:cNvPr id="9" name="Picture 8">
          <a:extLst>
            <a:ext xmlns:a16="http://schemas.microsoft.com/office/drawing/2014/main" uri="{FF2B5EF4-FFF2-40B4-BE49-F238E27FC236}">
              <a16:creationId xmlns:a16="http://schemas.microsoft.com/office/drawing/2014/main" id="{8CE258A9-6FBC-4A78-8DE6-FADD600104F0}"/>
            </a:ext>
          </a:extLst>
        </xdr:cNvPr>
        <xdr:cNvPicPr>
          <a:picLocks noChangeAspect="true"/>
        </xdr:cNvPicPr>
      </xdr:nvPicPr>
      <xdr:blipFill>
        <a:blip r:embed="rId8"/>
        <a:stretch>
          <a:fillRect/>
        </a:stretch>
      </xdr:blipFill>
      <xdr:spPr>
        <a:xfrm>
          <a:off x="44634150" y="59778900"/>
          <a:ext cx="9352381" cy="4666667"/>
        </a:xfrm>
        <a:prstGeom prst="rect">
          <a:avLst/>
        </a:prstGeom>
      </xdr:spPr>
    </xdr:pic>
    <xdr:clientData/>
  </xdr:twoCellAnchor>
  <xdr:twoCellAnchor editAs="oneCell">
    <xdr:from>
      <xdr:col>22</xdr:col>
      <xdr:colOff>0</xdr:colOff>
      <xdr:row>253</xdr:row>
      <xdr:rowOff>0</xdr:rowOff>
    </xdr:from>
    <xdr:to>
      <xdr:col>22</xdr:col>
      <xdr:colOff>9495238</xdr:colOff>
      <xdr:row>253</xdr:row>
      <xdr:rowOff>5028571</xdr:rowOff>
    </xdr:to>
    <xdr:pic>
      <xdr:nvPicPr>
        <xdr:cNvPr id="11" name="Picture 10">
          <a:extLst>
            <a:ext xmlns:a16="http://schemas.microsoft.com/office/drawing/2014/main" uri="{FF2B5EF4-FFF2-40B4-BE49-F238E27FC236}">
              <a16:creationId xmlns:a16="http://schemas.microsoft.com/office/drawing/2014/main" id="{D8661FE3-5C22-4561-87D6-309BD6367C41}"/>
            </a:ext>
          </a:extLst>
        </xdr:cNvPr>
        <xdr:cNvPicPr>
          <a:picLocks noChangeAspect="true"/>
        </xdr:cNvPicPr>
      </xdr:nvPicPr>
      <xdr:blipFill>
        <a:blip r:embed="rId9"/>
        <a:stretch>
          <a:fillRect/>
        </a:stretch>
      </xdr:blipFill>
      <xdr:spPr>
        <a:xfrm>
          <a:off x="34185225" y="64979550"/>
          <a:ext cx="9495238" cy="5028571"/>
        </a:xfrm>
        <a:prstGeom prst="rect">
          <a:avLst/>
        </a:prstGeom>
      </xdr:spPr>
    </xdr:pic>
    <xdr:clientData/>
  </xdr:twoCellAnchor>
  <xdr:twoCellAnchor editAs="oneCell">
    <xdr:from>
      <xdr:col>23</xdr:col>
      <xdr:colOff>0</xdr:colOff>
      <xdr:row>253</xdr:row>
      <xdr:rowOff>0</xdr:rowOff>
    </xdr:from>
    <xdr:to>
      <xdr:col>23</xdr:col>
      <xdr:colOff>9361905</xdr:colOff>
      <xdr:row>253</xdr:row>
      <xdr:rowOff>4742857</xdr:rowOff>
    </xdr:to>
    <xdr:pic>
      <xdr:nvPicPr>
        <xdr:cNvPr id="12" name="Picture 11">
          <a:extLst>
            <a:ext xmlns:a16="http://schemas.microsoft.com/office/drawing/2014/main" uri="{FF2B5EF4-FFF2-40B4-BE49-F238E27FC236}">
              <a16:creationId xmlns:a16="http://schemas.microsoft.com/office/drawing/2014/main" id="{A545760C-0E33-4A6B-8177-44E2F7C61C59}"/>
            </a:ext>
          </a:extLst>
        </xdr:cNvPr>
        <xdr:cNvPicPr>
          <a:picLocks noChangeAspect="true"/>
        </xdr:cNvPicPr>
      </xdr:nvPicPr>
      <xdr:blipFill>
        <a:blip r:embed="rId10"/>
        <a:stretch>
          <a:fillRect/>
        </a:stretch>
      </xdr:blipFill>
      <xdr:spPr>
        <a:xfrm>
          <a:off x="44634150" y="64979550"/>
          <a:ext cx="9361905" cy="4742857"/>
        </a:xfrm>
        <a:prstGeom prst="rect">
          <a:avLst/>
        </a:prstGeom>
      </xdr:spPr>
    </xdr:pic>
    <xdr:clientData/>
  </xdr:twoCellAnchor>
  <xdr:twoCellAnchor editAs="oneCell">
    <xdr:from>
      <xdr:col>24</xdr:col>
      <xdr:colOff>0</xdr:colOff>
      <xdr:row>253</xdr:row>
      <xdr:rowOff>0</xdr:rowOff>
    </xdr:from>
    <xdr:to>
      <xdr:col>24</xdr:col>
      <xdr:colOff>9476190</xdr:colOff>
      <xdr:row>253</xdr:row>
      <xdr:rowOff>3971429</xdr:rowOff>
    </xdr:to>
    <xdr:pic>
      <xdr:nvPicPr>
        <xdr:cNvPr id="13" name="Picture 12">
          <a:extLst>
            <a:ext xmlns:a16="http://schemas.microsoft.com/office/drawing/2014/main" uri="{FF2B5EF4-FFF2-40B4-BE49-F238E27FC236}">
              <a16:creationId xmlns:a16="http://schemas.microsoft.com/office/drawing/2014/main" id="{57AA9411-F20C-4069-B0C1-0A38DD6B9C5A}"/>
            </a:ext>
          </a:extLst>
        </xdr:cNvPr>
        <xdr:cNvPicPr>
          <a:picLocks noChangeAspect="true"/>
        </xdr:cNvPicPr>
      </xdr:nvPicPr>
      <xdr:blipFill>
        <a:blip r:embed="rId11"/>
        <a:stretch>
          <a:fillRect/>
        </a:stretch>
      </xdr:blipFill>
      <xdr:spPr>
        <a:xfrm>
          <a:off x="55083075" y="64979550"/>
          <a:ext cx="9476190" cy="3971429"/>
        </a:xfrm>
        <a:prstGeom prst="rect">
          <a:avLst/>
        </a:prstGeom>
      </xdr:spPr>
    </xdr:pic>
    <xdr:clientData/>
  </xdr:twoCellAnchor>
  <xdr:twoCellAnchor editAs="oneCell">
    <xdr:from>
      <xdr:col>22</xdr:col>
      <xdr:colOff>0</xdr:colOff>
      <xdr:row>254</xdr:row>
      <xdr:rowOff>0</xdr:rowOff>
    </xdr:from>
    <xdr:to>
      <xdr:col>22</xdr:col>
      <xdr:colOff>9466667</xdr:colOff>
      <xdr:row>254</xdr:row>
      <xdr:rowOff>4761905</xdr:rowOff>
    </xdr:to>
    <xdr:pic>
      <xdr:nvPicPr>
        <xdr:cNvPr id="14" name="Picture 13">
          <a:extLst>
            <a:ext xmlns:a16="http://schemas.microsoft.com/office/drawing/2014/main" uri="{FF2B5EF4-FFF2-40B4-BE49-F238E27FC236}">
              <a16:creationId xmlns:a16="http://schemas.microsoft.com/office/drawing/2014/main" id="{FADBED3E-C659-4C16-A6F1-9A783A2C1F9D}"/>
            </a:ext>
          </a:extLst>
        </xdr:cNvPr>
        <xdr:cNvPicPr>
          <a:picLocks noChangeAspect="true"/>
        </xdr:cNvPicPr>
      </xdr:nvPicPr>
      <xdr:blipFill>
        <a:blip r:embed="rId12"/>
        <a:stretch>
          <a:fillRect/>
        </a:stretch>
      </xdr:blipFill>
      <xdr:spPr>
        <a:xfrm>
          <a:off x="34185225" y="70180200"/>
          <a:ext cx="9466667" cy="4761905"/>
        </a:xfrm>
        <a:prstGeom prst="rect">
          <a:avLst/>
        </a:prstGeom>
      </xdr:spPr>
    </xdr:pic>
    <xdr:clientData/>
  </xdr:twoCellAnchor>
  <xdr:twoCellAnchor editAs="oneCell">
    <xdr:from>
      <xdr:col>23</xdr:col>
      <xdr:colOff>0</xdr:colOff>
      <xdr:row>254</xdr:row>
      <xdr:rowOff>0</xdr:rowOff>
    </xdr:from>
    <xdr:to>
      <xdr:col>23</xdr:col>
      <xdr:colOff>9361905</xdr:colOff>
      <xdr:row>254</xdr:row>
      <xdr:rowOff>4638095</xdr:rowOff>
    </xdr:to>
    <xdr:pic>
      <xdr:nvPicPr>
        <xdr:cNvPr id="15" name="Picture 14">
          <a:extLst>
            <a:ext xmlns:a16="http://schemas.microsoft.com/office/drawing/2014/main" uri="{FF2B5EF4-FFF2-40B4-BE49-F238E27FC236}">
              <a16:creationId xmlns:a16="http://schemas.microsoft.com/office/drawing/2014/main" id="{61C83F46-10E4-4BFE-BFB3-2C4AD162E573}"/>
            </a:ext>
          </a:extLst>
        </xdr:cNvPr>
        <xdr:cNvPicPr>
          <a:picLocks noChangeAspect="true"/>
        </xdr:cNvPicPr>
      </xdr:nvPicPr>
      <xdr:blipFill>
        <a:blip r:embed="rId13"/>
        <a:stretch>
          <a:fillRect/>
        </a:stretch>
      </xdr:blipFill>
      <xdr:spPr>
        <a:xfrm>
          <a:off x="44634150" y="70180200"/>
          <a:ext cx="9361905" cy="4638095"/>
        </a:xfrm>
        <a:prstGeom prst="rect">
          <a:avLst/>
        </a:prstGeom>
      </xdr:spPr>
    </xdr:pic>
    <xdr:clientData/>
  </xdr:twoCellAnchor>
  <xdr:twoCellAnchor editAs="oneCell">
    <xdr:from>
      <xdr:col>24</xdr:col>
      <xdr:colOff>0</xdr:colOff>
      <xdr:row>254</xdr:row>
      <xdr:rowOff>0</xdr:rowOff>
    </xdr:from>
    <xdr:to>
      <xdr:col>24</xdr:col>
      <xdr:colOff>9438095</xdr:colOff>
      <xdr:row>254</xdr:row>
      <xdr:rowOff>4552381</xdr:rowOff>
    </xdr:to>
    <xdr:pic>
      <xdr:nvPicPr>
        <xdr:cNvPr id="16" name="Picture 15">
          <a:extLst>
            <a:ext xmlns:a16="http://schemas.microsoft.com/office/drawing/2014/main" uri="{FF2B5EF4-FFF2-40B4-BE49-F238E27FC236}">
              <a16:creationId xmlns:a16="http://schemas.microsoft.com/office/drawing/2014/main" id="{9156D0E4-1C8F-4F1C-AD49-0F748C314257}"/>
            </a:ext>
          </a:extLst>
        </xdr:cNvPr>
        <xdr:cNvPicPr>
          <a:picLocks noChangeAspect="true"/>
        </xdr:cNvPicPr>
      </xdr:nvPicPr>
      <xdr:blipFill>
        <a:blip r:embed="rId14"/>
        <a:stretch>
          <a:fillRect/>
        </a:stretch>
      </xdr:blipFill>
      <xdr:spPr>
        <a:xfrm>
          <a:off x="55083075" y="70180200"/>
          <a:ext cx="9438095" cy="4552381"/>
        </a:xfrm>
        <a:prstGeom prst="rect">
          <a:avLst/>
        </a:prstGeom>
      </xdr:spPr>
    </xdr:pic>
    <xdr:clientData/>
  </xdr:twoCellAnchor>
  <xdr:twoCellAnchor editAs="oneCell">
    <xdr:from>
      <xdr:col>24</xdr:col>
      <xdr:colOff>0</xdr:colOff>
      <xdr:row>252</xdr:row>
      <xdr:rowOff>0</xdr:rowOff>
    </xdr:from>
    <xdr:to>
      <xdr:col>24</xdr:col>
      <xdr:colOff>9457143</xdr:colOff>
      <xdr:row>252</xdr:row>
      <xdr:rowOff>4419048</xdr:rowOff>
    </xdr:to>
    <xdr:pic>
      <xdr:nvPicPr>
        <xdr:cNvPr id="17" name="Picture 16">
          <a:extLst>
            <a:ext xmlns:a16="http://schemas.microsoft.com/office/drawing/2014/main" uri="{FF2B5EF4-FFF2-40B4-BE49-F238E27FC236}">
              <a16:creationId xmlns:a16="http://schemas.microsoft.com/office/drawing/2014/main" id="{A266A4F9-88DB-4F5E-A74E-706A4EB9D891}"/>
            </a:ext>
          </a:extLst>
        </xdr:cNvPr>
        <xdr:cNvPicPr>
          <a:picLocks noChangeAspect="true"/>
        </xdr:cNvPicPr>
      </xdr:nvPicPr>
      <xdr:blipFill>
        <a:blip r:embed="rId15"/>
        <a:stretch>
          <a:fillRect/>
        </a:stretch>
      </xdr:blipFill>
      <xdr:spPr>
        <a:xfrm>
          <a:off x="55083075" y="59778900"/>
          <a:ext cx="9457143" cy="4419048"/>
        </a:xfrm>
        <a:prstGeom prst="rect">
          <a:avLst/>
        </a:prstGeom>
      </xdr:spPr>
    </xdr:pic>
    <xdr:clientData/>
  </xdr:twoCellAnchor>
</xdr:wsDr>
</file>

<file path=xl/theme/theme1.xml><?xml version="1.0" encoding="utf-8"?>
<a:theme xmlns:r="http://schemas.openxmlformats.org/officeDocument/2006/relationships"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true">
          <a:gsLst>
            <a:gs pos="0">
              <a:schemeClr val="phClr">
                <a:tint val="50000"/>
                <a:satMod val="300000"/>
              </a:schemeClr>
            </a:gs>
            <a:gs pos="35000">
              <a:schemeClr val="phClr">
                <a:tint val="37000"/>
                <a:satMod val="300000"/>
              </a:schemeClr>
            </a:gs>
            <a:gs pos="100000">
              <a:schemeClr val="phClr">
                <a:tint val="15000"/>
                <a:satMod val="350000"/>
              </a:schemeClr>
            </a:gs>
          </a:gsLst>
          <a:lin ang="16200000" scaled="true"/>
        </a:gradFill>
        <a:gradFill rotWithShape="true">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false"/>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false">
              <a:srgbClr val="000000">
                <a:alpha val="38000"/>
              </a:srgbClr>
            </a:outerShdw>
          </a:effectLst>
        </a:effectStyle>
        <a:effectStyle>
          <a:effectLst>
            <a:outerShdw blurRad="40000" dist="23000" dir="5400000" rotWithShape="false">
              <a:srgbClr val="000000">
                <a:alpha val="35000"/>
              </a:srgbClr>
            </a:outerShdw>
          </a:effectLst>
        </a:effectStyle>
        <a:effectStyle>
          <a:effectLst>
            <a:outerShdw blurRad="40000" dist="23000" dir="5400000" rotWithShape="false">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true">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true">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Relationships xmlns="http://schemas.openxmlformats.org/package/2006/relationships"><Relationship Target="../drawings/drawing1.xml" Type="http://schemas.openxmlformats.org/officeDocument/2006/relationships/drawing" Id="rId2"/><Relationship Target="../printerSettings/printerSettings1.bin" Type="http://schemas.openxmlformats.org/officeDocument/2006/relationships/printerSettings" Id="rId1"/></Relationships>
</file>

<file path=xl/worksheets/_rels/sheet10.xml.rels><?xml version="1.0" encoding="UTF-8"?><Relationships xmlns="http://schemas.openxmlformats.org/package/2006/relationships"><Relationship Target="../printerSettings/printerSettings10.bin" Type="http://schemas.openxmlformats.org/officeDocument/2006/relationships/printerSettings" Id="rId1"/></Relationships>
</file>

<file path=xl/worksheets/_rels/sheet12.xml.rels><?xml version="1.0" encoding="UTF-8"?><Relationships xmlns="http://schemas.openxmlformats.org/package/2006/relationships"><Relationship Target="../drawings/drawing3.xml" Type="http://schemas.openxmlformats.org/officeDocument/2006/relationships/drawing" Id="rId1"/></Relationships>
</file>

<file path=xl/worksheets/_rels/sheet2.xml.rels><?xml version="1.0" encoding="UTF-8"?><Relationships xmlns="http://schemas.openxmlformats.org/package/2006/relationships"><Relationship Target="../drawings/vmlDrawing1.vml" Type="http://schemas.openxmlformats.org/officeDocument/2006/relationships/vmlDrawing" Id="rId3"/><Relationship Target="../drawings/drawing2.xml" Type="http://schemas.openxmlformats.org/officeDocument/2006/relationships/drawing" Id="rId2"/><Relationship Target="../printerSettings/printerSettings2.bin" Type="http://schemas.openxmlformats.org/officeDocument/2006/relationships/printerSettings" Id="rId1"/></Relationships>
</file>

<file path=xl/worksheets/_rels/sheet3.xml.rels><?xml version="1.0" encoding="UTF-8"?><Relationships xmlns="http://schemas.openxmlformats.org/package/2006/relationships"><Relationship Target="../printerSettings/printerSettings3.bin" Type="http://schemas.openxmlformats.org/officeDocument/2006/relationships/printerSettings" Id="rId1"/></Relationships>
</file>

<file path=xl/worksheets/_rels/sheet4.xml.rels><?xml version="1.0" encoding="UTF-8"?><Relationships xmlns="http://schemas.openxmlformats.org/package/2006/relationships"><Relationship Target="../printerSettings/printerSettings4.bin" Type="http://schemas.openxmlformats.org/officeDocument/2006/relationships/printerSettings" Id="rId1"/></Relationships>
</file>

<file path=xl/worksheets/_rels/sheet5.xml.rels><?xml version="1.0" encoding="UTF-8"?><Relationships xmlns="http://schemas.openxmlformats.org/package/2006/relationships"><Relationship Target="../printerSettings/printerSettings5.bin" Type="http://schemas.openxmlformats.org/officeDocument/2006/relationships/printerSettings" Id="rId1"/></Relationships>
</file>

<file path=xl/worksheets/_rels/sheet6.xml.rels><?xml version="1.0" encoding="UTF-8"?><Relationships xmlns="http://schemas.openxmlformats.org/package/2006/relationships"><Relationship Target="../printerSettings/printerSettings6.bin" Type="http://schemas.openxmlformats.org/officeDocument/2006/relationships/printerSettings" Id="rId1"/></Relationships>
</file>

<file path=xl/worksheets/_rels/sheet7.xml.rels><?xml version="1.0" encoding="UTF-8"?><Relationships xmlns="http://schemas.openxmlformats.org/package/2006/relationships"><Relationship Target="../printerSettings/printerSettings7.bin" Type="http://schemas.openxmlformats.org/officeDocument/2006/relationships/printerSettings" Id="rId1"/></Relationships>
</file>

<file path=xl/worksheets/_rels/sheet8.xml.rels><?xml version="1.0" encoding="UTF-8"?><Relationships xmlns="http://schemas.openxmlformats.org/package/2006/relationships"><Relationship Target="../printerSettings/printerSettings8.bin" Type="http://schemas.openxmlformats.org/officeDocument/2006/relationships/printerSettings" Id="rId1"/></Relationships>
</file>

<file path=xl/worksheets/_rels/sheet9.xml.rels><?xml version="1.0" encoding="UTF-8"?><Relationships xmlns="http://schemas.openxmlformats.org/package/2006/relationships"><Relationship Target="../printerSettings/printerSettings9.bin" Type="http://schemas.openxmlformats.org/officeDocument/2006/relationships/printerSettings" Id="rId1"/></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true"/>
  </sheetPr>
  <dimension ref="A1:C34"/>
  <sheetViews>
    <sheetView showGridLines="false" tabSelected="true" zoomScaleNormal="100" zoomScaleSheetLayoutView="70" workbookViewId="0"/>
  </sheetViews>
  <sheetFormatPr xmlns:x14ac="http://schemas.microsoft.com/office/spreadsheetml/2009/9/ac" baseColWidth="10" defaultColWidth="8.7109375" defaultRowHeight="16" x14ac:dyDescent="0.2"/>
  <cols>
    <col min="1" max="1" width="14.7109375" bestFit="true" customWidth="true"/>
    <col min="2" max="2" width="20.7109375" customWidth="true"/>
    <col min="3" max="3" width="70.7109375" customWidth="true"/>
  </cols>
  <sheetData>
    <row xmlns:x14ac="http://schemas.microsoft.com/office/spreadsheetml/2009/9/ac" r="1" ht="25" x14ac:dyDescent="0.25">
      <c r="A1" s="127" t="s">
        <v>106</v>
      </c>
      <c r="B1" s="109"/>
    </row>
    <row xmlns:x14ac="http://schemas.microsoft.com/office/spreadsheetml/2009/9/ac" r="2" ht="25" x14ac:dyDescent="0.25">
      <c r="A2" s="128" t="s">
        <v>105</v>
      </c>
      <c r="B2" s="127" t="s">
        <v>148</v>
      </c>
    </row>
    <row xmlns:x14ac="http://schemas.microsoft.com/office/spreadsheetml/2009/9/ac" r="3" ht="60" customHeight="true" x14ac:dyDescent="0.25">
      <c r="C3" s="4" t="str">
        <f>HLOOKUP($A$2,nametranslations,2,FALSE)</f>
        <v>Sustainable Development Goal 6 Monitoring</v>
      </c>
    </row>
    <row xmlns:x14ac="http://schemas.microsoft.com/office/spreadsheetml/2009/9/ac" r="4" ht="180.75" customHeight="true" x14ac:dyDescent="0.25">
      <c r="C4" s="4" t="str">
        <f>HLOOKUP($A$2,nametranslations,3,FALSE)</f>
        <v>6.3.1 Safely Treated Household Wastewater</v>
      </c>
    </row>
    <row xmlns:x14ac="http://schemas.microsoft.com/office/spreadsheetml/2009/9/ac" r="5" ht="79.5" customHeight="true" x14ac:dyDescent="0.35">
      <c r="C5" s="2" t="e">
        <f>IF($A$2="English",VLOOKUP('Data inputs (all)'!B2,countryname,2,FALSE),IF($A$2="French",VLOOKUP('Data inputs (all)'!B2,countryname,3,FALSE),IF($A$2="Spanish",VLOOKUP('Data inputs (all)'!B2,countryname,4,FALSE),IF($A$2="Russian",VLOOKUP('Data inputs (all)'!B2,countryname,5,FALSE),IF($A$2="Arabic",VLOOKUP('Data inputs (all)'!B2,countryname,6,FALSE),IF($A$2="Chinese",VLOOKUP('Data inputs (all)'!B2,countryname,7,FALSE),IF($A$2="Other",VLOOKUP('Data inputs (all)'!B2,countryname,8,FALSE))))))))</f>
        <v>#N/A</v>
      </c>
    </row>
    <row xmlns:x14ac="http://schemas.microsoft.com/office/spreadsheetml/2009/9/ac" r="6" ht="34" customHeight="true" x14ac:dyDescent="0.2">
      <c r="C6" s="21" t="str">
        <f>HLOOKUP($A$2,nametranslations,4,FALSE)</f>
        <v>Country Estimate</v>
      </c>
    </row>
    <row xmlns:x14ac="http://schemas.microsoft.com/office/spreadsheetml/2009/9/ac" r="7" ht="24" customHeight="true" x14ac:dyDescent="0.2">
      <c r="C7" s="21">
        <v>2024</v>
      </c>
    </row>
    <row xmlns:x14ac="http://schemas.microsoft.com/office/spreadsheetml/2009/9/ac" r="8" ht="38.25" customHeight="true" x14ac:dyDescent="0.2">
      <c r="C8" s="20" t="str">
        <f>IF(LEFT('C- WW management chain'!A25,3)=HLOOKUP($A$2,nametranslations,172,FALSE),HLOOKUP($A$2,nametranslations,5,FALSE) &amp; " " &amp;ROUND(_xlfn.SINGLE(v40_),0)&amp;"%",HLOOKUP($A$2,nametranslations,6,FALSE))</f>
        <v>Safely Treated Wastewater: Insufficient data</v>
      </c>
    </row>
    <row xmlns:x14ac="http://schemas.microsoft.com/office/spreadsheetml/2009/9/ac" r="9" ht="40" customHeight="true" x14ac:dyDescent="0.2">
      <c r="C9" s="3" t="str">
        <f>HLOOKUP($A$2,nametranslations,7,FALSE)</f>
        <v>Background and methods</v>
      </c>
    </row>
    <row xmlns:x14ac="http://schemas.microsoft.com/office/spreadsheetml/2009/9/ac" r="10" ht="16" customHeight="true" x14ac:dyDescent="0.2">
      <c r="C10" s="3"/>
    </row>
    <row xmlns:x14ac="http://schemas.microsoft.com/office/spreadsheetml/2009/9/ac" r="11" ht="20.25" customHeight="true" x14ac:dyDescent="0.2">
      <c r="C11" s="5" t="str">
        <f>HLOOKUP($A$2,nametranslations,8,FALSE)</f>
        <v>Guidance for the reader / user</v>
      </c>
    </row>
    <row xmlns:x14ac="http://schemas.microsoft.com/office/spreadsheetml/2009/9/ac" r="12" ht="20.25" customHeight="true" x14ac:dyDescent="0.2">
      <c r="C12" s="1"/>
    </row>
    <row xmlns:x14ac="http://schemas.microsoft.com/office/spreadsheetml/2009/9/ac" r="13" ht="40" customHeight="true" x14ac:dyDescent="0.2">
      <c r="C13" s="3" t="str">
        <f>HLOOKUP($A$2,nametranslations,9,FALSE)</f>
        <v>Data and sources</v>
      </c>
    </row>
    <row xmlns:x14ac="http://schemas.microsoft.com/office/spreadsheetml/2009/9/ac" r="14" x14ac:dyDescent="0.2">
      <c r="C14" s="5"/>
    </row>
    <row xmlns:x14ac="http://schemas.microsoft.com/office/spreadsheetml/2009/9/ac" r="15" ht="20.25" customHeight="true" x14ac:dyDescent="0.2">
      <c r="C15" s="5" t="str">
        <f>HLOOKUP($A$2,nametranslations,11,FALSE)</f>
        <v>Country estimate data summary</v>
      </c>
    </row>
    <row xmlns:x14ac="http://schemas.microsoft.com/office/spreadsheetml/2009/9/ac" r="16" ht="20.25" customHeight="true" x14ac:dyDescent="0.2">
      <c r="C16" s="5" t="str">
        <f>HLOOKUP($A$2,nametranslations,10,FALSE)</f>
        <v>Officially reported data</v>
      </c>
    </row>
    <row xmlns:x14ac="http://schemas.microsoft.com/office/spreadsheetml/2009/9/ac" r="17" ht="20.25" customHeight="true" x14ac:dyDescent="0.2"/>
    <row xmlns:x14ac="http://schemas.microsoft.com/office/spreadsheetml/2009/9/ac" r="18" ht="40" customHeight="true" x14ac:dyDescent="0.2">
      <c r="C18" s="3" t="str">
        <f>HLOOKUP($A$2,nametranslations,12,FALSE)</f>
        <v>Calculations and results</v>
      </c>
    </row>
    <row xmlns:x14ac="http://schemas.microsoft.com/office/spreadsheetml/2009/9/ac" r="19" ht="20.25" customHeight="true" x14ac:dyDescent="0.2">
      <c r="C19" s="5"/>
    </row>
    <row xmlns:x14ac="http://schemas.microsoft.com/office/spreadsheetml/2009/9/ac" r="20" ht="20.25" customHeight="true" x14ac:dyDescent="0.2">
      <c r="C20" s="5" t="str">
        <f>HLOOKUP($A$2,nametranslations,13,FALSE)</f>
        <v>Part A: Estimation of household wastewater generated</v>
      </c>
    </row>
    <row xmlns:x14ac="http://schemas.microsoft.com/office/spreadsheetml/2009/9/ac" r="21" ht="20.25" customHeight="true" x14ac:dyDescent="0.2">
      <c r="C21" s="5" t="str">
        <f>HLOOKUP($A$2,nametranslations,14,FALSE)</f>
        <v>Part B: Estimation of household wastewater generated by sanitation facility type</v>
      </c>
    </row>
    <row xmlns:x14ac="http://schemas.microsoft.com/office/spreadsheetml/2009/9/ac" r="22" ht="20.25" customHeight="true" x14ac:dyDescent="0.2">
      <c r="C22" s="5" t="str">
        <f>HLOOKUP($A$2,nametranslations,15,FALSE)</f>
        <v>Part C: Household wastewater management chain</v>
      </c>
    </row>
    <row xmlns:x14ac="http://schemas.microsoft.com/office/spreadsheetml/2009/9/ac" r="23" ht="20.25" customHeight="true" x14ac:dyDescent="0.2">
      <c r="C23" s="5" t="str">
        <f>HLOOKUP($A$2,nametranslations,16,FALSE)</f>
        <v>Part D: Estimation of household wastewater delivered to treatment facilities</v>
      </c>
    </row>
    <row xmlns:x14ac="http://schemas.microsoft.com/office/spreadsheetml/2009/9/ac" r="24" ht="20.25" customHeight="true" x14ac:dyDescent="0.2">
      <c r="C24" s="5" t="str">
        <f>HLOOKUP($A$2,nametranslations,17,FALSE)</f>
        <v>Part E: Estimation of household wastewater safely treated</v>
      </c>
    </row>
    <row xmlns:x14ac="http://schemas.microsoft.com/office/spreadsheetml/2009/9/ac" r="25" x14ac:dyDescent="0.2">
      <c r="C25" s="1"/>
    </row>
    <row xmlns:x14ac="http://schemas.microsoft.com/office/spreadsheetml/2009/9/ac" r="26" x14ac:dyDescent="0.2">
      <c r="C26" s="1"/>
    </row>
    <row xmlns:x14ac="http://schemas.microsoft.com/office/spreadsheetml/2009/9/ac" r="27" x14ac:dyDescent="0.2">
      <c r="C27" s="1"/>
    </row>
    <row xmlns:x14ac="http://schemas.microsoft.com/office/spreadsheetml/2009/9/ac" r="28" x14ac:dyDescent="0.2">
      <c r="C28" s="1"/>
    </row>
    <row xmlns:x14ac="http://schemas.microsoft.com/office/spreadsheetml/2009/9/ac" r="29" x14ac:dyDescent="0.2">
      <c r="C29" s="1"/>
    </row>
    <row xmlns:x14ac="http://schemas.microsoft.com/office/spreadsheetml/2009/9/ac" r="30" x14ac:dyDescent="0.2">
      <c r="C30" s="1"/>
    </row>
    <row xmlns:x14ac="http://schemas.microsoft.com/office/spreadsheetml/2009/9/ac" r="31" x14ac:dyDescent="0.2">
      <c r="C31" s="1"/>
    </row>
    <row xmlns:x14ac="http://schemas.microsoft.com/office/spreadsheetml/2009/9/ac" r="32" x14ac:dyDescent="0.2">
      <c r="C32" s="1"/>
    </row>
    <row xmlns:x14ac="http://schemas.microsoft.com/office/spreadsheetml/2009/9/ac" r="33" x14ac:dyDescent="0.2">
      <c r="C33" s="1"/>
    </row>
    <row xmlns:x14ac="http://schemas.microsoft.com/office/spreadsheetml/2009/9/ac" r="34" x14ac:dyDescent="0.2">
      <c r="C34" s="1"/>
    </row>
  </sheetData>
  <hyperlinks>
    <hyperlink ref="C20" location="'A- Generated'!A1" display="Part A: Household wastewater generated"/>
    <hyperlink ref="C11" location="Guidance!A1" display="Guidance"/>
    <hyperlink ref="C16" location="'Data inputs (reported)'!A1" display="'Data inputs (reported)'!A1"/>
    <hyperlink ref="C15" location="'Data inputs (all)'!A1" display="'Data inputs (all)'!A1"/>
    <hyperlink ref="C21:C24" location="'A- Generated'!A1" display="Part A: Household wastewater generated"/>
  </hyperlinks>
  <pageMargins left="0.7" right="0.7" top="0.75" bottom="0.75" header="0.3" footer="0.3"/>
  <pageSetup paperSize="9" scale="62" orientation="portrait" horizontalDpi="300" verticalDpi="300" r:id="rId1"/>
  <headerFooter scaleWithDoc="false" alignWithMargins="false">
    <oddHeader>&amp;CPRELIMINARY COUNTRY FILE</oddHeader>
    <oddFooter>&amp;LTAB: &amp;A&amp;RLast update: September 2018</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7843B669-98C5-2D44-94F6-08F8DE3FBDA1}">
          <x14:formula1>
            <xm:f>_Translation!$J$2:$J$8</xm:f>
          </x14:formula1>
          <xm:sqref>A2</xm:sqref>
        </x14:dataValidation>
      </x14:dataValidations>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fitToPage="true"/>
  </sheetPr>
  <dimension ref="A1:M41"/>
  <sheetViews>
    <sheetView zoomScaleNormal="100" workbookViewId="0"/>
  </sheetViews>
  <sheetFormatPr xmlns:x14ac="http://schemas.microsoft.com/office/spreadsheetml/2009/9/ac" baseColWidth="10" defaultColWidth="7.7109375" defaultRowHeight="16" x14ac:dyDescent="0.2"/>
  <cols>
    <col min="1" max="1" width="16.42578125" bestFit="true" customWidth="true"/>
    <col min="2" max="2" width="11.85546875" bestFit="true" customWidth="true"/>
    <col min="3" max="3" width="8" bestFit="true" customWidth="true"/>
    <col min="4" max="4" width="80.7109375" bestFit="true" customWidth="true"/>
    <col min="5" max="5" width="18.140625" bestFit="true" customWidth="true"/>
    <col min="6" max="6" width="7" bestFit="true" customWidth="true"/>
    <col min="7" max="7" width="13.42578125" bestFit="true" customWidth="true"/>
    <col min="8" max="8" width="7.140625" bestFit="true" customWidth="true"/>
    <col min="9" max="9" width="5" bestFit="true" customWidth="true"/>
    <col min="10" max="10" width="4.140625" bestFit="true" customWidth="true"/>
    <col min="11" max="11" width="100.42578125" bestFit="true" customWidth="true"/>
    <col min="12" max="12" width="11.42578125" bestFit="true" customWidth="true"/>
    <col min="13" max="13" width="255.7109375" bestFit="true" customWidth="true"/>
  </cols>
  <sheetData>
    <row r="1">
      <c r="A1" t="s">
        <v>2255</v>
      </c>
      <c r="B1" t="s">
        <v>99</v>
      </c>
      <c r="C1" t="s">
        <v>16</v>
      </c>
      <c r="D1" t="s">
        <v>17</v>
      </c>
      <c r="E1" t="s">
        <v>129</v>
      </c>
      <c r="F1" t="s">
        <v>9</v>
      </c>
      <c r="G1" t="s">
        <v>7</v>
      </c>
      <c r="H1" t="s">
        <v>10</v>
      </c>
      <c r="I1" t="s">
        <v>2297</v>
      </c>
      <c r="J1" t="s">
        <v>82</v>
      </c>
      <c r="K1" t="s">
        <v>12</v>
      </c>
      <c r="L1" t="s">
        <v>86</v>
      </c>
      <c r="M1" t="s">
        <v>13</v>
      </c>
    </row>
    <row xmlns:x14ac="http://schemas.microsoft.com/office/spreadsheetml/2009/9/ac" r="2" x14ac:dyDescent="0.2">
      <c r="A2" t="s">
        <v>1388</v>
      </c>
      <c r="B2" s="6" t="s">
        <v>1387</v>
      </c>
      <c r="C2" s="91">
        <v>1</v>
      </c>
      <c r="D2" t="s">
        <v>130</v>
      </c>
      <c r="E2" t="s">
        <v>2256</v>
      </c>
      <c r="F2" s="91">
        <v>20592.571</v>
      </c>
      <c r="G2" t="s">
        <v>2101</v>
      </c>
      <c r="H2" t="s">
        <v>193</v>
      </c>
      <c r="I2" s="91">
        <v>2024</v>
      </c>
      <c r="J2" t="s">
        <v>83</v>
      </c>
      <c r="K2" t="s">
        <v>2298</v>
      </c>
      <c r="L2" t="s">
        <v>190</v>
      </c>
      <c r="M2" t="s">
        <v>190</v>
      </c>
    </row>
    <row r="3">
      <c r="A3" t="s">
        <v>1388</v>
      </c>
      <c r="B3" t="s">
        <v>1387</v>
      </c>
      <c r="C3" s="91">
        <v>2</v>
      </c>
      <c r="D3" t="s">
        <v>131</v>
      </c>
      <c r="E3" t="s">
        <v>2257</v>
      </c>
      <c r="F3" s="91">
        <v>91.545418233573599</v>
      </c>
      <c r="G3" t="s">
        <v>80</v>
      </c>
      <c r="H3" t="s">
        <v>193</v>
      </c>
      <c r="I3" s="91">
        <v>2024</v>
      </c>
      <c r="J3" t="s">
        <v>83</v>
      </c>
      <c r="K3" t="s">
        <v>2299</v>
      </c>
      <c r="L3" t="s">
        <v>190</v>
      </c>
      <c r="M3" t="s">
        <v>190</v>
      </c>
    </row>
    <row r="4">
      <c r="A4" t="s">
        <v>1388</v>
      </c>
      <c r="B4" t="s">
        <v>1387</v>
      </c>
      <c r="C4" s="91">
        <v>3</v>
      </c>
      <c r="D4" t="s">
        <v>132</v>
      </c>
      <c r="E4" t="s">
        <v>2258</v>
      </c>
      <c r="F4" s="91">
        <v>8.4545822143554688</v>
      </c>
      <c r="G4" t="s">
        <v>80</v>
      </c>
      <c r="H4" t="s">
        <v>193</v>
      </c>
      <c r="I4" s="91">
        <v>2024</v>
      </c>
      <c r="J4" t="s">
        <v>83</v>
      </c>
      <c r="K4" t="s">
        <v>2299</v>
      </c>
      <c r="L4" t="s">
        <v>190</v>
      </c>
      <c r="M4" t="s">
        <v>190</v>
      </c>
    </row>
    <row r="5">
      <c r="A5" t="s">
        <v>1388</v>
      </c>
      <c r="B5" t="s">
        <v>1387</v>
      </c>
      <c r="C5" s="91">
        <v>4</v>
      </c>
      <c r="D5" t="s">
        <v>151</v>
      </c>
      <c r="E5" t="s">
        <v>2259</v>
      </c>
      <c r="F5" s="91">
        <v>120</v>
      </c>
      <c r="G5" t="s">
        <v>89</v>
      </c>
      <c r="H5" t="s">
        <v>81</v>
      </c>
      <c r="I5" s="91">
        <v>2024</v>
      </c>
      <c r="J5" t="s">
        <v>83</v>
      </c>
      <c r="K5" t="s">
        <v>2300</v>
      </c>
      <c r="L5" t="s">
        <v>190</v>
      </c>
      <c r="M5" t="s">
        <v>190</v>
      </c>
    </row>
    <row r="6">
      <c r="A6" t="s">
        <v>1388</v>
      </c>
      <c r="B6" t="s">
        <v>1387</v>
      </c>
      <c r="C6" s="91">
        <v>5</v>
      </c>
      <c r="D6" t="s">
        <v>152</v>
      </c>
      <c r="E6" t="s">
        <v>2260</v>
      </c>
      <c r="F6" s="91">
        <v>20</v>
      </c>
      <c r="G6" t="s">
        <v>89</v>
      </c>
      <c r="H6" t="s">
        <v>81</v>
      </c>
      <c r="I6" s="91">
        <v>2024</v>
      </c>
      <c r="J6" t="s">
        <v>83</v>
      </c>
      <c r="K6" t="s">
        <v>2300</v>
      </c>
      <c r="L6" t="s">
        <v>190</v>
      </c>
      <c r="M6" t="s">
        <v>190</v>
      </c>
    </row>
    <row r="7">
      <c r="A7" t="s">
        <v>1388</v>
      </c>
      <c r="B7" t="s">
        <v>1387</v>
      </c>
      <c r="C7" s="91">
        <v>6</v>
      </c>
      <c r="D7" t="s">
        <v>145</v>
      </c>
      <c r="E7" t="s">
        <v>2261</v>
      </c>
      <c r="F7" s="91">
        <v>838.40753173828125</v>
      </c>
      <c r="G7" t="s">
        <v>101</v>
      </c>
      <c r="H7" t="s">
        <v>5</v>
      </c>
      <c r="I7" s="91">
        <v>2024</v>
      </c>
      <c r="J7" t="s">
        <v>83</v>
      </c>
      <c r="K7" t="s">
        <v>190</v>
      </c>
      <c r="L7" t="s">
        <v>190</v>
      </c>
      <c r="M7" t="s">
        <v>190</v>
      </c>
    </row>
    <row r="8">
      <c r="A8" t="s">
        <v>1388</v>
      </c>
      <c r="B8" t="s">
        <v>1387</v>
      </c>
      <c r="C8" s="91">
        <v>7</v>
      </c>
      <c r="D8" t="s">
        <v>103</v>
      </c>
      <c r="E8" t="s">
        <v>2262</v>
      </c>
      <c r="F8" s="91">
        <v>80</v>
      </c>
      <c r="G8" t="s">
        <v>80</v>
      </c>
      <c r="H8" t="s">
        <v>81</v>
      </c>
      <c r="I8" s="91">
        <v>2024</v>
      </c>
      <c r="J8" t="s">
        <v>83</v>
      </c>
      <c r="K8" t="s">
        <v>2300</v>
      </c>
      <c r="L8" t="s">
        <v>190</v>
      </c>
      <c r="M8" t="s">
        <v>190</v>
      </c>
    </row>
    <row r="9">
      <c r="A9" t="s">
        <v>1388</v>
      </c>
      <c r="B9" t="s">
        <v>1387</v>
      </c>
      <c r="C9" s="91">
        <v>8</v>
      </c>
      <c r="D9" t="s">
        <v>144</v>
      </c>
      <c r="E9" t="s">
        <v>2263</v>
      </c>
      <c r="F9" s="91">
        <v>609.00250244140625</v>
      </c>
      <c r="G9" t="s">
        <v>101</v>
      </c>
      <c r="H9" t="s">
        <v>2296</v>
      </c>
      <c r="I9" s="91">
        <v>2021</v>
      </c>
      <c r="J9" t="s">
        <v>83</v>
      </c>
      <c r="K9" t="s">
        <v>2301</v>
      </c>
      <c r="L9" t="s">
        <v>2303</v>
      </c>
      <c r="M9" t="s">
        <v>2305</v>
      </c>
    </row>
    <row r="10">
      <c r="A10" t="s">
        <v>1388</v>
      </c>
      <c r="B10" t="s">
        <v>1387</v>
      </c>
      <c r="C10" s="91">
        <v>9</v>
      </c>
      <c r="D10" t="s">
        <v>138</v>
      </c>
      <c r="E10" t="s">
        <v>2264</v>
      </c>
      <c r="F10" s="91">
        <v>37.005531736507862</v>
      </c>
      <c r="G10" t="s">
        <v>80</v>
      </c>
      <c r="H10" t="s">
        <v>193</v>
      </c>
      <c r="I10" s="91">
        <v>2024</v>
      </c>
      <c r="J10" t="s">
        <v>83</v>
      </c>
      <c r="K10" t="s">
        <v>2299</v>
      </c>
      <c r="L10" t="s">
        <v>190</v>
      </c>
      <c r="M10" t="s">
        <v>190</v>
      </c>
    </row>
    <row r="11">
      <c r="A11" t="s">
        <v>1388</v>
      </c>
      <c r="B11" t="s">
        <v>1387</v>
      </c>
      <c r="C11" s="91">
        <v>10</v>
      </c>
      <c r="D11" t="s">
        <v>73</v>
      </c>
      <c r="E11" t="s">
        <v>2265</v>
      </c>
      <c r="F11" s="91">
        <v>8.6255903601610182</v>
      </c>
      <c r="G11" t="s">
        <v>80</v>
      </c>
      <c r="H11" t="s">
        <v>193</v>
      </c>
      <c r="I11" s="91">
        <v>2024</v>
      </c>
      <c r="J11" t="s">
        <v>83</v>
      </c>
      <c r="K11" t="s">
        <v>2299</v>
      </c>
      <c r="L11" t="s">
        <v>190</v>
      </c>
      <c r="M11" t="s">
        <v>190</v>
      </c>
    </row>
    <row r="12">
      <c r="A12" t="s">
        <v>1388</v>
      </c>
      <c r="B12" t="s">
        <v>1387</v>
      </c>
      <c r="C12" s="91">
        <v>11</v>
      </c>
      <c r="D12" t="s">
        <v>74</v>
      </c>
      <c r="E12" t="s">
        <v>2266</v>
      </c>
      <c r="F12" s="91">
        <v>54.368879307053369</v>
      </c>
      <c r="G12" t="s">
        <v>80</v>
      </c>
      <c r="H12" t="s">
        <v>193</v>
      </c>
      <c r="I12" s="91">
        <v>2024</v>
      </c>
      <c r="J12" t="s">
        <v>83</v>
      </c>
      <c r="K12" t="s">
        <v>2299</v>
      </c>
      <c r="L12" t="s">
        <v>190</v>
      </c>
      <c r="M12" t="s">
        <v>190</v>
      </c>
    </row>
    <row r="13">
      <c r="A13" t="s">
        <v>1388</v>
      </c>
      <c r="B13" t="s">
        <v>1387</v>
      </c>
      <c r="C13" s="91">
        <v>12</v>
      </c>
      <c r="D13" t="s">
        <v>75</v>
      </c>
      <c r="E13" t="s">
        <v>2267</v>
      </c>
      <c r="F13" s="91">
        <v>0</v>
      </c>
      <c r="G13" t="s">
        <v>80</v>
      </c>
      <c r="H13" t="s">
        <v>193</v>
      </c>
      <c r="I13" s="91">
        <v>2024</v>
      </c>
      <c r="J13" t="s">
        <v>83</v>
      </c>
      <c r="K13" t="s">
        <v>2299</v>
      </c>
      <c r="L13" t="s">
        <v>190</v>
      </c>
      <c r="M13" t="s">
        <v>190</v>
      </c>
    </row>
    <row r="14">
      <c r="A14" t="s">
        <v>1388</v>
      </c>
      <c r="B14" t="s">
        <v>1387</v>
      </c>
      <c r="C14" s="91">
        <v>13</v>
      </c>
      <c r="D14" t="s">
        <v>76</v>
      </c>
      <c r="E14" t="s">
        <v>2268</v>
      </c>
      <c r="F14" s="91">
        <v>0</v>
      </c>
      <c r="G14" t="s">
        <v>80</v>
      </c>
      <c r="H14" t="s">
        <v>193</v>
      </c>
      <c r="I14" s="91">
        <v>2024</v>
      </c>
      <c r="J14" t="s">
        <v>83</v>
      </c>
      <c r="K14" t="s">
        <v>2299</v>
      </c>
      <c r="L14" t="s">
        <v>190</v>
      </c>
      <c r="M14" t="s">
        <v>190</v>
      </c>
    </row>
    <row r="15">
      <c r="A15" t="s">
        <v>1388</v>
      </c>
      <c r="B15" t="s">
        <v>1387</v>
      </c>
      <c r="C15" s="91">
        <v>14</v>
      </c>
      <c r="D15" t="s">
        <v>139</v>
      </c>
      <c r="E15" t="s">
        <v>2269</v>
      </c>
      <c r="F15" s="91">
        <v>225.36460876464844</v>
      </c>
      <c r="G15" t="s">
        <v>101</v>
      </c>
      <c r="H15" t="s">
        <v>5</v>
      </c>
      <c r="I15" s="91">
        <v>2024</v>
      </c>
      <c r="J15" t="s">
        <v>83</v>
      </c>
      <c r="K15" t="s">
        <v>190</v>
      </c>
      <c r="L15" t="s">
        <v>190</v>
      </c>
      <c r="M15" t="s">
        <v>190</v>
      </c>
    </row>
    <row r="16">
      <c r="A16" t="s">
        <v>1388</v>
      </c>
      <c r="B16" t="s">
        <v>1387</v>
      </c>
      <c r="C16" s="91">
        <v>15</v>
      </c>
      <c r="D16" t="s">
        <v>140</v>
      </c>
      <c r="E16" t="s">
        <v>2270</v>
      </c>
      <c r="F16" s="91">
        <v>52.530059814453125</v>
      </c>
      <c r="G16" t="s">
        <v>101</v>
      </c>
      <c r="H16" t="s">
        <v>5</v>
      </c>
      <c r="I16" s="91">
        <v>2024</v>
      </c>
      <c r="J16" t="s">
        <v>83</v>
      </c>
      <c r="K16" t="s">
        <v>190</v>
      </c>
      <c r="L16" t="s">
        <v>190</v>
      </c>
      <c r="M16" t="s">
        <v>190</v>
      </c>
    </row>
    <row r="17">
      <c r="A17" t="s">
        <v>1388</v>
      </c>
      <c r="B17" t="s">
        <v>1387</v>
      </c>
      <c r="C17" s="91">
        <v>16</v>
      </c>
      <c r="D17" t="s">
        <v>141</v>
      </c>
      <c r="E17" t="s">
        <v>2271</v>
      </c>
      <c r="F17" s="91">
        <v>331.10784912109375</v>
      </c>
      <c r="G17" t="s">
        <v>101</v>
      </c>
      <c r="H17" t="s">
        <v>5</v>
      </c>
      <c r="I17" s="91">
        <v>2024</v>
      </c>
      <c r="J17" t="s">
        <v>83</v>
      </c>
      <c r="K17" t="s">
        <v>190</v>
      </c>
      <c r="L17" t="s">
        <v>190</v>
      </c>
      <c r="M17" t="s">
        <v>190</v>
      </c>
    </row>
    <row r="18">
      <c r="A18" t="s">
        <v>1388</v>
      </c>
      <c r="B18" t="s">
        <v>1387</v>
      </c>
      <c r="C18" s="91">
        <v>17</v>
      </c>
      <c r="D18" t="s">
        <v>142</v>
      </c>
      <c r="E18" t="s">
        <v>2272</v>
      </c>
      <c r="F18" s="91">
        <v>0</v>
      </c>
      <c r="G18" t="s">
        <v>101</v>
      </c>
      <c r="H18" t="s">
        <v>5</v>
      </c>
      <c r="I18" s="91">
        <v>2024</v>
      </c>
      <c r="J18" t="s">
        <v>83</v>
      </c>
      <c r="K18" t="s">
        <v>190</v>
      </c>
      <c r="L18" t="s">
        <v>190</v>
      </c>
      <c r="M18" t="s">
        <v>190</v>
      </c>
    </row>
    <row r="19">
      <c r="A19" t="s">
        <v>1388</v>
      </c>
      <c r="B19" t="s">
        <v>1387</v>
      </c>
      <c r="C19" s="91">
        <v>18</v>
      </c>
      <c r="D19" t="s">
        <v>143</v>
      </c>
      <c r="E19" t="s">
        <v>2273</v>
      </c>
      <c r="F19" s="91">
        <v>0</v>
      </c>
      <c r="G19" t="s">
        <v>101</v>
      </c>
      <c r="H19" t="s">
        <v>5</v>
      </c>
      <c r="I19" s="91">
        <v>2024</v>
      </c>
      <c r="J19" t="s">
        <v>83</v>
      </c>
      <c r="K19" t="s">
        <v>190</v>
      </c>
      <c r="L19" t="s">
        <v>190</v>
      </c>
      <c r="M19" t="s">
        <v>190</v>
      </c>
    </row>
    <row r="20">
      <c r="A20" t="s">
        <v>1388</v>
      </c>
      <c r="B20" t="s">
        <v>1387</v>
      </c>
      <c r="C20" s="91">
        <v>19</v>
      </c>
      <c r="D20" t="s">
        <v>2102</v>
      </c>
      <c r="E20" t="s">
        <v>2274</v>
      </c>
      <c r="F20" s="91">
        <v>73.976219177246094</v>
      </c>
      <c r="G20" t="s">
        <v>80</v>
      </c>
      <c r="H20" t="s">
        <v>2296</v>
      </c>
      <c r="I20" s="91">
        <v>2021</v>
      </c>
      <c r="J20" t="s">
        <v>83</v>
      </c>
      <c r="K20" t="s">
        <v>2301</v>
      </c>
      <c r="L20" t="s">
        <v>2303</v>
      </c>
      <c r="M20" t="s">
        <v>2306</v>
      </c>
    </row>
    <row r="21">
      <c r="A21" t="s">
        <v>1388</v>
      </c>
      <c r="B21" t="s">
        <v>1387</v>
      </c>
      <c r="C21" s="91">
        <v>20</v>
      </c>
      <c r="D21" t="s">
        <v>2103</v>
      </c>
      <c r="E21" t="s">
        <v>2275</v>
      </c>
      <c r="F21" s="91">
        <v>95.289696122646618</v>
      </c>
      <c r="G21" t="s">
        <v>80</v>
      </c>
      <c r="H21" t="s">
        <v>2296</v>
      </c>
      <c r="I21" s="91">
        <v>2023</v>
      </c>
      <c r="J21" t="s">
        <v>83</v>
      </c>
      <c r="K21" t="s">
        <v>2302</v>
      </c>
      <c r="L21" t="s">
        <v>2304</v>
      </c>
      <c r="M21" t="s">
        <v>2307</v>
      </c>
    </row>
    <row r="22">
      <c r="A22" t="s">
        <v>1388</v>
      </c>
      <c r="B22" t="s">
        <v>1387</v>
      </c>
      <c r="C22" s="91">
        <v>21</v>
      </c>
      <c r="D22" t="s">
        <v>2104</v>
      </c>
      <c r="E22" t="s">
        <v>2276</v>
      </c>
      <c r="F22" s="91">
        <v>50</v>
      </c>
      <c r="G22" t="s">
        <v>80</v>
      </c>
      <c r="H22" t="s">
        <v>81</v>
      </c>
      <c r="I22" s="91">
        <v>2024</v>
      </c>
      <c r="J22" t="s">
        <v>83</v>
      </c>
      <c r="K22" t="s">
        <v>2300</v>
      </c>
      <c r="L22" t="s">
        <v>190</v>
      </c>
      <c r="M22" t="s">
        <v>190</v>
      </c>
    </row>
    <row r="23">
      <c r="A23" t="s">
        <v>1388</v>
      </c>
      <c r="B23" t="s">
        <v>1387</v>
      </c>
      <c r="C23" s="91">
        <v>22</v>
      </c>
      <c r="D23" t="s">
        <v>2125</v>
      </c>
      <c r="E23" t="s">
        <v>2277</v>
      </c>
      <c r="F23" s="91">
        <v>50</v>
      </c>
      <c r="G23" t="s">
        <v>80</v>
      </c>
      <c r="H23" t="s">
        <v>81</v>
      </c>
      <c r="I23" s="91">
        <v>2024</v>
      </c>
      <c r="J23" t="s">
        <v>83</v>
      </c>
      <c r="K23" t="s">
        <v>2300</v>
      </c>
      <c r="L23" t="s">
        <v>190</v>
      </c>
      <c r="M23" t="s">
        <v>190</v>
      </c>
    </row>
    <row r="24">
      <c r="A24" t="s">
        <v>1388</v>
      </c>
      <c r="B24" t="s">
        <v>1387</v>
      </c>
      <c r="C24" s="91">
        <v>23</v>
      </c>
      <c r="D24" t="s">
        <v>179</v>
      </c>
      <c r="E24" t="s">
        <v>2278</v>
      </c>
      <c r="F24" s="91">
        <v>0</v>
      </c>
      <c r="G24" t="s">
        <v>80</v>
      </c>
      <c r="H24" t="s">
        <v>81</v>
      </c>
      <c r="I24" s="91">
        <v>2024</v>
      </c>
      <c r="J24" t="s">
        <v>83</v>
      </c>
      <c r="K24" t="s">
        <v>2300</v>
      </c>
      <c r="L24" t="s">
        <v>190</v>
      </c>
      <c r="M24" t="s">
        <v>190</v>
      </c>
    </row>
    <row r="25">
      <c r="A25" t="s">
        <v>1388</v>
      </c>
      <c r="B25" t="s">
        <v>1387</v>
      </c>
      <c r="C25" s="91">
        <v>24</v>
      </c>
      <c r="D25" t="s">
        <v>2126</v>
      </c>
      <c r="E25" t="s">
        <v>2279</v>
      </c>
      <c r="F25" s="91">
        <v>0</v>
      </c>
      <c r="G25" t="s">
        <v>80</v>
      </c>
      <c r="H25" t="s">
        <v>81</v>
      </c>
      <c r="I25" s="91">
        <v>2024</v>
      </c>
      <c r="J25" t="s">
        <v>83</v>
      </c>
      <c r="K25" t="s">
        <v>2300</v>
      </c>
      <c r="L25" t="s">
        <v>190</v>
      </c>
      <c r="M25" t="s">
        <v>190</v>
      </c>
    </row>
    <row r="26">
      <c r="A26" t="s">
        <v>1388</v>
      </c>
      <c r="B26" t="s">
        <v>1387</v>
      </c>
      <c r="C26" s="91">
        <v>25</v>
      </c>
      <c r="D26" t="s">
        <v>178</v>
      </c>
      <c r="E26" t="s">
        <v>2280</v>
      </c>
      <c r="F26" s="91">
        <v>50</v>
      </c>
      <c r="G26" t="s">
        <v>80</v>
      </c>
      <c r="H26" t="s">
        <v>81</v>
      </c>
      <c r="I26" s="91">
        <v>2024</v>
      </c>
      <c r="J26" t="s">
        <v>83</v>
      </c>
      <c r="K26" t="s">
        <v>2300</v>
      </c>
      <c r="L26" t="s">
        <v>190</v>
      </c>
      <c r="M26" t="s">
        <v>190</v>
      </c>
    </row>
    <row r="27">
      <c r="A27" t="s">
        <v>1388</v>
      </c>
      <c r="B27" t="s">
        <v>1387</v>
      </c>
      <c r="C27" s="91">
        <v>26</v>
      </c>
      <c r="D27" t="s">
        <v>185</v>
      </c>
      <c r="E27" t="s">
        <v>2281</v>
      </c>
      <c r="F27" s="91">
        <v>50</v>
      </c>
      <c r="G27" t="s">
        <v>80</v>
      </c>
      <c r="H27" t="s">
        <v>81</v>
      </c>
      <c r="I27" s="91">
        <v>2024</v>
      </c>
      <c r="J27" t="s">
        <v>83</v>
      </c>
      <c r="K27" t="s">
        <v>2300</v>
      </c>
      <c r="L27" t="s">
        <v>190</v>
      </c>
      <c r="M27" t="s">
        <v>190</v>
      </c>
    </row>
    <row r="28">
      <c r="A28" t="s">
        <v>1388</v>
      </c>
      <c r="B28" t="s">
        <v>1387</v>
      </c>
      <c r="C28" s="91">
        <v>27</v>
      </c>
      <c r="D28" t="s">
        <v>2105</v>
      </c>
      <c r="E28" t="s">
        <v>2282</v>
      </c>
      <c r="F28" s="91">
        <v>100</v>
      </c>
      <c r="G28" t="s">
        <v>80</v>
      </c>
      <c r="H28" t="s">
        <v>81</v>
      </c>
      <c r="I28" s="91">
        <v>2024</v>
      </c>
      <c r="J28" t="s">
        <v>83</v>
      </c>
      <c r="K28" t="s">
        <v>2300</v>
      </c>
      <c r="L28" t="s">
        <v>190</v>
      </c>
      <c r="M28" t="s">
        <v>190</v>
      </c>
    </row>
    <row r="29">
      <c r="A29" t="s">
        <v>1388</v>
      </c>
      <c r="B29" t="s">
        <v>1387</v>
      </c>
      <c r="C29" s="91">
        <v>28</v>
      </c>
      <c r="D29" t="s">
        <v>2106</v>
      </c>
      <c r="E29" t="s">
        <v>2283</v>
      </c>
      <c r="F29" s="91">
        <v>95.289696122646618</v>
      </c>
      <c r="G29" t="s">
        <v>80</v>
      </c>
      <c r="H29" t="s">
        <v>81</v>
      </c>
      <c r="I29" s="91">
        <v>2024</v>
      </c>
      <c r="J29" t="s">
        <v>83</v>
      </c>
      <c r="K29" t="s">
        <v>2300</v>
      </c>
      <c r="L29" t="s">
        <v>190</v>
      </c>
      <c r="M29" t="s">
        <v>2308</v>
      </c>
    </row>
    <row r="30">
      <c r="A30" t="s">
        <v>1388</v>
      </c>
      <c r="B30" t="s">
        <v>1387</v>
      </c>
      <c r="C30" s="91">
        <v>29</v>
      </c>
      <c r="D30" t="s">
        <v>2107</v>
      </c>
      <c r="E30" t="s">
        <v>2284</v>
      </c>
      <c r="F30" s="91">
        <v>166.71621704101563</v>
      </c>
      <c r="G30" t="s">
        <v>101</v>
      </c>
      <c r="H30" t="s">
        <v>5</v>
      </c>
      <c r="I30" s="91">
        <v>2024</v>
      </c>
      <c r="J30" t="s">
        <v>83</v>
      </c>
      <c r="K30" t="s">
        <v>190</v>
      </c>
      <c r="L30" t="s">
        <v>190</v>
      </c>
      <c r="M30" t="s">
        <v>190</v>
      </c>
    </row>
    <row r="31">
      <c r="A31" t="s">
        <v>1388</v>
      </c>
      <c r="B31" t="s">
        <v>1387</v>
      </c>
      <c r="C31" s="91">
        <v>30</v>
      </c>
      <c r="D31" t="s">
        <v>2108</v>
      </c>
      <c r="E31" t="s">
        <v>2285</v>
      </c>
      <c r="F31" s="91">
        <v>13.132514953613281</v>
      </c>
      <c r="G31" t="s">
        <v>101</v>
      </c>
      <c r="H31" t="s">
        <v>5</v>
      </c>
      <c r="I31" s="91">
        <v>2024</v>
      </c>
      <c r="J31" t="s">
        <v>83</v>
      </c>
      <c r="K31" t="s">
        <v>190</v>
      </c>
      <c r="L31" t="s">
        <v>190</v>
      </c>
      <c r="M31" t="s">
        <v>190</v>
      </c>
    </row>
    <row r="32">
      <c r="A32" t="s">
        <v>1388</v>
      </c>
      <c r="B32" t="s">
        <v>1387</v>
      </c>
      <c r="C32" s="91">
        <v>31</v>
      </c>
      <c r="D32" t="s">
        <v>2109</v>
      </c>
      <c r="E32" t="s">
        <v>2286</v>
      </c>
      <c r="F32" s="91">
        <v>13.132514953613281</v>
      </c>
      <c r="G32" t="s">
        <v>101</v>
      </c>
      <c r="H32" t="s">
        <v>5</v>
      </c>
      <c r="I32" s="91">
        <v>2024</v>
      </c>
      <c r="J32" t="s">
        <v>83</v>
      </c>
      <c r="K32" t="s">
        <v>190</v>
      </c>
      <c r="L32" t="s">
        <v>190</v>
      </c>
      <c r="M32" t="s">
        <v>190</v>
      </c>
    </row>
    <row r="33">
      <c r="A33" t="s">
        <v>1388</v>
      </c>
      <c r="B33" t="s">
        <v>1387</v>
      </c>
      <c r="C33" s="91">
        <v>32</v>
      </c>
      <c r="D33" t="s">
        <v>2110</v>
      </c>
      <c r="E33" t="s">
        <v>2287</v>
      </c>
      <c r="F33" s="91">
        <v>192.98124694824219</v>
      </c>
      <c r="G33" t="s">
        <v>101</v>
      </c>
      <c r="H33" t="s">
        <v>5</v>
      </c>
      <c r="I33" s="91">
        <v>2024</v>
      </c>
      <c r="J33" t="s">
        <v>83</v>
      </c>
      <c r="K33" t="s">
        <v>190</v>
      </c>
      <c r="L33" t="s">
        <v>190</v>
      </c>
      <c r="M33" t="s">
        <v>190</v>
      </c>
    </row>
    <row r="34">
      <c r="A34" t="s">
        <v>1388</v>
      </c>
      <c r="B34" t="s">
        <v>1387</v>
      </c>
      <c r="C34" s="91">
        <v>33</v>
      </c>
      <c r="D34" t="s">
        <v>167</v>
      </c>
      <c r="E34" t="s">
        <v>2288</v>
      </c>
      <c r="F34" s="91">
        <v>158.86337280273438</v>
      </c>
      <c r="G34" t="s">
        <v>101</v>
      </c>
      <c r="H34" t="s">
        <v>5</v>
      </c>
      <c r="I34" s="91">
        <v>2024</v>
      </c>
      <c r="J34" t="s">
        <v>83</v>
      </c>
      <c r="K34" t="s">
        <v>190</v>
      </c>
      <c r="L34" t="s">
        <v>190</v>
      </c>
      <c r="M34" t="s">
        <v>190</v>
      </c>
    </row>
    <row r="35">
      <c r="A35" t="s">
        <v>1388</v>
      </c>
      <c r="B35" t="s">
        <v>1387</v>
      </c>
      <c r="C35" s="91">
        <v>34</v>
      </c>
      <c r="D35" t="s">
        <v>2111</v>
      </c>
      <c r="E35" t="s">
        <v>2289</v>
      </c>
      <c r="F35" s="91">
        <v>12.513933181762695</v>
      </c>
      <c r="G35" t="s">
        <v>101</v>
      </c>
      <c r="H35" t="s">
        <v>5</v>
      </c>
      <c r="I35" s="91">
        <v>2024</v>
      </c>
      <c r="J35" t="s">
        <v>83</v>
      </c>
      <c r="K35" t="s">
        <v>190</v>
      </c>
      <c r="L35" t="s">
        <v>190</v>
      </c>
      <c r="M35" t="s">
        <v>190</v>
      </c>
    </row>
    <row r="36">
      <c r="A36" t="s">
        <v>1388</v>
      </c>
      <c r="B36" t="s">
        <v>1387</v>
      </c>
      <c r="C36" s="91">
        <v>35</v>
      </c>
      <c r="D36" t="s">
        <v>2112</v>
      </c>
      <c r="E36" t="s">
        <v>2290</v>
      </c>
      <c r="F36" s="91">
        <v>13.132514953613281</v>
      </c>
      <c r="G36" t="s">
        <v>101</v>
      </c>
      <c r="H36" t="s">
        <v>5</v>
      </c>
      <c r="I36" s="91">
        <v>2024</v>
      </c>
      <c r="J36" t="s">
        <v>83</v>
      </c>
      <c r="K36" t="s">
        <v>190</v>
      </c>
      <c r="L36" t="s">
        <v>190</v>
      </c>
      <c r="M36" t="s">
        <v>190</v>
      </c>
    </row>
    <row r="37">
      <c r="A37" t="s">
        <v>1388</v>
      </c>
      <c r="B37" t="s">
        <v>1387</v>
      </c>
      <c r="C37" s="91">
        <v>36</v>
      </c>
      <c r="D37" t="s">
        <v>169</v>
      </c>
      <c r="E37" t="s">
        <v>2291</v>
      </c>
      <c r="F37" s="91">
        <v>184.50982666015625</v>
      </c>
      <c r="G37" t="s">
        <v>101</v>
      </c>
      <c r="H37" t="s">
        <v>5</v>
      </c>
      <c r="I37" s="91">
        <v>2024</v>
      </c>
      <c r="J37" t="s">
        <v>83</v>
      </c>
      <c r="K37" t="s">
        <v>190</v>
      </c>
      <c r="L37" t="s">
        <v>190</v>
      </c>
      <c r="M37" t="s">
        <v>190</v>
      </c>
    </row>
    <row r="38">
      <c r="A38" t="s">
        <v>1388</v>
      </c>
      <c r="B38" t="s">
        <v>1387</v>
      </c>
      <c r="C38" s="91">
        <v>37</v>
      </c>
      <c r="D38" t="s">
        <v>168</v>
      </c>
      <c r="E38" t="s">
        <v>2292</v>
      </c>
      <c r="F38" s="91">
        <v>26.085832595825195</v>
      </c>
      <c r="G38" t="s">
        <v>80</v>
      </c>
      <c r="H38" t="s">
        <v>5</v>
      </c>
      <c r="I38" s="91">
        <v>2024</v>
      </c>
      <c r="J38" t="s">
        <v>83</v>
      </c>
      <c r="K38" t="s">
        <v>190</v>
      </c>
      <c r="L38" t="s">
        <v>190</v>
      </c>
      <c r="M38" t="s">
        <v>190</v>
      </c>
    </row>
    <row r="39">
      <c r="A39" t="s">
        <v>1388</v>
      </c>
      <c r="B39" t="s">
        <v>1387</v>
      </c>
      <c r="C39" s="91">
        <v>38</v>
      </c>
      <c r="D39" t="s">
        <v>186</v>
      </c>
      <c r="E39" t="s">
        <v>2293</v>
      </c>
      <c r="F39" s="91">
        <v>2.0548245906829834</v>
      </c>
      <c r="G39" t="s">
        <v>80</v>
      </c>
      <c r="H39" t="s">
        <v>5</v>
      </c>
      <c r="I39" s="91">
        <v>2024</v>
      </c>
      <c r="J39" t="s">
        <v>83</v>
      </c>
      <c r="K39" t="s">
        <v>190</v>
      </c>
      <c r="L39" t="s">
        <v>190</v>
      </c>
      <c r="M39" t="s">
        <v>190</v>
      </c>
    </row>
    <row r="40">
      <c r="A40" t="s">
        <v>1388</v>
      </c>
      <c r="B40" t="s">
        <v>1387</v>
      </c>
      <c r="C40" s="91">
        <v>39</v>
      </c>
      <c r="D40" t="s">
        <v>187</v>
      </c>
      <c r="E40" t="s">
        <v>2294</v>
      </c>
      <c r="F40" s="91">
        <v>2.1563975811004639</v>
      </c>
      <c r="G40" t="s">
        <v>80</v>
      </c>
      <c r="H40" t="s">
        <v>5</v>
      </c>
      <c r="I40" s="91">
        <v>2024</v>
      </c>
      <c r="J40" t="s">
        <v>83</v>
      </c>
      <c r="K40" t="s">
        <v>190</v>
      </c>
      <c r="L40" t="s">
        <v>190</v>
      </c>
      <c r="M40" t="s">
        <v>190</v>
      </c>
    </row>
    <row r="41">
      <c r="A41" t="s">
        <v>1388</v>
      </c>
      <c r="B41" t="s">
        <v>1387</v>
      </c>
      <c r="C41" s="91">
        <v>40</v>
      </c>
      <c r="D41" t="s">
        <v>79</v>
      </c>
      <c r="E41" t="s">
        <v>2295</v>
      </c>
      <c r="F41" s="91">
        <v>30.297054290771484</v>
      </c>
      <c r="G41" t="s">
        <v>80</v>
      </c>
      <c r="H41" t="s">
        <v>5</v>
      </c>
      <c r="I41" s="91">
        <v>2024</v>
      </c>
      <c r="J41" t="s">
        <v>83</v>
      </c>
      <c r="K41" t="s">
        <v>190</v>
      </c>
      <c r="L41" t="s">
        <v>190</v>
      </c>
      <c r="M41" t="s">
        <v>190</v>
      </c>
    </row>
  </sheetData>
  <phoneticPr fontId="7" type="noConversion"/>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A7E585-7623-1945-8607-92AF041FADF4}">
  <sheetPr codeName="Sheet3"/>
  <dimension ref="A1:N250"/>
  <sheetViews>
    <sheetView zoomScaleNormal="100" workbookViewId="0"/>
  </sheetViews>
  <sheetFormatPr xmlns:x14ac="http://schemas.microsoft.com/office/spreadsheetml/2009/9/ac" baseColWidth="10" defaultColWidth="7.7109375" defaultRowHeight="16" x14ac:dyDescent="0.2"/>
  <sheetData>
    <row r="1">
      <c r="A1" t="s">
        <v>2255</v>
      </c>
      <c r="B1" t="s">
        <v>99</v>
      </c>
      <c r="C1" t="s">
        <v>16</v>
      </c>
      <c r="D1" t="s">
        <v>17</v>
      </c>
      <c r="E1" t="s">
        <v>129</v>
      </c>
      <c r="F1" t="s">
        <v>9</v>
      </c>
      <c r="G1" t="s">
        <v>7</v>
      </c>
      <c r="H1" t="s">
        <v>10</v>
      </c>
      <c r="I1" t="s">
        <v>2297</v>
      </c>
      <c r="J1" t="s">
        <v>82</v>
      </c>
      <c r="K1" t="s">
        <v>107</v>
      </c>
      <c r="L1" t="s">
        <v>12</v>
      </c>
      <c r="M1" t="s">
        <v>86</v>
      </c>
      <c r="N1" t="s">
        <v>13</v>
      </c>
    </row>
    <row xmlns:x14ac="http://schemas.microsoft.com/office/spreadsheetml/2009/9/ac" r="2" x14ac:dyDescent="0.2">
      <c r="A2" t="s">
        <v>1388</v>
      </c>
      <c r="B2" s="6" t="s">
        <v>1387</v>
      </c>
      <c r="C2" s="91">
        <v>8</v>
      </c>
      <c r="D2" t="s">
        <v>144</v>
      </c>
      <c r="E2" t="s">
        <v>2263</v>
      </c>
      <c r="F2" s="91">
        <v>609.00250244140625</v>
      </c>
      <c r="G2" t="s">
        <v>101</v>
      </c>
      <c r="H2" t="s">
        <v>2296</v>
      </c>
      <c r="I2" s="91">
        <v>2021</v>
      </c>
      <c r="J2" t="s">
        <v>83</v>
      </c>
      <c r="K2" t="s">
        <v>190</v>
      </c>
      <c r="L2" t="s">
        <v>2301</v>
      </c>
      <c r="M2" t="s">
        <v>2303</v>
      </c>
      <c r="N2" t="s">
        <v>2305</v>
      </c>
    </row>
    <row r="3">
      <c r="A3" t="s">
        <v>1388</v>
      </c>
      <c r="B3" t="s">
        <v>1387</v>
      </c>
      <c r="C3" s="91">
        <v>19</v>
      </c>
      <c r="D3" t="s">
        <v>2102</v>
      </c>
      <c r="E3" t="s">
        <v>2274</v>
      </c>
      <c r="F3" s="91">
        <v>73.976219177246094</v>
      </c>
      <c r="G3" t="s">
        <v>80</v>
      </c>
      <c r="H3" t="s">
        <v>2296</v>
      </c>
      <c r="I3" s="91">
        <v>2021</v>
      </c>
      <c r="J3" t="s">
        <v>83</v>
      </c>
      <c r="K3" t="s">
        <v>190</v>
      </c>
      <c r="L3" t="s">
        <v>2301</v>
      </c>
      <c r="M3" t="s">
        <v>2303</v>
      </c>
      <c r="N3" t="s">
        <v>2306</v>
      </c>
    </row>
    <row r="4">
      <c r="A4" t="s">
        <v>1388</v>
      </c>
      <c r="B4" t="s">
        <v>1387</v>
      </c>
      <c r="C4" s="91">
        <v>20</v>
      </c>
      <c r="D4" t="s">
        <v>2103</v>
      </c>
      <c r="E4" t="s">
        <v>2275</v>
      </c>
      <c r="F4" s="91">
        <v>95.289696122646618</v>
      </c>
      <c r="G4" t="s">
        <v>80</v>
      </c>
      <c r="H4" t="s">
        <v>2296</v>
      </c>
      <c r="I4" s="91">
        <v>2023</v>
      </c>
      <c r="J4" t="s">
        <v>83</v>
      </c>
      <c r="K4" t="s">
        <v>190</v>
      </c>
      <c r="L4" t="s">
        <v>2302</v>
      </c>
      <c r="M4" t="s">
        <v>2304</v>
      </c>
      <c r="N4" t="s">
        <v>2307</v>
      </c>
    </row>
    <row r="5">
      <c r="A5" t="s">
        <v>1388</v>
      </c>
      <c r="B5" t="s">
        <v>1387</v>
      </c>
      <c r="C5" s="91">
        <v>8</v>
      </c>
      <c r="D5" t="s">
        <v>144</v>
      </c>
      <c r="E5" t="s">
        <v>2263</v>
      </c>
      <c r="F5" s="91">
        <v>463.29000000000002</v>
      </c>
      <c r="G5" t="s">
        <v>101</v>
      </c>
      <c r="H5" t="s">
        <v>2296</v>
      </c>
      <c r="I5" s="91">
        <v>2014</v>
      </c>
      <c r="J5" t="s">
        <v>84</v>
      </c>
      <c r="K5" t="s">
        <v>180</v>
      </c>
      <c r="L5" t="s">
        <v>2301</v>
      </c>
      <c r="M5" t="s">
        <v>2311</v>
      </c>
      <c r="N5" t="s">
        <v>2305</v>
      </c>
    </row>
    <row r="6">
      <c r="A6" t="s">
        <v>1388</v>
      </c>
      <c r="B6" t="s">
        <v>1387</v>
      </c>
      <c r="C6" s="91">
        <v>8</v>
      </c>
      <c r="D6" t="s">
        <v>144</v>
      </c>
      <c r="E6" t="s">
        <v>2263</v>
      </c>
      <c r="F6" s="91">
        <v>467.49000000000001</v>
      </c>
      <c r="G6" t="s">
        <v>101</v>
      </c>
      <c r="H6" t="s">
        <v>2296</v>
      </c>
      <c r="I6" s="91">
        <v>2015</v>
      </c>
      <c r="J6" t="s">
        <v>84</v>
      </c>
      <c r="K6" t="s">
        <v>180</v>
      </c>
      <c r="L6" t="s">
        <v>2301</v>
      </c>
      <c r="M6" t="s">
        <v>2312</v>
      </c>
      <c r="N6" t="s">
        <v>2305</v>
      </c>
    </row>
    <row r="7">
      <c r="A7" t="s">
        <v>1388</v>
      </c>
      <c r="B7" t="s">
        <v>1387</v>
      </c>
      <c r="C7" s="91">
        <v>8</v>
      </c>
      <c r="D7" t="s">
        <v>144</v>
      </c>
      <c r="E7" t="s">
        <v>2263</v>
      </c>
      <c r="F7" s="91">
        <v>409.88999999999999</v>
      </c>
      <c r="G7" t="s">
        <v>101</v>
      </c>
      <c r="H7" t="s">
        <v>2296</v>
      </c>
      <c r="I7" s="91">
        <v>2016</v>
      </c>
      <c r="J7" t="s">
        <v>84</v>
      </c>
      <c r="K7" t="s">
        <v>180</v>
      </c>
      <c r="L7" t="s">
        <v>2301</v>
      </c>
      <c r="M7" t="s">
        <v>2313</v>
      </c>
      <c r="N7" t="s">
        <v>2305</v>
      </c>
    </row>
    <row r="8">
      <c r="A8" t="s">
        <v>1388</v>
      </c>
      <c r="B8" t="s">
        <v>1387</v>
      </c>
      <c r="C8" s="91">
        <v>8</v>
      </c>
      <c r="D8" t="s">
        <v>144</v>
      </c>
      <c r="E8" t="s">
        <v>2263</v>
      </c>
      <c r="F8" s="91">
        <v>435.07999999999999</v>
      </c>
      <c r="G8" t="s">
        <v>101</v>
      </c>
      <c r="H8" t="s">
        <v>2296</v>
      </c>
      <c r="I8" s="91">
        <v>2017</v>
      </c>
      <c r="J8" t="s">
        <v>84</v>
      </c>
      <c r="K8" t="s">
        <v>180</v>
      </c>
      <c r="L8" t="s">
        <v>2301</v>
      </c>
      <c r="M8" t="s">
        <v>2314</v>
      </c>
      <c r="N8" t="s">
        <v>2305</v>
      </c>
    </row>
    <row r="9">
      <c r="A9" t="s">
        <v>1388</v>
      </c>
      <c r="B9" t="s">
        <v>1387</v>
      </c>
      <c r="C9" s="91">
        <v>8</v>
      </c>
      <c r="D9" t="s">
        <v>144</v>
      </c>
      <c r="E9" t="s">
        <v>2263</v>
      </c>
      <c r="F9" s="91">
        <v>516.84000000000003</v>
      </c>
      <c r="G9" t="s">
        <v>101</v>
      </c>
      <c r="H9" t="s">
        <v>2296</v>
      </c>
      <c r="I9" s="91">
        <v>2018</v>
      </c>
      <c r="J9" t="s">
        <v>84</v>
      </c>
      <c r="K9" t="s">
        <v>180</v>
      </c>
      <c r="L9" t="s">
        <v>2301</v>
      </c>
      <c r="M9" t="s">
        <v>2315</v>
      </c>
      <c r="N9" t="s">
        <v>2305</v>
      </c>
    </row>
    <row r="10">
      <c r="A10" t="s">
        <v>1388</v>
      </c>
      <c r="B10" t="s">
        <v>1387</v>
      </c>
      <c r="C10" s="91">
        <v>8</v>
      </c>
      <c r="D10" t="s">
        <v>144</v>
      </c>
      <c r="E10" t="s">
        <v>2263</v>
      </c>
      <c r="F10" s="91">
        <v>535.82000000000005</v>
      </c>
      <c r="G10" t="s">
        <v>101</v>
      </c>
      <c r="H10" t="s">
        <v>2296</v>
      </c>
      <c r="I10" s="91">
        <v>2019</v>
      </c>
      <c r="J10" t="s">
        <v>84</v>
      </c>
      <c r="K10" t="s">
        <v>180</v>
      </c>
      <c r="L10" t="s">
        <v>2301</v>
      </c>
      <c r="M10" t="s">
        <v>2316</v>
      </c>
      <c r="N10" t="s">
        <v>2305</v>
      </c>
    </row>
    <row r="11">
      <c r="A11" t="s">
        <v>1388</v>
      </c>
      <c r="B11" t="s">
        <v>1387</v>
      </c>
      <c r="C11" s="91">
        <v>8</v>
      </c>
      <c r="D11" t="s">
        <v>144</v>
      </c>
      <c r="E11" t="s">
        <v>2263</v>
      </c>
      <c r="F11" s="91">
        <v>573.71000000000004</v>
      </c>
      <c r="G11" t="s">
        <v>101</v>
      </c>
      <c r="H11" t="s">
        <v>2296</v>
      </c>
      <c r="I11" s="91">
        <v>2020</v>
      </c>
      <c r="J11" t="s">
        <v>84</v>
      </c>
      <c r="K11" t="s">
        <v>180</v>
      </c>
      <c r="L11" t="s">
        <v>2301</v>
      </c>
      <c r="M11" t="s">
        <v>2317</v>
      </c>
      <c r="N11" t="s">
        <v>2305</v>
      </c>
    </row>
    <row r="12">
      <c r="A12" t="s">
        <v>1388</v>
      </c>
      <c r="B12" t="s">
        <v>1387</v>
      </c>
      <c r="C12" s="91">
        <v>19</v>
      </c>
      <c r="D12" t="s">
        <v>2102</v>
      </c>
      <c r="E12" t="s">
        <v>2274</v>
      </c>
      <c r="F12" s="91">
        <v>100</v>
      </c>
      <c r="G12" t="s">
        <v>80</v>
      </c>
      <c r="H12" t="s">
        <v>2296</v>
      </c>
      <c r="I12" s="91">
        <v>2014</v>
      </c>
      <c r="J12" t="s">
        <v>84</v>
      </c>
      <c r="K12" t="s">
        <v>180</v>
      </c>
      <c r="L12" t="s">
        <v>2301</v>
      </c>
      <c r="M12" t="s">
        <v>2311</v>
      </c>
      <c r="N12" t="s">
        <v>2321</v>
      </c>
    </row>
    <row r="13">
      <c r="A13" t="s">
        <v>1388</v>
      </c>
      <c r="B13" t="s">
        <v>1387</v>
      </c>
      <c r="C13" s="91">
        <v>19</v>
      </c>
      <c r="D13" t="s">
        <v>2102</v>
      </c>
      <c r="E13" t="s">
        <v>2274</v>
      </c>
      <c r="F13" s="91">
        <v>100</v>
      </c>
      <c r="G13" t="s">
        <v>80</v>
      </c>
      <c r="H13" t="s">
        <v>2296</v>
      </c>
      <c r="I13" s="91">
        <v>2015</v>
      </c>
      <c r="J13" t="s">
        <v>84</v>
      </c>
      <c r="K13" t="s">
        <v>180</v>
      </c>
      <c r="L13" t="s">
        <v>2301</v>
      </c>
      <c r="M13" t="s">
        <v>2312</v>
      </c>
      <c r="N13" t="s">
        <v>2322</v>
      </c>
    </row>
    <row r="14">
      <c r="A14" t="s">
        <v>1388</v>
      </c>
      <c r="B14" t="s">
        <v>1387</v>
      </c>
      <c r="C14" s="91">
        <v>19</v>
      </c>
      <c r="D14" t="s">
        <v>2102</v>
      </c>
      <c r="E14" t="s">
        <v>2274</v>
      </c>
      <c r="F14" s="91">
        <v>100</v>
      </c>
      <c r="G14" t="s">
        <v>80</v>
      </c>
      <c r="H14" t="s">
        <v>2296</v>
      </c>
      <c r="I14" s="91">
        <v>2016</v>
      </c>
      <c r="J14" t="s">
        <v>84</v>
      </c>
      <c r="K14" t="s">
        <v>180</v>
      </c>
      <c r="L14" t="s">
        <v>2301</v>
      </c>
      <c r="M14" t="s">
        <v>2313</v>
      </c>
      <c r="N14" t="s">
        <v>2323</v>
      </c>
    </row>
    <row r="15">
      <c r="A15" t="s">
        <v>1388</v>
      </c>
      <c r="B15" t="s">
        <v>1387</v>
      </c>
      <c r="C15" s="91">
        <v>19</v>
      </c>
      <c r="D15" t="s">
        <v>2102</v>
      </c>
      <c r="E15" t="s">
        <v>2274</v>
      </c>
      <c r="F15" s="91">
        <v>100</v>
      </c>
      <c r="G15" t="s">
        <v>80</v>
      </c>
      <c r="H15" t="s">
        <v>2296</v>
      </c>
      <c r="I15" s="91">
        <v>2017</v>
      </c>
      <c r="J15" t="s">
        <v>84</v>
      </c>
      <c r="K15" t="s">
        <v>180</v>
      </c>
      <c r="L15" t="s">
        <v>2301</v>
      </c>
      <c r="M15" t="s">
        <v>2314</v>
      </c>
      <c r="N15" t="s">
        <v>2324</v>
      </c>
    </row>
    <row r="16">
      <c r="A16" t="s">
        <v>1388</v>
      </c>
      <c r="B16" t="s">
        <v>1387</v>
      </c>
      <c r="C16" s="91">
        <v>19</v>
      </c>
      <c r="D16" t="s">
        <v>2102</v>
      </c>
      <c r="E16" t="s">
        <v>2274</v>
      </c>
      <c r="F16" s="91">
        <v>100</v>
      </c>
      <c r="G16" t="s">
        <v>80</v>
      </c>
      <c r="H16" t="s">
        <v>2296</v>
      </c>
      <c r="I16" s="91">
        <v>2018</v>
      </c>
      <c r="J16" t="s">
        <v>84</v>
      </c>
      <c r="K16" t="s">
        <v>180</v>
      </c>
      <c r="L16" t="s">
        <v>2301</v>
      </c>
      <c r="M16" t="s">
        <v>2315</v>
      </c>
      <c r="N16" t="s">
        <v>2323</v>
      </c>
    </row>
    <row r="17">
      <c r="A17" t="s">
        <v>1388</v>
      </c>
      <c r="B17" t="s">
        <v>1387</v>
      </c>
      <c r="C17" s="91">
        <v>19</v>
      </c>
      <c r="D17" t="s">
        <v>2102</v>
      </c>
      <c r="E17" t="s">
        <v>2274</v>
      </c>
      <c r="F17" s="91">
        <v>100</v>
      </c>
      <c r="G17" t="s">
        <v>80</v>
      </c>
      <c r="H17" t="s">
        <v>2296</v>
      </c>
      <c r="I17" s="91">
        <v>2019</v>
      </c>
      <c r="J17" t="s">
        <v>84</v>
      </c>
      <c r="K17" t="s">
        <v>180</v>
      </c>
      <c r="L17" t="s">
        <v>2301</v>
      </c>
      <c r="M17" t="s">
        <v>2316</v>
      </c>
      <c r="N17" t="s">
        <v>2325</v>
      </c>
    </row>
    <row r="18">
      <c r="A18" t="s">
        <v>1388</v>
      </c>
      <c r="B18" t="s">
        <v>1387</v>
      </c>
      <c r="C18" s="91">
        <v>19</v>
      </c>
      <c r="D18" t="s">
        <v>2102</v>
      </c>
      <c r="E18" t="s">
        <v>2274</v>
      </c>
      <c r="F18" s="91">
        <v>78.159999999999997</v>
      </c>
      <c r="G18" t="s">
        <v>80</v>
      </c>
      <c r="H18" t="s">
        <v>2296</v>
      </c>
      <c r="I18" s="91">
        <v>2020</v>
      </c>
      <c r="J18" t="s">
        <v>84</v>
      </c>
      <c r="K18" t="s">
        <v>180</v>
      </c>
      <c r="L18" t="s">
        <v>2301</v>
      </c>
      <c r="M18" t="s">
        <v>2317</v>
      </c>
      <c r="N18" t="s">
        <v>2326</v>
      </c>
    </row>
    <row r="19">
      <c r="A19" t="s">
        <v>1388</v>
      </c>
      <c r="B19" t="s">
        <v>1387</v>
      </c>
      <c r="C19" s="91">
        <v>20</v>
      </c>
      <c r="D19" t="s">
        <v>2103</v>
      </c>
      <c r="E19" t="s">
        <v>2275</v>
      </c>
      <c r="F19" s="91">
        <v>96.689999999999998</v>
      </c>
      <c r="G19" t="s">
        <v>80</v>
      </c>
      <c r="H19" t="s">
        <v>2296</v>
      </c>
      <c r="I19" s="91">
        <v>2022</v>
      </c>
      <c r="J19" t="s">
        <v>84</v>
      </c>
      <c r="K19" t="s">
        <v>180</v>
      </c>
      <c r="L19" t="s">
        <v>2302</v>
      </c>
      <c r="M19" t="s">
        <v>2318</v>
      </c>
      <c r="N19" t="s">
        <v>2307</v>
      </c>
    </row>
    <row r="20">
      <c r="A20" t="s">
        <v>1388</v>
      </c>
      <c r="B20" t="s">
        <v>1387</v>
      </c>
      <c r="C20" s="91">
        <v>21</v>
      </c>
      <c r="D20" t="s">
        <v>2104</v>
      </c>
      <c r="E20" t="s">
        <v>2276</v>
      </c>
      <c r="F20" s="91">
        <v>91.269999999999996</v>
      </c>
      <c r="G20" t="s">
        <v>80</v>
      </c>
      <c r="H20" t="s">
        <v>2296</v>
      </c>
      <c r="I20" s="91">
        <v>2014</v>
      </c>
      <c r="J20" t="s">
        <v>84</v>
      </c>
      <c r="K20" t="s">
        <v>2309</v>
      </c>
      <c r="L20" t="s">
        <v>2301</v>
      </c>
      <c r="M20" t="s">
        <v>2311</v>
      </c>
      <c r="N20" t="s">
        <v>2327</v>
      </c>
    </row>
    <row r="21">
      <c r="A21" t="s">
        <v>1388</v>
      </c>
      <c r="B21" t="s">
        <v>1387</v>
      </c>
      <c r="C21" s="91">
        <v>21</v>
      </c>
      <c r="D21" t="s">
        <v>2104</v>
      </c>
      <c r="E21" t="s">
        <v>2276</v>
      </c>
      <c r="F21" s="91">
        <v>91.129999999999996</v>
      </c>
      <c r="G21" t="s">
        <v>80</v>
      </c>
      <c r="H21" t="s">
        <v>2296</v>
      </c>
      <c r="I21" s="91">
        <v>2015</v>
      </c>
      <c r="J21" t="s">
        <v>84</v>
      </c>
      <c r="K21" t="s">
        <v>2309</v>
      </c>
      <c r="L21" t="s">
        <v>2301</v>
      </c>
      <c r="M21" t="s">
        <v>2312</v>
      </c>
      <c r="N21" t="s">
        <v>2328</v>
      </c>
    </row>
    <row r="22">
      <c r="A22" t="s">
        <v>1388</v>
      </c>
      <c r="B22" t="s">
        <v>1387</v>
      </c>
      <c r="C22" s="91">
        <v>21</v>
      </c>
      <c r="D22" t="s">
        <v>2104</v>
      </c>
      <c r="E22" t="s">
        <v>2276</v>
      </c>
      <c r="F22" s="91">
        <v>92.310000000000002</v>
      </c>
      <c r="G22" t="s">
        <v>80</v>
      </c>
      <c r="H22" t="s">
        <v>2296</v>
      </c>
      <c r="I22" s="91">
        <v>2016</v>
      </c>
      <c r="J22" t="s">
        <v>84</v>
      </c>
      <c r="K22" t="s">
        <v>2309</v>
      </c>
      <c r="L22" t="s">
        <v>2301</v>
      </c>
      <c r="M22" t="s">
        <v>2313</v>
      </c>
      <c r="N22" t="s">
        <v>2329</v>
      </c>
    </row>
    <row r="23">
      <c r="A23" t="s">
        <v>1388</v>
      </c>
      <c r="B23" t="s">
        <v>1387</v>
      </c>
      <c r="C23" s="91">
        <v>21</v>
      </c>
      <c r="D23" t="s">
        <v>2104</v>
      </c>
      <c r="E23" t="s">
        <v>2276</v>
      </c>
      <c r="F23" s="91">
        <v>91.960000000000008</v>
      </c>
      <c r="G23" t="s">
        <v>80</v>
      </c>
      <c r="H23" t="s">
        <v>2296</v>
      </c>
      <c r="I23" s="91">
        <v>2017</v>
      </c>
      <c r="J23" t="s">
        <v>84</v>
      </c>
      <c r="K23" t="s">
        <v>2309</v>
      </c>
      <c r="L23" t="s">
        <v>2301</v>
      </c>
      <c r="M23" t="s">
        <v>2314</v>
      </c>
      <c r="N23" t="s">
        <v>2330</v>
      </c>
    </row>
    <row r="24">
      <c r="A24" t="s">
        <v>1388</v>
      </c>
      <c r="B24" t="s">
        <v>1387</v>
      </c>
      <c r="C24" s="91">
        <v>21</v>
      </c>
      <c r="D24" t="s">
        <v>2104</v>
      </c>
      <c r="E24" t="s">
        <v>2276</v>
      </c>
      <c r="F24" s="91">
        <v>92.070000000000007</v>
      </c>
      <c r="G24" t="s">
        <v>80</v>
      </c>
      <c r="H24" t="s">
        <v>2296</v>
      </c>
      <c r="I24" s="91">
        <v>2018</v>
      </c>
      <c r="J24" t="s">
        <v>84</v>
      </c>
      <c r="K24" t="s">
        <v>2309</v>
      </c>
      <c r="L24" t="s">
        <v>2301</v>
      </c>
      <c r="M24" t="s">
        <v>2315</v>
      </c>
      <c r="N24" t="s">
        <v>2331</v>
      </c>
    </row>
    <row r="25">
      <c r="A25" t="s">
        <v>1388</v>
      </c>
      <c r="B25" t="s">
        <v>1387</v>
      </c>
      <c r="C25" s="91">
        <v>21</v>
      </c>
      <c r="D25" t="s">
        <v>2104</v>
      </c>
      <c r="E25" t="s">
        <v>2276</v>
      </c>
      <c r="F25" s="91">
        <v>86.019999999999996</v>
      </c>
      <c r="G25" t="s">
        <v>80</v>
      </c>
      <c r="H25" t="s">
        <v>2296</v>
      </c>
      <c r="I25" s="91">
        <v>2019</v>
      </c>
      <c r="J25" t="s">
        <v>84</v>
      </c>
      <c r="K25" t="s">
        <v>2309</v>
      </c>
      <c r="L25" t="s">
        <v>2301</v>
      </c>
      <c r="M25" t="s">
        <v>2316</v>
      </c>
      <c r="N25" t="s">
        <v>2332</v>
      </c>
    </row>
    <row r="26">
      <c r="A26" t="s">
        <v>1388</v>
      </c>
      <c r="B26" t="s">
        <v>1387</v>
      </c>
      <c r="C26" s="91">
        <v>21</v>
      </c>
      <c r="D26" t="s">
        <v>2104</v>
      </c>
      <c r="E26" t="s">
        <v>2276</v>
      </c>
      <c r="F26" s="91">
        <v>87.030000000000001</v>
      </c>
      <c r="G26" t="s">
        <v>80</v>
      </c>
      <c r="H26" t="s">
        <v>2296</v>
      </c>
      <c r="I26" s="91">
        <v>2020</v>
      </c>
      <c r="J26" t="s">
        <v>84</v>
      </c>
      <c r="K26" t="s">
        <v>2309</v>
      </c>
      <c r="L26" t="s">
        <v>2301</v>
      </c>
      <c r="M26" t="s">
        <v>2317</v>
      </c>
      <c r="N26" t="s">
        <v>2333</v>
      </c>
    </row>
    <row r="27">
      <c r="A27" t="s">
        <v>1388</v>
      </c>
      <c r="B27" t="s">
        <v>1387</v>
      </c>
      <c r="C27" s="91">
        <v>21</v>
      </c>
      <c r="D27" t="s">
        <v>2104</v>
      </c>
      <c r="E27" t="s">
        <v>2276</v>
      </c>
      <c r="F27" s="91">
        <v>87.049999999999997</v>
      </c>
      <c r="G27" t="s">
        <v>80</v>
      </c>
      <c r="H27" t="s">
        <v>2296</v>
      </c>
      <c r="I27" s="91">
        <v>2021</v>
      </c>
      <c r="J27" t="s">
        <v>84</v>
      </c>
      <c r="K27" t="s">
        <v>2309</v>
      </c>
      <c r="L27" t="s">
        <v>2301</v>
      </c>
      <c r="M27" t="s">
        <v>2303</v>
      </c>
      <c r="N27" t="s">
        <v>2334</v>
      </c>
    </row>
    <row r="28">
      <c r="A28" t="s">
        <v>1388</v>
      </c>
      <c r="B28" t="s">
        <v>1387</v>
      </c>
      <c r="C28" s="91">
        <v>21</v>
      </c>
      <c r="D28" t="s">
        <v>2104</v>
      </c>
      <c r="E28" t="s">
        <v>2276</v>
      </c>
      <c r="F28" s="91">
        <v>86.400000000000006</v>
      </c>
      <c r="G28" t="s">
        <v>80</v>
      </c>
      <c r="H28" t="s">
        <v>2296</v>
      </c>
      <c r="I28" s="91">
        <v>2022</v>
      </c>
      <c r="J28" t="s">
        <v>84</v>
      </c>
      <c r="K28" t="s">
        <v>2309</v>
      </c>
      <c r="L28" t="s">
        <v>2310</v>
      </c>
      <c r="M28" t="s">
        <v>2319</v>
      </c>
      <c r="N28" t="s">
        <v>190</v>
      </c>
    </row>
    <row r="29">
      <c r="A29" t="s">
        <v>1388</v>
      </c>
      <c r="B29" t="s">
        <v>1387</v>
      </c>
      <c r="C29" s="91">
        <v>21</v>
      </c>
      <c r="D29" t="s">
        <v>2104</v>
      </c>
      <c r="E29" t="s">
        <v>2276</v>
      </c>
      <c r="F29" s="91">
        <v>76.700000000000003</v>
      </c>
      <c r="G29" t="s">
        <v>80</v>
      </c>
      <c r="H29" t="s">
        <v>2296</v>
      </c>
      <c r="I29" s="91">
        <v>2023</v>
      </c>
      <c r="J29" t="s">
        <v>84</v>
      </c>
      <c r="K29" t="s">
        <v>2309</v>
      </c>
      <c r="L29" t="s">
        <v>2310</v>
      </c>
      <c r="M29" t="s">
        <v>2320</v>
      </c>
      <c r="N29" t="s">
        <v>190</v>
      </c>
    </row>
    <row xmlns:x14ac="http://schemas.microsoft.com/office/spreadsheetml/2009/9/ac" r="65" customFormat="true" x14ac:dyDescent="0.2"/>
    <row xmlns:x14ac="http://schemas.microsoft.com/office/spreadsheetml/2009/9/ac" r="66" customFormat="true" x14ac:dyDescent="0.2"/>
    <row xmlns:x14ac="http://schemas.microsoft.com/office/spreadsheetml/2009/9/ac" r="67" customFormat="true" x14ac:dyDescent="0.2"/>
    <row xmlns:x14ac="http://schemas.microsoft.com/office/spreadsheetml/2009/9/ac" r="68" customFormat="true" x14ac:dyDescent="0.2"/>
    <row xmlns:x14ac="http://schemas.microsoft.com/office/spreadsheetml/2009/9/ac" r="69" customFormat="true" x14ac:dyDescent="0.2"/>
    <row xmlns:x14ac="http://schemas.microsoft.com/office/spreadsheetml/2009/9/ac" r="70" customFormat="true" x14ac:dyDescent="0.2"/>
    <row xmlns:x14ac="http://schemas.microsoft.com/office/spreadsheetml/2009/9/ac" r="71" customFormat="true" x14ac:dyDescent="0.2"/>
    <row xmlns:x14ac="http://schemas.microsoft.com/office/spreadsheetml/2009/9/ac" r="72" customFormat="true" x14ac:dyDescent="0.2"/>
    <row xmlns:x14ac="http://schemas.microsoft.com/office/spreadsheetml/2009/9/ac" r="73" customFormat="true" x14ac:dyDescent="0.2"/>
    <row xmlns:x14ac="http://schemas.microsoft.com/office/spreadsheetml/2009/9/ac" r="74" customFormat="true" x14ac:dyDescent="0.2"/>
    <row xmlns:x14ac="http://schemas.microsoft.com/office/spreadsheetml/2009/9/ac" r="75" customFormat="true" x14ac:dyDescent="0.2"/>
    <row xmlns:x14ac="http://schemas.microsoft.com/office/spreadsheetml/2009/9/ac" r="76" customFormat="true" x14ac:dyDescent="0.2"/>
    <row xmlns:x14ac="http://schemas.microsoft.com/office/spreadsheetml/2009/9/ac" r="77" customFormat="true" x14ac:dyDescent="0.2"/>
    <row xmlns:x14ac="http://schemas.microsoft.com/office/spreadsheetml/2009/9/ac" r="78" customFormat="true" x14ac:dyDescent="0.2"/>
    <row xmlns:x14ac="http://schemas.microsoft.com/office/spreadsheetml/2009/9/ac" r="79" customFormat="true" x14ac:dyDescent="0.2"/>
    <row xmlns:x14ac="http://schemas.microsoft.com/office/spreadsheetml/2009/9/ac" r="80" customFormat="true" x14ac:dyDescent="0.2"/>
    <row xmlns:x14ac="http://schemas.microsoft.com/office/spreadsheetml/2009/9/ac" r="81" customFormat="true" x14ac:dyDescent="0.2"/>
    <row xmlns:x14ac="http://schemas.microsoft.com/office/spreadsheetml/2009/9/ac" r="82" customFormat="true" x14ac:dyDescent="0.2"/>
    <row xmlns:x14ac="http://schemas.microsoft.com/office/spreadsheetml/2009/9/ac" r="83" customFormat="true" x14ac:dyDescent="0.2"/>
    <row xmlns:x14ac="http://schemas.microsoft.com/office/spreadsheetml/2009/9/ac" r="84" customFormat="true" x14ac:dyDescent="0.2"/>
    <row xmlns:x14ac="http://schemas.microsoft.com/office/spreadsheetml/2009/9/ac" r="85" customFormat="true" x14ac:dyDescent="0.2"/>
    <row xmlns:x14ac="http://schemas.microsoft.com/office/spreadsheetml/2009/9/ac" r="86" customFormat="true" x14ac:dyDescent="0.2"/>
    <row xmlns:x14ac="http://schemas.microsoft.com/office/spreadsheetml/2009/9/ac" r="87" customFormat="true" x14ac:dyDescent="0.2"/>
    <row xmlns:x14ac="http://schemas.microsoft.com/office/spreadsheetml/2009/9/ac" r="88" customFormat="true" x14ac:dyDescent="0.2"/>
    <row xmlns:x14ac="http://schemas.microsoft.com/office/spreadsheetml/2009/9/ac" r="89" customFormat="true" x14ac:dyDescent="0.2"/>
    <row xmlns:x14ac="http://schemas.microsoft.com/office/spreadsheetml/2009/9/ac" r="90" customFormat="true" x14ac:dyDescent="0.2"/>
    <row xmlns:x14ac="http://schemas.microsoft.com/office/spreadsheetml/2009/9/ac" r="91" customFormat="true" x14ac:dyDescent="0.2"/>
    <row xmlns:x14ac="http://schemas.microsoft.com/office/spreadsheetml/2009/9/ac" r="92" customFormat="true" x14ac:dyDescent="0.2"/>
    <row xmlns:x14ac="http://schemas.microsoft.com/office/spreadsheetml/2009/9/ac" r="93" customFormat="true" x14ac:dyDescent="0.2"/>
    <row xmlns:x14ac="http://schemas.microsoft.com/office/spreadsheetml/2009/9/ac" r="94" customFormat="true" x14ac:dyDescent="0.2"/>
    <row xmlns:x14ac="http://schemas.microsoft.com/office/spreadsheetml/2009/9/ac" r="95" customFormat="true" x14ac:dyDescent="0.2"/>
    <row xmlns:x14ac="http://schemas.microsoft.com/office/spreadsheetml/2009/9/ac" r="96" customFormat="true" x14ac:dyDescent="0.2"/>
    <row xmlns:x14ac="http://schemas.microsoft.com/office/spreadsheetml/2009/9/ac" r="97" customFormat="true" x14ac:dyDescent="0.2"/>
    <row xmlns:x14ac="http://schemas.microsoft.com/office/spreadsheetml/2009/9/ac" r="98" customFormat="true" x14ac:dyDescent="0.2"/>
    <row xmlns:x14ac="http://schemas.microsoft.com/office/spreadsheetml/2009/9/ac" r="99" customFormat="true" x14ac:dyDescent="0.2"/>
    <row xmlns:x14ac="http://schemas.microsoft.com/office/spreadsheetml/2009/9/ac" r="100" customFormat="true" x14ac:dyDescent="0.2"/>
    <row xmlns:x14ac="http://schemas.microsoft.com/office/spreadsheetml/2009/9/ac" r="101" customFormat="true" x14ac:dyDescent="0.2"/>
    <row xmlns:x14ac="http://schemas.microsoft.com/office/spreadsheetml/2009/9/ac" r="102" customFormat="true" x14ac:dyDescent="0.2"/>
    <row xmlns:x14ac="http://schemas.microsoft.com/office/spreadsheetml/2009/9/ac" r="103" customFormat="true" x14ac:dyDescent="0.2"/>
    <row xmlns:x14ac="http://schemas.microsoft.com/office/spreadsheetml/2009/9/ac" r="104" customFormat="true" x14ac:dyDescent="0.2"/>
    <row xmlns:x14ac="http://schemas.microsoft.com/office/spreadsheetml/2009/9/ac" r="105" customFormat="true" x14ac:dyDescent="0.2"/>
    <row xmlns:x14ac="http://schemas.microsoft.com/office/spreadsheetml/2009/9/ac" r="106" customFormat="true" x14ac:dyDescent="0.2"/>
    <row xmlns:x14ac="http://schemas.microsoft.com/office/spreadsheetml/2009/9/ac" r="107" customFormat="true" x14ac:dyDescent="0.2"/>
    <row xmlns:x14ac="http://schemas.microsoft.com/office/spreadsheetml/2009/9/ac" r="108" customFormat="true" x14ac:dyDescent="0.2"/>
    <row xmlns:x14ac="http://schemas.microsoft.com/office/spreadsheetml/2009/9/ac" r="109" customFormat="true" x14ac:dyDescent="0.2"/>
    <row xmlns:x14ac="http://schemas.microsoft.com/office/spreadsheetml/2009/9/ac" r="110" customFormat="true" x14ac:dyDescent="0.2"/>
    <row xmlns:x14ac="http://schemas.microsoft.com/office/spreadsheetml/2009/9/ac" r="111" customFormat="true" x14ac:dyDescent="0.2"/>
    <row xmlns:x14ac="http://schemas.microsoft.com/office/spreadsheetml/2009/9/ac" r="112" customFormat="true" x14ac:dyDescent="0.2"/>
    <row xmlns:x14ac="http://schemas.microsoft.com/office/spreadsheetml/2009/9/ac" r="113" customFormat="true" x14ac:dyDescent="0.2"/>
    <row xmlns:x14ac="http://schemas.microsoft.com/office/spreadsheetml/2009/9/ac" r="114" customFormat="true" x14ac:dyDescent="0.2"/>
    <row xmlns:x14ac="http://schemas.microsoft.com/office/spreadsheetml/2009/9/ac" r="115" customFormat="true" x14ac:dyDescent="0.2"/>
    <row xmlns:x14ac="http://schemas.microsoft.com/office/spreadsheetml/2009/9/ac" r="116" customFormat="true" x14ac:dyDescent="0.2"/>
    <row xmlns:x14ac="http://schemas.microsoft.com/office/spreadsheetml/2009/9/ac" r="117" customFormat="true" x14ac:dyDescent="0.2"/>
    <row xmlns:x14ac="http://schemas.microsoft.com/office/spreadsheetml/2009/9/ac" r="118" customFormat="true" x14ac:dyDescent="0.2"/>
    <row xmlns:x14ac="http://schemas.microsoft.com/office/spreadsheetml/2009/9/ac" r="119" customFormat="true" x14ac:dyDescent="0.2"/>
    <row xmlns:x14ac="http://schemas.microsoft.com/office/spreadsheetml/2009/9/ac" r="120" customFormat="true" x14ac:dyDescent="0.2"/>
    <row xmlns:x14ac="http://schemas.microsoft.com/office/spreadsheetml/2009/9/ac" r="121" customFormat="true" x14ac:dyDescent="0.2"/>
    <row xmlns:x14ac="http://schemas.microsoft.com/office/spreadsheetml/2009/9/ac" r="122" customFormat="true" x14ac:dyDescent="0.2"/>
    <row xmlns:x14ac="http://schemas.microsoft.com/office/spreadsheetml/2009/9/ac" r="123" customFormat="true" x14ac:dyDescent="0.2"/>
    <row xmlns:x14ac="http://schemas.microsoft.com/office/spreadsheetml/2009/9/ac" r="124" customFormat="true" x14ac:dyDescent="0.2"/>
    <row xmlns:x14ac="http://schemas.microsoft.com/office/spreadsheetml/2009/9/ac" r="125" customFormat="true" x14ac:dyDescent="0.2"/>
    <row xmlns:x14ac="http://schemas.microsoft.com/office/spreadsheetml/2009/9/ac" r="126" customFormat="true" x14ac:dyDescent="0.2"/>
    <row xmlns:x14ac="http://schemas.microsoft.com/office/spreadsheetml/2009/9/ac" r="127" customFormat="true" x14ac:dyDescent="0.2"/>
    <row xmlns:x14ac="http://schemas.microsoft.com/office/spreadsheetml/2009/9/ac" r="128" customFormat="true" x14ac:dyDescent="0.2"/>
    <row xmlns:x14ac="http://schemas.microsoft.com/office/spreadsheetml/2009/9/ac" r="129" customFormat="true" x14ac:dyDescent="0.2"/>
    <row xmlns:x14ac="http://schemas.microsoft.com/office/spreadsheetml/2009/9/ac" r="130" customFormat="true" x14ac:dyDescent="0.2"/>
    <row xmlns:x14ac="http://schemas.microsoft.com/office/spreadsheetml/2009/9/ac" r="131" customFormat="true" x14ac:dyDescent="0.2"/>
    <row xmlns:x14ac="http://schemas.microsoft.com/office/spreadsheetml/2009/9/ac" r="132" customFormat="true" x14ac:dyDescent="0.2"/>
    <row xmlns:x14ac="http://schemas.microsoft.com/office/spreadsheetml/2009/9/ac" r="133" customFormat="true" x14ac:dyDescent="0.2"/>
    <row xmlns:x14ac="http://schemas.microsoft.com/office/spreadsheetml/2009/9/ac" r="134" customFormat="true" x14ac:dyDescent="0.2"/>
    <row xmlns:x14ac="http://schemas.microsoft.com/office/spreadsheetml/2009/9/ac" r="135" customFormat="true" x14ac:dyDescent="0.2"/>
    <row xmlns:x14ac="http://schemas.microsoft.com/office/spreadsheetml/2009/9/ac" r="136" customFormat="true" x14ac:dyDescent="0.2"/>
    <row xmlns:x14ac="http://schemas.microsoft.com/office/spreadsheetml/2009/9/ac" r="137" customFormat="true" x14ac:dyDescent="0.2"/>
    <row xmlns:x14ac="http://schemas.microsoft.com/office/spreadsheetml/2009/9/ac" r="138" customFormat="true" x14ac:dyDescent="0.2"/>
    <row xmlns:x14ac="http://schemas.microsoft.com/office/spreadsheetml/2009/9/ac" r="139" customFormat="true" x14ac:dyDescent="0.2"/>
    <row xmlns:x14ac="http://schemas.microsoft.com/office/spreadsheetml/2009/9/ac" r="140" customFormat="true" x14ac:dyDescent="0.2"/>
    <row xmlns:x14ac="http://schemas.microsoft.com/office/spreadsheetml/2009/9/ac" r="141" customFormat="true" x14ac:dyDescent="0.2"/>
    <row xmlns:x14ac="http://schemas.microsoft.com/office/spreadsheetml/2009/9/ac" r="142" customFormat="true" x14ac:dyDescent="0.2"/>
    <row xmlns:x14ac="http://schemas.microsoft.com/office/spreadsheetml/2009/9/ac" r="143" customFormat="true" x14ac:dyDescent="0.2"/>
    <row xmlns:x14ac="http://schemas.microsoft.com/office/spreadsheetml/2009/9/ac" r="144" customFormat="true" x14ac:dyDescent="0.2"/>
    <row xmlns:x14ac="http://schemas.microsoft.com/office/spreadsheetml/2009/9/ac" r="161" customFormat="true" x14ac:dyDescent="0.2"/>
    <row xmlns:x14ac="http://schemas.microsoft.com/office/spreadsheetml/2009/9/ac" r="162" customFormat="true" x14ac:dyDescent="0.2"/>
    <row xmlns:x14ac="http://schemas.microsoft.com/office/spreadsheetml/2009/9/ac" r="163" customFormat="true" x14ac:dyDescent="0.2"/>
    <row xmlns:x14ac="http://schemas.microsoft.com/office/spreadsheetml/2009/9/ac" r="164" customFormat="true" x14ac:dyDescent="0.2"/>
    <row xmlns:x14ac="http://schemas.microsoft.com/office/spreadsheetml/2009/9/ac" r="165" customFormat="true" x14ac:dyDescent="0.2"/>
    <row xmlns:x14ac="http://schemas.microsoft.com/office/spreadsheetml/2009/9/ac" r="166" customFormat="true" x14ac:dyDescent="0.2"/>
    <row xmlns:x14ac="http://schemas.microsoft.com/office/spreadsheetml/2009/9/ac" r="167" customFormat="true" x14ac:dyDescent="0.2"/>
    <row xmlns:x14ac="http://schemas.microsoft.com/office/spreadsheetml/2009/9/ac" r="168" customFormat="true" x14ac:dyDescent="0.2"/>
    <row xmlns:x14ac="http://schemas.microsoft.com/office/spreadsheetml/2009/9/ac" r="169" customFormat="true" x14ac:dyDescent="0.2"/>
    <row xmlns:x14ac="http://schemas.microsoft.com/office/spreadsheetml/2009/9/ac" r="170" customFormat="true" x14ac:dyDescent="0.2"/>
    <row xmlns:x14ac="http://schemas.microsoft.com/office/spreadsheetml/2009/9/ac" r="171" customFormat="true" x14ac:dyDescent="0.2"/>
    <row xmlns:x14ac="http://schemas.microsoft.com/office/spreadsheetml/2009/9/ac" r="172" customFormat="true" x14ac:dyDescent="0.2"/>
    <row xmlns:x14ac="http://schemas.microsoft.com/office/spreadsheetml/2009/9/ac" r="173" customFormat="true" x14ac:dyDescent="0.2"/>
    <row xmlns:x14ac="http://schemas.microsoft.com/office/spreadsheetml/2009/9/ac" r="174" customFormat="true" x14ac:dyDescent="0.2"/>
    <row xmlns:x14ac="http://schemas.microsoft.com/office/spreadsheetml/2009/9/ac" r="175" customFormat="true" x14ac:dyDescent="0.2"/>
    <row xmlns:x14ac="http://schemas.microsoft.com/office/spreadsheetml/2009/9/ac" r="176" customFormat="true" x14ac:dyDescent="0.2"/>
    <row xmlns:x14ac="http://schemas.microsoft.com/office/spreadsheetml/2009/9/ac" r="177" customFormat="true" x14ac:dyDescent="0.2"/>
    <row xmlns:x14ac="http://schemas.microsoft.com/office/spreadsheetml/2009/9/ac" r="178" customFormat="true" x14ac:dyDescent="0.2"/>
    <row xmlns:x14ac="http://schemas.microsoft.com/office/spreadsheetml/2009/9/ac" r="179" customFormat="true" x14ac:dyDescent="0.2"/>
    <row xmlns:x14ac="http://schemas.microsoft.com/office/spreadsheetml/2009/9/ac" r="180" customFormat="true" x14ac:dyDescent="0.2"/>
    <row xmlns:x14ac="http://schemas.microsoft.com/office/spreadsheetml/2009/9/ac" r="181" customFormat="true" x14ac:dyDescent="0.2"/>
    <row xmlns:x14ac="http://schemas.microsoft.com/office/spreadsheetml/2009/9/ac" r="182" customFormat="true" x14ac:dyDescent="0.2"/>
    <row xmlns:x14ac="http://schemas.microsoft.com/office/spreadsheetml/2009/9/ac" r="183" customFormat="true" x14ac:dyDescent="0.2"/>
    <row xmlns:x14ac="http://schemas.microsoft.com/office/spreadsheetml/2009/9/ac" r="184" customFormat="true" x14ac:dyDescent="0.2"/>
    <row xmlns:x14ac="http://schemas.microsoft.com/office/spreadsheetml/2009/9/ac" r="185" customFormat="true" x14ac:dyDescent="0.2"/>
    <row xmlns:x14ac="http://schemas.microsoft.com/office/spreadsheetml/2009/9/ac" r="186" customFormat="true" x14ac:dyDescent="0.2"/>
    <row xmlns:x14ac="http://schemas.microsoft.com/office/spreadsheetml/2009/9/ac" r="187" customFormat="true" x14ac:dyDescent="0.2"/>
    <row xmlns:x14ac="http://schemas.microsoft.com/office/spreadsheetml/2009/9/ac" r="188" customFormat="true" x14ac:dyDescent="0.2"/>
    <row xmlns:x14ac="http://schemas.microsoft.com/office/spreadsheetml/2009/9/ac" r="189" customFormat="true" x14ac:dyDescent="0.2"/>
    <row xmlns:x14ac="http://schemas.microsoft.com/office/spreadsheetml/2009/9/ac" r="190" customFormat="true" x14ac:dyDescent="0.2"/>
    <row xmlns:x14ac="http://schemas.microsoft.com/office/spreadsheetml/2009/9/ac" r="191" customFormat="true" x14ac:dyDescent="0.2"/>
    <row xmlns:x14ac="http://schemas.microsoft.com/office/spreadsheetml/2009/9/ac" r="192" customFormat="true" x14ac:dyDescent="0.2"/>
    <row xmlns:x14ac="http://schemas.microsoft.com/office/spreadsheetml/2009/9/ac" r="193" customFormat="true" x14ac:dyDescent="0.2"/>
    <row xmlns:x14ac="http://schemas.microsoft.com/office/spreadsheetml/2009/9/ac" r="194" customFormat="true" x14ac:dyDescent="0.2"/>
    <row xmlns:x14ac="http://schemas.microsoft.com/office/spreadsheetml/2009/9/ac" r="195" customFormat="true" x14ac:dyDescent="0.2"/>
    <row xmlns:x14ac="http://schemas.microsoft.com/office/spreadsheetml/2009/9/ac" r="196" customFormat="true" x14ac:dyDescent="0.2"/>
    <row xmlns:x14ac="http://schemas.microsoft.com/office/spreadsheetml/2009/9/ac" r="197" customFormat="true" x14ac:dyDescent="0.2"/>
    <row xmlns:x14ac="http://schemas.microsoft.com/office/spreadsheetml/2009/9/ac" r="198" customFormat="true" x14ac:dyDescent="0.2"/>
    <row xmlns:x14ac="http://schemas.microsoft.com/office/spreadsheetml/2009/9/ac" r="199" customFormat="true" x14ac:dyDescent="0.2"/>
    <row xmlns:x14ac="http://schemas.microsoft.com/office/spreadsheetml/2009/9/ac" r="200" customFormat="true" x14ac:dyDescent="0.2"/>
    <row xmlns:x14ac="http://schemas.microsoft.com/office/spreadsheetml/2009/9/ac" r="201" customFormat="true" x14ac:dyDescent="0.2"/>
    <row xmlns:x14ac="http://schemas.microsoft.com/office/spreadsheetml/2009/9/ac" r="202" customFormat="true" x14ac:dyDescent="0.2"/>
    <row xmlns:x14ac="http://schemas.microsoft.com/office/spreadsheetml/2009/9/ac" r="203" customFormat="true" x14ac:dyDescent="0.2"/>
    <row xmlns:x14ac="http://schemas.microsoft.com/office/spreadsheetml/2009/9/ac" r="204" customFormat="true" x14ac:dyDescent="0.2"/>
    <row xmlns:x14ac="http://schemas.microsoft.com/office/spreadsheetml/2009/9/ac" r="205" customFormat="true" x14ac:dyDescent="0.2"/>
    <row xmlns:x14ac="http://schemas.microsoft.com/office/spreadsheetml/2009/9/ac" r="206" customFormat="true" x14ac:dyDescent="0.2"/>
    <row xmlns:x14ac="http://schemas.microsoft.com/office/spreadsheetml/2009/9/ac" r="207" customFormat="true" x14ac:dyDescent="0.2"/>
    <row xmlns:x14ac="http://schemas.microsoft.com/office/spreadsheetml/2009/9/ac" r="208" customFormat="true" x14ac:dyDescent="0.2"/>
    <row xmlns:x14ac="http://schemas.microsoft.com/office/spreadsheetml/2009/9/ac" r="209" customFormat="true" x14ac:dyDescent="0.2"/>
    <row xmlns:x14ac="http://schemas.microsoft.com/office/spreadsheetml/2009/9/ac" r="210" customFormat="true" x14ac:dyDescent="0.2"/>
    <row xmlns:x14ac="http://schemas.microsoft.com/office/spreadsheetml/2009/9/ac" r="211" customFormat="true" x14ac:dyDescent="0.2"/>
    <row xmlns:x14ac="http://schemas.microsoft.com/office/spreadsheetml/2009/9/ac" r="212" customFormat="true" x14ac:dyDescent="0.2"/>
    <row xmlns:x14ac="http://schemas.microsoft.com/office/spreadsheetml/2009/9/ac" r="213" customFormat="true" x14ac:dyDescent="0.2"/>
    <row xmlns:x14ac="http://schemas.microsoft.com/office/spreadsheetml/2009/9/ac" r="214" customFormat="true" x14ac:dyDescent="0.2"/>
    <row xmlns:x14ac="http://schemas.microsoft.com/office/spreadsheetml/2009/9/ac" r="215" customFormat="true" x14ac:dyDescent="0.2"/>
    <row xmlns:x14ac="http://schemas.microsoft.com/office/spreadsheetml/2009/9/ac" r="216" customFormat="true" x14ac:dyDescent="0.2"/>
    <row xmlns:x14ac="http://schemas.microsoft.com/office/spreadsheetml/2009/9/ac" r="217" customFormat="true" x14ac:dyDescent="0.2"/>
    <row xmlns:x14ac="http://schemas.microsoft.com/office/spreadsheetml/2009/9/ac" r="218" customFormat="true" x14ac:dyDescent="0.2"/>
    <row xmlns:x14ac="http://schemas.microsoft.com/office/spreadsheetml/2009/9/ac" r="219" customFormat="true" x14ac:dyDescent="0.2"/>
    <row xmlns:x14ac="http://schemas.microsoft.com/office/spreadsheetml/2009/9/ac" r="220" customFormat="true" x14ac:dyDescent="0.2"/>
    <row xmlns:x14ac="http://schemas.microsoft.com/office/spreadsheetml/2009/9/ac" r="221" customFormat="true" x14ac:dyDescent="0.2"/>
    <row xmlns:x14ac="http://schemas.microsoft.com/office/spreadsheetml/2009/9/ac" r="222" customFormat="true" x14ac:dyDescent="0.2"/>
    <row xmlns:x14ac="http://schemas.microsoft.com/office/spreadsheetml/2009/9/ac" r="223" customFormat="true" x14ac:dyDescent="0.2"/>
    <row xmlns:x14ac="http://schemas.microsoft.com/office/spreadsheetml/2009/9/ac" r="224" customFormat="true" x14ac:dyDescent="0.2"/>
    <row xmlns:x14ac="http://schemas.microsoft.com/office/spreadsheetml/2009/9/ac" r="225" customFormat="true" x14ac:dyDescent="0.2"/>
    <row xmlns:x14ac="http://schemas.microsoft.com/office/spreadsheetml/2009/9/ac" r="226" customFormat="true" x14ac:dyDescent="0.2"/>
    <row xmlns:x14ac="http://schemas.microsoft.com/office/spreadsheetml/2009/9/ac" r="227" customFormat="true" x14ac:dyDescent="0.2"/>
    <row xmlns:x14ac="http://schemas.microsoft.com/office/spreadsheetml/2009/9/ac" r="228" customFormat="true" x14ac:dyDescent="0.2"/>
    <row xmlns:x14ac="http://schemas.microsoft.com/office/spreadsheetml/2009/9/ac" r="229" customFormat="true" x14ac:dyDescent="0.2"/>
    <row xmlns:x14ac="http://schemas.microsoft.com/office/spreadsheetml/2009/9/ac" r="230" customFormat="true" x14ac:dyDescent="0.2"/>
    <row xmlns:x14ac="http://schemas.microsoft.com/office/spreadsheetml/2009/9/ac" r="231" customFormat="true" x14ac:dyDescent="0.2"/>
    <row xmlns:x14ac="http://schemas.microsoft.com/office/spreadsheetml/2009/9/ac" r="232" customFormat="true" x14ac:dyDescent="0.2"/>
    <row xmlns:x14ac="http://schemas.microsoft.com/office/spreadsheetml/2009/9/ac" r="233" customFormat="true" x14ac:dyDescent="0.2"/>
    <row xmlns:x14ac="http://schemas.microsoft.com/office/spreadsheetml/2009/9/ac" r="234" customFormat="true" x14ac:dyDescent="0.2"/>
    <row xmlns:x14ac="http://schemas.microsoft.com/office/spreadsheetml/2009/9/ac" r="235" customFormat="true" x14ac:dyDescent="0.2"/>
    <row xmlns:x14ac="http://schemas.microsoft.com/office/spreadsheetml/2009/9/ac" r="236" customFormat="true" x14ac:dyDescent="0.2"/>
    <row xmlns:x14ac="http://schemas.microsoft.com/office/spreadsheetml/2009/9/ac" r="237" customFormat="true" x14ac:dyDescent="0.2"/>
    <row xmlns:x14ac="http://schemas.microsoft.com/office/spreadsheetml/2009/9/ac" r="238" customFormat="true" x14ac:dyDescent="0.2"/>
    <row xmlns:x14ac="http://schemas.microsoft.com/office/spreadsheetml/2009/9/ac" r="239" customFormat="true" x14ac:dyDescent="0.2"/>
    <row xmlns:x14ac="http://schemas.microsoft.com/office/spreadsheetml/2009/9/ac" r="240" customFormat="true" x14ac:dyDescent="0.2"/>
    <row xmlns:x14ac="http://schemas.microsoft.com/office/spreadsheetml/2009/9/ac" r="241" customFormat="true" x14ac:dyDescent="0.2"/>
    <row xmlns:x14ac="http://schemas.microsoft.com/office/spreadsheetml/2009/9/ac" r="242" customFormat="true" x14ac:dyDescent="0.2"/>
    <row xmlns:x14ac="http://schemas.microsoft.com/office/spreadsheetml/2009/9/ac" r="243" customFormat="true" x14ac:dyDescent="0.2"/>
    <row xmlns:x14ac="http://schemas.microsoft.com/office/spreadsheetml/2009/9/ac" r="244" customFormat="true" x14ac:dyDescent="0.2"/>
    <row xmlns:x14ac="http://schemas.microsoft.com/office/spreadsheetml/2009/9/ac" r="245" customFormat="true" x14ac:dyDescent="0.2"/>
    <row xmlns:x14ac="http://schemas.microsoft.com/office/spreadsheetml/2009/9/ac" r="246" customFormat="true" x14ac:dyDescent="0.2"/>
    <row xmlns:x14ac="http://schemas.microsoft.com/office/spreadsheetml/2009/9/ac" r="247" customFormat="true" x14ac:dyDescent="0.2"/>
    <row xmlns:x14ac="http://schemas.microsoft.com/office/spreadsheetml/2009/9/ac" r="248" customFormat="true" x14ac:dyDescent="0.2"/>
    <row xmlns:x14ac="http://schemas.microsoft.com/office/spreadsheetml/2009/9/ac" r="249" customFormat="true" x14ac:dyDescent="0.2"/>
    <row xmlns:x14ac="http://schemas.microsoft.com/office/spreadsheetml/2009/9/ac" r="250" customFormat="true" x14ac:dyDescent="0.2"/>
  </sheetData>
  <phoneticPr fontId="7"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2A29DF-3D4B-104B-AA8E-D85A5444B617}">
  <sheetPr codeName="Sheet13"/>
  <dimension ref="A1:Y255"/>
  <sheetViews>
    <sheetView topLeftCell="E1" workbookViewId="0"/>
  </sheetViews>
  <sheetFormatPr xmlns:x14ac="http://schemas.microsoft.com/office/spreadsheetml/2009/9/ac" baseColWidth="10" defaultColWidth="11.5703125" defaultRowHeight="16" x14ac:dyDescent="0.2"/>
  <cols>
    <col min="1" max="1" width="39" style="135" bestFit="true" customWidth="true"/>
    <col min="2" max="2" width="23.5703125" style="135" customWidth="true"/>
    <col min="3" max="3" width="11.5703125" style="135" customWidth="true"/>
    <col min="4" max="4" width="14.5703125" style="135" customWidth="true"/>
    <col min="5" max="9" width="27.7109375" style="135" customWidth="true"/>
    <col min="10" max="11" width="11.5703125" style="135"/>
    <col min="12" max="12" width="7.140625" style="143"/>
    <col min="13" max="13" width="35.28515625" style="143" bestFit="true" customWidth="true"/>
    <col min="14" max="20" width="7.140625" style="143"/>
    <col min="21" max="22" width="11.5703125" style="135"/>
    <col min="23" max="25" width="121.85546875" style="135" customWidth="true"/>
    <col min="26" max="16384" width="11.5703125" style="135"/>
  </cols>
  <sheetData>
    <row xmlns:x14ac="http://schemas.microsoft.com/office/spreadsheetml/2009/9/ac" r="1" x14ac:dyDescent="0.2">
      <c r="A1" s="135" t="s">
        <v>113</v>
      </c>
      <c r="B1" s="136" t="s">
        <v>105</v>
      </c>
      <c r="C1" s="136" t="s">
        <v>194</v>
      </c>
      <c r="D1" s="136" t="s">
        <v>195</v>
      </c>
      <c r="E1" s="136" t="s">
        <v>196</v>
      </c>
      <c r="F1" s="136" t="s">
        <v>197</v>
      </c>
      <c r="G1" s="135" t="s">
        <v>198</v>
      </c>
      <c r="H1" s="135" t="s">
        <v>199</v>
      </c>
      <c r="J1" s="135" t="s">
        <v>785</v>
      </c>
      <c r="L1" s="141" t="s">
        <v>787</v>
      </c>
      <c r="M1" s="141" t="s">
        <v>788</v>
      </c>
      <c r="N1" s="141" t="s">
        <v>789</v>
      </c>
      <c r="O1" s="141" t="s">
        <v>790</v>
      </c>
      <c r="P1" s="141" t="s">
        <v>791</v>
      </c>
      <c r="Q1" s="141" t="s">
        <v>792</v>
      </c>
      <c r="R1" s="141" t="s">
        <v>793</v>
      </c>
      <c r="S1" s="141" t="s">
        <v>794</v>
      </c>
      <c r="T1" s="141" t="s">
        <v>787</v>
      </c>
    </row>
    <row xmlns:x14ac="http://schemas.microsoft.com/office/spreadsheetml/2009/9/ac" r="2" x14ac:dyDescent="0.2">
      <c r="A2" s="135" t="s">
        <v>200</v>
      </c>
      <c r="B2" s="135" t="s">
        <v>0</v>
      </c>
      <c r="C2" s="135" t="s">
        <v>201</v>
      </c>
      <c r="D2" s="135" t="s">
        <v>202</v>
      </c>
      <c r="E2" s="135" t="s">
        <v>203</v>
      </c>
      <c r="F2" s="135" t="s">
        <v>204</v>
      </c>
      <c r="J2" s="135" t="s">
        <v>105</v>
      </c>
      <c r="L2" s="142" t="s">
        <v>795</v>
      </c>
      <c r="M2" s="142" t="s">
        <v>796</v>
      </c>
      <c r="N2" s="142" t="s">
        <v>796</v>
      </c>
      <c r="O2" s="142" t="s">
        <v>796</v>
      </c>
      <c r="P2" s="142" t="s">
        <v>797</v>
      </c>
      <c r="Q2" s="142" t="s">
        <v>798</v>
      </c>
      <c r="R2" s="142"/>
      <c r="S2" s="142"/>
      <c r="T2" s="142" t="s">
        <v>795</v>
      </c>
    </row>
    <row xmlns:x14ac="http://schemas.microsoft.com/office/spreadsheetml/2009/9/ac" r="3" x14ac:dyDescent="0.2">
      <c r="A3" s="135" t="s">
        <v>200</v>
      </c>
      <c r="B3" s="135" t="s">
        <v>18</v>
      </c>
      <c r="C3" s="135" t="s">
        <v>2092</v>
      </c>
      <c r="D3" s="135" t="s">
        <v>205</v>
      </c>
      <c r="E3" s="135" t="s">
        <v>206</v>
      </c>
      <c r="F3" s="135" t="s">
        <v>207</v>
      </c>
      <c r="J3" s="135" t="s">
        <v>194</v>
      </c>
      <c r="L3" s="142" t="s">
        <v>799</v>
      </c>
      <c r="M3" s="142" t="s">
        <v>800</v>
      </c>
      <c r="N3" s="142" t="s">
        <v>800</v>
      </c>
      <c r="O3" s="142" t="s">
        <v>801</v>
      </c>
      <c r="P3" s="142" t="s">
        <v>802</v>
      </c>
      <c r="Q3" s="142" t="s">
        <v>803</v>
      </c>
      <c r="R3" s="142"/>
      <c r="S3" s="142"/>
      <c r="T3" s="142" t="s">
        <v>799</v>
      </c>
    </row>
    <row xmlns:x14ac="http://schemas.microsoft.com/office/spreadsheetml/2009/9/ac" r="4" x14ac:dyDescent="0.2">
      <c r="A4" s="135" t="s">
        <v>200</v>
      </c>
      <c r="B4" s="135" t="s">
        <v>2249</v>
      </c>
      <c r="C4" s="135" t="s">
        <v>208</v>
      </c>
      <c r="D4" s="135" t="s">
        <v>209</v>
      </c>
      <c r="E4" s="135" t="s">
        <v>210</v>
      </c>
      <c r="F4" s="135" t="s">
        <v>211</v>
      </c>
      <c r="J4" s="135" t="s">
        <v>195</v>
      </c>
      <c r="L4" s="142" t="s">
        <v>804</v>
      </c>
      <c r="M4" s="142" t="s">
        <v>805</v>
      </c>
      <c r="N4" s="142" t="s">
        <v>805</v>
      </c>
      <c r="O4" s="142" t="s">
        <v>805</v>
      </c>
      <c r="P4" s="142" t="s">
        <v>806</v>
      </c>
      <c r="Q4" s="142" t="s">
        <v>807</v>
      </c>
      <c r="R4" s="142"/>
      <c r="S4" s="142"/>
      <c r="T4" s="142" t="s">
        <v>804</v>
      </c>
    </row>
    <row xmlns:x14ac="http://schemas.microsoft.com/office/spreadsheetml/2009/9/ac" r="5" x14ac:dyDescent="0.2">
      <c r="A5" s="135" t="s">
        <v>200</v>
      </c>
      <c r="B5" s="135" t="s">
        <v>212</v>
      </c>
      <c r="C5" s="135" t="s">
        <v>2093</v>
      </c>
      <c r="D5" s="135" t="s">
        <v>213</v>
      </c>
      <c r="E5" s="135" t="s">
        <v>214</v>
      </c>
      <c r="F5" s="135" t="s">
        <v>215</v>
      </c>
      <c r="J5" s="135" t="s">
        <v>197</v>
      </c>
      <c r="L5" s="142" t="s">
        <v>808</v>
      </c>
      <c r="M5" s="142" t="s">
        <v>809</v>
      </c>
      <c r="N5" s="142" t="s">
        <v>809</v>
      </c>
      <c r="O5" s="142" t="s">
        <v>810</v>
      </c>
      <c r="P5" s="142" t="s">
        <v>811</v>
      </c>
      <c r="Q5" s="142" t="s">
        <v>812</v>
      </c>
      <c r="R5" s="142"/>
      <c r="S5" s="142"/>
      <c r="T5" s="142" t="s">
        <v>808</v>
      </c>
    </row>
    <row xmlns:x14ac="http://schemas.microsoft.com/office/spreadsheetml/2009/9/ac" r="6" x14ac:dyDescent="0.2">
      <c r="A6" s="135" t="s">
        <v>200</v>
      </c>
      <c r="B6" s="135" t="s">
        <v>216</v>
      </c>
      <c r="C6" s="135" t="s">
        <v>2094</v>
      </c>
      <c r="D6" s="135" t="s">
        <v>217</v>
      </c>
      <c r="E6" s="135" t="s">
        <v>218</v>
      </c>
      <c r="F6" s="135" t="s">
        <v>219</v>
      </c>
      <c r="J6" s="135" t="s">
        <v>196</v>
      </c>
      <c r="L6" s="142" t="s">
        <v>813</v>
      </c>
      <c r="M6" s="142" t="s">
        <v>814</v>
      </c>
      <c r="N6" s="142" t="s">
        <v>815</v>
      </c>
      <c r="O6" s="142" t="s">
        <v>816</v>
      </c>
      <c r="P6" s="142" t="s">
        <v>817</v>
      </c>
      <c r="Q6" s="142" t="s">
        <v>818</v>
      </c>
      <c r="R6" s="142"/>
      <c r="S6" s="142"/>
      <c r="T6" s="142" t="s">
        <v>813</v>
      </c>
    </row>
    <row xmlns:x14ac="http://schemas.microsoft.com/office/spreadsheetml/2009/9/ac" r="7" x14ac:dyDescent="0.2">
      <c r="A7" s="135" t="s">
        <v>200</v>
      </c>
      <c r="B7" s="135" t="s">
        <v>124</v>
      </c>
      <c r="C7" s="135" t="s">
        <v>220</v>
      </c>
      <c r="D7" s="135" t="s">
        <v>221</v>
      </c>
      <c r="E7" s="135" t="s">
        <v>222</v>
      </c>
      <c r="F7" s="135" t="s">
        <v>223</v>
      </c>
      <c r="J7" s="135" t="s">
        <v>786</v>
      </c>
      <c r="L7" s="142" t="s">
        <v>819</v>
      </c>
      <c r="M7" s="142" t="s">
        <v>820</v>
      </c>
      <c r="N7" s="142" t="s">
        <v>821</v>
      </c>
      <c r="O7" s="142" t="s">
        <v>820</v>
      </c>
      <c r="P7" s="142" t="s">
        <v>822</v>
      </c>
      <c r="Q7" s="142" t="s">
        <v>823</v>
      </c>
      <c r="R7" s="142"/>
      <c r="S7" s="142"/>
      <c r="T7" s="142" t="s">
        <v>819</v>
      </c>
    </row>
    <row xmlns:x14ac="http://schemas.microsoft.com/office/spreadsheetml/2009/9/ac" r="8" x14ac:dyDescent="0.2">
      <c r="A8" s="135" t="s">
        <v>200</v>
      </c>
      <c r="B8" s="135" t="s">
        <v>125</v>
      </c>
      <c r="C8" s="135" t="s">
        <v>224</v>
      </c>
      <c r="D8" s="135" t="s">
        <v>225</v>
      </c>
      <c r="E8" s="135" t="s">
        <v>226</v>
      </c>
      <c r="F8" s="135" t="s">
        <v>227</v>
      </c>
      <c r="J8" s="135" t="s">
        <v>199</v>
      </c>
      <c r="L8" s="142" t="s">
        <v>824</v>
      </c>
      <c r="M8" s="142" t="s">
        <v>825</v>
      </c>
      <c r="N8" s="142" t="s">
        <v>826</v>
      </c>
      <c r="O8" s="142" t="s">
        <v>825</v>
      </c>
      <c r="P8" s="142" t="s">
        <v>827</v>
      </c>
      <c r="Q8" s="142" t="s">
        <v>828</v>
      </c>
      <c r="R8" s="142"/>
      <c r="S8" s="142"/>
      <c r="T8" s="142" t="s">
        <v>824</v>
      </c>
    </row>
    <row xmlns:x14ac="http://schemas.microsoft.com/office/spreadsheetml/2009/9/ac" r="9" x14ac:dyDescent="0.2">
      <c r="A9" s="135" t="s">
        <v>200</v>
      </c>
      <c r="B9" s="135" t="s">
        <v>123</v>
      </c>
      <c r="C9" s="135" t="s">
        <v>228</v>
      </c>
      <c r="D9" s="135" t="s">
        <v>229</v>
      </c>
      <c r="E9" s="135" t="s">
        <v>230</v>
      </c>
      <c r="F9" s="135" t="s">
        <v>231</v>
      </c>
      <c r="L9" s="142" t="s">
        <v>829</v>
      </c>
      <c r="M9" s="142" t="s">
        <v>830</v>
      </c>
      <c r="N9" s="142" t="s">
        <v>831</v>
      </c>
      <c r="O9" s="142" t="s">
        <v>832</v>
      </c>
      <c r="P9" s="142" t="s">
        <v>833</v>
      </c>
      <c r="Q9" s="142" t="s">
        <v>834</v>
      </c>
      <c r="R9" s="142"/>
      <c r="S9" s="142"/>
      <c r="T9" s="142" t="s">
        <v>829</v>
      </c>
    </row>
    <row xmlns:x14ac="http://schemas.microsoft.com/office/spreadsheetml/2009/9/ac" r="10" x14ac:dyDescent="0.2">
      <c r="A10" s="135" t="s">
        <v>200</v>
      </c>
      <c r="B10" s="135" t="s">
        <v>121</v>
      </c>
      <c r="C10" s="135" t="s">
        <v>232</v>
      </c>
      <c r="D10" s="135" t="s">
        <v>233</v>
      </c>
      <c r="E10" s="135" t="s">
        <v>234</v>
      </c>
      <c r="F10" s="135" t="s">
        <v>235</v>
      </c>
      <c r="L10" s="142" t="s">
        <v>835</v>
      </c>
      <c r="M10" s="142" t="s">
        <v>836</v>
      </c>
      <c r="N10" s="142" t="s">
        <v>837</v>
      </c>
      <c r="O10" s="142" t="s">
        <v>836</v>
      </c>
      <c r="P10" s="142" t="s">
        <v>838</v>
      </c>
      <c r="Q10" s="142" t="s">
        <v>839</v>
      </c>
      <c r="R10" s="142"/>
      <c r="S10" s="142"/>
      <c r="T10" s="142" t="s">
        <v>835</v>
      </c>
    </row>
    <row xmlns:x14ac="http://schemas.microsoft.com/office/spreadsheetml/2009/9/ac" r="11" x14ac:dyDescent="0.2">
      <c r="A11" s="135" t="s">
        <v>200</v>
      </c>
      <c r="B11" s="135" t="s">
        <v>102</v>
      </c>
      <c r="C11" s="135" t="s">
        <v>236</v>
      </c>
      <c r="D11" s="135" t="s">
        <v>237</v>
      </c>
      <c r="E11" s="135" t="s">
        <v>238</v>
      </c>
      <c r="F11" s="135" t="s">
        <v>239</v>
      </c>
      <c r="L11" s="142" t="s">
        <v>840</v>
      </c>
      <c r="M11" s="142" t="s">
        <v>841</v>
      </c>
      <c r="N11" s="142" t="s">
        <v>842</v>
      </c>
      <c r="O11" s="142" t="s">
        <v>841</v>
      </c>
      <c r="P11" s="142" t="s">
        <v>843</v>
      </c>
      <c r="Q11" s="142" t="s">
        <v>844</v>
      </c>
      <c r="R11" s="142"/>
      <c r="S11" s="142"/>
      <c r="T11" s="142" t="s">
        <v>840</v>
      </c>
    </row>
    <row xmlns:x14ac="http://schemas.microsoft.com/office/spreadsheetml/2009/9/ac" r="12" x14ac:dyDescent="0.2">
      <c r="A12" s="135" t="s">
        <v>200</v>
      </c>
      <c r="B12" s="135" t="s">
        <v>122</v>
      </c>
      <c r="C12" s="135" t="s">
        <v>240</v>
      </c>
      <c r="D12" s="135" t="s">
        <v>241</v>
      </c>
      <c r="E12" s="135" t="s">
        <v>242</v>
      </c>
      <c r="F12" s="135" t="s">
        <v>243</v>
      </c>
      <c r="L12" s="142" t="s">
        <v>845</v>
      </c>
      <c r="M12" s="142" t="s">
        <v>846</v>
      </c>
      <c r="N12" s="142" t="s">
        <v>847</v>
      </c>
      <c r="O12" s="142" t="s">
        <v>848</v>
      </c>
      <c r="P12" s="142" t="s">
        <v>849</v>
      </c>
      <c r="Q12" s="142" t="s">
        <v>850</v>
      </c>
      <c r="R12" s="142"/>
      <c r="S12" s="142"/>
      <c r="T12" s="142" t="s">
        <v>845</v>
      </c>
    </row>
    <row xmlns:x14ac="http://schemas.microsoft.com/office/spreadsheetml/2009/9/ac" r="13" x14ac:dyDescent="0.2">
      <c r="A13" s="135" t="s">
        <v>200</v>
      </c>
      <c r="B13" s="135" t="s">
        <v>126</v>
      </c>
      <c r="C13" s="135" t="s">
        <v>244</v>
      </c>
      <c r="D13" s="135" t="s">
        <v>245</v>
      </c>
      <c r="E13" s="135" t="s">
        <v>246</v>
      </c>
      <c r="F13" s="135" t="s">
        <v>247</v>
      </c>
      <c r="L13" s="142" t="s">
        <v>851</v>
      </c>
      <c r="M13" s="142" t="s">
        <v>852</v>
      </c>
      <c r="N13" s="142" t="s">
        <v>853</v>
      </c>
      <c r="O13" s="142" t="s">
        <v>854</v>
      </c>
      <c r="P13" s="142" t="s">
        <v>855</v>
      </c>
      <c r="Q13" s="142" t="s">
        <v>856</v>
      </c>
      <c r="R13" s="142"/>
      <c r="S13" s="142"/>
      <c r="T13" s="142" t="s">
        <v>851</v>
      </c>
    </row>
    <row xmlns:x14ac="http://schemas.microsoft.com/office/spreadsheetml/2009/9/ac" r="14" x14ac:dyDescent="0.2">
      <c r="A14" s="135" t="s">
        <v>200</v>
      </c>
      <c r="B14" s="135" t="s">
        <v>127</v>
      </c>
      <c r="C14" s="135" t="s">
        <v>248</v>
      </c>
      <c r="D14" s="135" t="s">
        <v>249</v>
      </c>
      <c r="E14" s="135" t="s">
        <v>250</v>
      </c>
      <c r="F14" s="135" t="s">
        <v>251</v>
      </c>
      <c r="L14" s="142" t="s">
        <v>857</v>
      </c>
      <c r="M14" s="142" t="s">
        <v>858</v>
      </c>
      <c r="N14" s="142" t="s">
        <v>859</v>
      </c>
      <c r="O14" s="142" t="s">
        <v>860</v>
      </c>
      <c r="P14" s="142" t="s">
        <v>861</v>
      </c>
      <c r="Q14" s="142" t="s">
        <v>862</v>
      </c>
      <c r="R14" s="142"/>
      <c r="S14" s="142"/>
      <c r="T14" s="142" t="s">
        <v>857</v>
      </c>
    </row>
    <row xmlns:x14ac="http://schemas.microsoft.com/office/spreadsheetml/2009/9/ac" r="15" x14ac:dyDescent="0.2">
      <c r="A15" s="135" t="s">
        <v>200</v>
      </c>
      <c r="B15" s="135" t="s">
        <v>26</v>
      </c>
      <c r="C15" s="135" t="s">
        <v>252</v>
      </c>
      <c r="D15" s="135" t="s">
        <v>253</v>
      </c>
      <c r="E15" s="135" t="s">
        <v>254</v>
      </c>
      <c r="F15" s="135" t="s">
        <v>255</v>
      </c>
      <c r="L15" s="142" t="s">
        <v>863</v>
      </c>
      <c r="M15" s="142" t="s">
        <v>864</v>
      </c>
      <c r="N15" s="142" t="s">
        <v>865</v>
      </c>
      <c r="O15" s="142" t="s">
        <v>864</v>
      </c>
      <c r="P15" s="142" t="s">
        <v>866</v>
      </c>
      <c r="Q15" s="142" t="s">
        <v>867</v>
      </c>
      <c r="R15" s="142"/>
      <c r="S15" s="142"/>
      <c r="T15" s="142" t="s">
        <v>863</v>
      </c>
    </row>
    <row xmlns:x14ac="http://schemas.microsoft.com/office/spreadsheetml/2009/9/ac" r="16" x14ac:dyDescent="0.2">
      <c r="A16" s="135" t="s">
        <v>200</v>
      </c>
      <c r="B16" s="135" t="s">
        <v>2124</v>
      </c>
      <c r="C16" s="135" t="s">
        <v>2138</v>
      </c>
      <c r="D16" s="135" t="s">
        <v>2160</v>
      </c>
      <c r="E16" s="135" t="s">
        <v>2183</v>
      </c>
      <c r="F16" s="135" t="s">
        <v>2204</v>
      </c>
      <c r="L16" s="142" t="s">
        <v>868</v>
      </c>
      <c r="M16" s="142" t="s">
        <v>869</v>
      </c>
      <c r="N16" s="142" t="s">
        <v>870</v>
      </c>
      <c r="O16" s="142" t="s">
        <v>869</v>
      </c>
      <c r="P16" s="142" t="s">
        <v>871</v>
      </c>
      <c r="Q16" s="142" t="s">
        <v>872</v>
      </c>
      <c r="R16" s="142"/>
      <c r="S16" s="142"/>
      <c r="T16" s="142" t="s">
        <v>868</v>
      </c>
    </row>
    <row xmlns:x14ac="http://schemas.microsoft.com/office/spreadsheetml/2009/9/ac" r="17" x14ac:dyDescent="0.2">
      <c r="A17" s="135" t="s">
        <v>200</v>
      </c>
      <c r="B17" s="135" t="s">
        <v>128</v>
      </c>
      <c r="C17" s="135" t="s">
        <v>256</v>
      </c>
      <c r="D17" s="135" t="s">
        <v>257</v>
      </c>
      <c r="E17" s="135" t="s">
        <v>258</v>
      </c>
      <c r="F17" s="135" t="s">
        <v>259</v>
      </c>
      <c r="L17" s="142" t="s">
        <v>873</v>
      </c>
      <c r="M17" s="142" t="s">
        <v>874</v>
      </c>
      <c r="N17" s="142" t="s">
        <v>875</v>
      </c>
      <c r="O17" s="142" t="s">
        <v>876</v>
      </c>
      <c r="P17" s="142" t="s">
        <v>877</v>
      </c>
      <c r="Q17" s="142" t="s">
        <v>878</v>
      </c>
      <c r="R17" s="142"/>
      <c r="S17" s="142"/>
      <c r="T17" s="142" t="s">
        <v>873</v>
      </c>
    </row>
    <row xmlns:x14ac="http://schemas.microsoft.com/office/spreadsheetml/2009/9/ac" r="18" x14ac:dyDescent="0.2">
      <c r="A18" s="135" t="s">
        <v>260</v>
      </c>
      <c r="B18" s="135" t="s">
        <v>15</v>
      </c>
      <c r="C18" s="135" t="s">
        <v>261</v>
      </c>
      <c r="D18" s="135" t="s">
        <v>262</v>
      </c>
      <c r="E18" s="135" t="s">
        <v>263</v>
      </c>
      <c r="F18" s="135" t="s">
        <v>264</v>
      </c>
      <c r="L18" s="142" t="s">
        <v>879</v>
      </c>
      <c r="M18" s="142" t="s">
        <v>880</v>
      </c>
      <c r="N18" s="142" t="s">
        <v>880</v>
      </c>
      <c r="O18" s="142" t="s">
        <v>880</v>
      </c>
      <c r="P18" s="142" t="s">
        <v>881</v>
      </c>
      <c r="Q18" s="142" t="s">
        <v>882</v>
      </c>
      <c r="R18" s="142"/>
      <c r="S18" s="142"/>
      <c r="T18" s="142" t="s">
        <v>879</v>
      </c>
    </row>
    <row xmlns:x14ac="http://schemas.microsoft.com/office/spreadsheetml/2009/9/ac" r="19" x14ac:dyDescent="0.2">
      <c r="A19" s="135" t="s">
        <v>260</v>
      </c>
      <c r="B19" s="135" t="s">
        <v>99</v>
      </c>
      <c r="C19" s="135" t="s">
        <v>265</v>
      </c>
      <c r="D19" s="135" t="s">
        <v>266</v>
      </c>
      <c r="E19" s="135" t="s">
        <v>267</v>
      </c>
      <c r="F19" s="135" t="s">
        <v>268</v>
      </c>
      <c r="L19" s="142" t="s">
        <v>883</v>
      </c>
      <c r="M19" s="142" t="s">
        <v>884</v>
      </c>
      <c r="N19" s="142" t="s">
        <v>885</v>
      </c>
      <c r="O19" s="142" t="s">
        <v>886</v>
      </c>
      <c r="P19" s="142" t="s">
        <v>887</v>
      </c>
      <c r="Q19" s="142" t="s">
        <v>888</v>
      </c>
      <c r="R19" s="142"/>
      <c r="S19" s="142"/>
      <c r="T19" s="142" t="s">
        <v>883</v>
      </c>
    </row>
    <row xmlns:x14ac="http://schemas.microsoft.com/office/spreadsheetml/2009/9/ac" r="20" x14ac:dyDescent="0.2">
      <c r="A20" s="135" t="s">
        <v>269</v>
      </c>
      <c r="B20" s="135" t="s">
        <v>16</v>
      </c>
      <c r="C20" s="135" t="s">
        <v>270</v>
      </c>
      <c r="D20" s="135" t="s">
        <v>271</v>
      </c>
      <c r="E20" s="135" t="s">
        <v>272</v>
      </c>
      <c r="F20" s="135" t="s">
        <v>273</v>
      </c>
      <c r="L20" s="142" t="s">
        <v>889</v>
      </c>
      <c r="M20" s="142" t="s">
        <v>890</v>
      </c>
      <c r="N20" s="142" t="s">
        <v>891</v>
      </c>
      <c r="O20" s="142" t="s">
        <v>890</v>
      </c>
      <c r="P20" s="142" t="s">
        <v>892</v>
      </c>
      <c r="Q20" s="142" t="s">
        <v>893</v>
      </c>
      <c r="R20" s="142"/>
      <c r="S20" s="142"/>
      <c r="T20" s="142" t="s">
        <v>889</v>
      </c>
    </row>
    <row xmlns:x14ac="http://schemas.microsoft.com/office/spreadsheetml/2009/9/ac" r="21" x14ac:dyDescent="0.2">
      <c r="A21" s="135" t="s">
        <v>274</v>
      </c>
      <c r="B21" s="135" t="s">
        <v>17</v>
      </c>
      <c r="C21" s="135" t="s">
        <v>275</v>
      </c>
      <c r="D21" s="135" t="s">
        <v>276</v>
      </c>
      <c r="E21" s="135" t="s">
        <v>277</v>
      </c>
      <c r="F21" s="135" t="s">
        <v>278</v>
      </c>
      <c r="L21" s="142" t="s">
        <v>894</v>
      </c>
      <c r="M21" s="142" t="s">
        <v>895</v>
      </c>
      <c r="N21" s="142" t="s">
        <v>896</v>
      </c>
      <c r="O21" s="142" t="s">
        <v>897</v>
      </c>
      <c r="P21" s="142" t="s">
        <v>898</v>
      </c>
      <c r="Q21" s="142" t="s">
        <v>899</v>
      </c>
      <c r="R21" s="142"/>
      <c r="S21" s="142"/>
      <c r="T21" s="142" t="s">
        <v>894</v>
      </c>
    </row>
    <row xmlns:x14ac="http://schemas.microsoft.com/office/spreadsheetml/2009/9/ac" r="22" x14ac:dyDescent="0.2">
      <c r="A22" s="135" t="s">
        <v>260</v>
      </c>
      <c r="B22" s="135" t="s">
        <v>129</v>
      </c>
      <c r="C22" s="135" t="s">
        <v>279</v>
      </c>
      <c r="D22" s="135" t="s">
        <v>280</v>
      </c>
      <c r="E22" s="135" t="s">
        <v>281</v>
      </c>
      <c r="F22" s="135" t="s">
        <v>282</v>
      </c>
      <c r="L22" s="142" t="s">
        <v>900</v>
      </c>
      <c r="M22" s="142" t="s">
        <v>901</v>
      </c>
      <c r="N22" s="142" t="s">
        <v>901</v>
      </c>
      <c r="O22" s="142" t="s">
        <v>901</v>
      </c>
      <c r="P22" s="142" t="s">
        <v>902</v>
      </c>
      <c r="Q22" s="142" t="s">
        <v>903</v>
      </c>
      <c r="R22" s="142"/>
      <c r="S22" s="142"/>
      <c r="T22" s="142" t="s">
        <v>900</v>
      </c>
    </row>
    <row xmlns:x14ac="http://schemas.microsoft.com/office/spreadsheetml/2009/9/ac" r="23" x14ac:dyDescent="0.2">
      <c r="A23" s="135" t="s">
        <v>269</v>
      </c>
      <c r="B23" s="135" t="s">
        <v>9</v>
      </c>
      <c r="C23" s="135" t="s">
        <v>283</v>
      </c>
      <c r="D23" s="135" t="s">
        <v>284</v>
      </c>
      <c r="E23" s="135" t="s">
        <v>285</v>
      </c>
      <c r="F23" s="135" t="s">
        <v>286</v>
      </c>
      <c r="L23" s="142" t="s">
        <v>904</v>
      </c>
      <c r="M23" s="142" t="s">
        <v>905</v>
      </c>
      <c r="N23" s="142" t="s">
        <v>905</v>
      </c>
      <c r="O23" s="142" t="s">
        <v>905</v>
      </c>
      <c r="P23" s="142" t="s">
        <v>906</v>
      </c>
      <c r="Q23" s="142" t="s">
        <v>907</v>
      </c>
      <c r="R23" s="142"/>
      <c r="S23" s="142"/>
      <c r="T23" s="142" t="s">
        <v>904</v>
      </c>
    </row>
    <row xmlns:x14ac="http://schemas.microsoft.com/office/spreadsheetml/2009/9/ac" r="24" x14ac:dyDescent="0.2">
      <c r="A24" s="135" t="s">
        <v>269</v>
      </c>
      <c r="B24" s="135" t="s">
        <v>7</v>
      </c>
      <c r="C24" s="135" t="s">
        <v>287</v>
      </c>
      <c r="D24" s="135" t="s">
        <v>288</v>
      </c>
      <c r="E24" s="135" t="s">
        <v>289</v>
      </c>
      <c r="F24" s="135" t="s">
        <v>290</v>
      </c>
      <c r="L24" s="142" t="s">
        <v>908</v>
      </c>
      <c r="M24" s="142" t="s">
        <v>909</v>
      </c>
      <c r="N24" s="142" t="s">
        <v>910</v>
      </c>
      <c r="O24" s="142" t="s">
        <v>909</v>
      </c>
      <c r="P24" s="142" t="s">
        <v>911</v>
      </c>
      <c r="Q24" s="142" t="s">
        <v>912</v>
      </c>
      <c r="R24" s="142"/>
      <c r="S24" s="142"/>
      <c r="T24" s="142" t="s">
        <v>908</v>
      </c>
    </row>
    <row xmlns:x14ac="http://schemas.microsoft.com/office/spreadsheetml/2009/9/ac" r="25" x14ac:dyDescent="0.2">
      <c r="A25" s="135" t="s">
        <v>260</v>
      </c>
      <c r="B25" s="135" t="s">
        <v>10</v>
      </c>
      <c r="C25" s="135" t="s">
        <v>291</v>
      </c>
      <c r="D25" s="135" t="s">
        <v>292</v>
      </c>
      <c r="E25" s="135" t="s">
        <v>293</v>
      </c>
      <c r="F25" s="135" t="s">
        <v>294</v>
      </c>
      <c r="L25" s="142" t="s">
        <v>913</v>
      </c>
      <c r="M25" s="142" t="s">
        <v>914</v>
      </c>
      <c r="N25" s="142" t="s">
        <v>915</v>
      </c>
      <c r="O25" s="142" t="s">
        <v>916</v>
      </c>
      <c r="P25" s="142" t="s">
        <v>917</v>
      </c>
      <c r="Q25" s="142" t="s">
        <v>918</v>
      </c>
      <c r="R25" s="142"/>
      <c r="S25" s="142"/>
      <c r="T25" s="142" t="s">
        <v>913</v>
      </c>
    </row>
    <row xmlns:x14ac="http://schemas.microsoft.com/office/spreadsheetml/2009/9/ac" r="26" x14ac:dyDescent="0.2">
      <c r="A26" s="135" t="s">
        <v>260</v>
      </c>
      <c r="B26" s="135" t="s">
        <v>11</v>
      </c>
      <c r="C26" s="135" t="s">
        <v>295</v>
      </c>
      <c r="D26" s="135" t="s">
        <v>296</v>
      </c>
      <c r="E26" s="135" t="s">
        <v>297</v>
      </c>
      <c r="F26" s="135" t="s">
        <v>298</v>
      </c>
      <c r="L26" s="142" t="s">
        <v>919</v>
      </c>
      <c r="M26" s="142" t="s">
        <v>920</v>
      </c>
      <c r="N26" s="142" t="s">
        <v>920</v>
      </c>
      <c r="O26" s="142" t="s">
        <v>920</v>
      </c>
      <c r="P26" s="142" t="s">
        <v>921</v>
      </c>
      <c r="Q26" s="142" t="s">
        <v>922</v>
      </c>
      <c r="R26" s="142"/>
      <c r="S26" s="142"/>
      <c r="T26" s="142" t="s">
        <v>919</v>
      </c>
    </row>
    <row xmlns:x14ac="http://schemas.microsoft.com/office/spreadsheetml/2009/9/ac" r="27" x14ac:dyDescent="0.2">
      <c r="A27" s="135" t="s">
        <v>260</v>
      </c>
      <c r="B27" s="135" t="s">
        <v>82</v>
      </c>
      <c r="C27" s="135" t="s">
        <v>2074</v>
      </c>
      <c r="D27" s="135" t="s">
        <v>299</v>
      </c>
      <c r="E27" s="135" t="s">
        <v>300</v>
      </c>
      <c r="F27" s="135" t="s">
        <v>301</v>
      </c>
      <c r="L27" s="142" t="s">
        <v>923</v>
      </c>
      <c r="M27" s="142" t="s">
        <v>924</v>
      </c>
      <c r="N27" s="142" t="s">
        <v>925</v>
      </c>
      <c r="O27" s="142" t="s">
        <v>926</v>
      </c>
      <c r="P27" s="142" t="s">
        <v>927</v>
      </c>
      <c r="Q27" s="142" t="s">
        <v>928</v>
      </c>
      <c r="R27" s="142"/>
      <c r="S27" s="142"/>
      <c r="T27" s="142" t="s">
        <v>923</v>
      </c>
    </row>
    <row xmlns:x14ac="http://schemas.microsoft.com/office/spreadsheetml/2009/9/ac" r="28" x14ac:dyDescent="0.2">
      <c r="A28" s="135" t="s">
        <v>302</v>
      </c>
      <c r="B28" s="135" t="s">
        <v>107</v>
      </c>
      <c r="C28" s="135" t="s">
        <v>2075</v>
      </c>
      <c r="D28" s="135" t="s">
        <v>303</v>
      </c>
      <c r="E28" s="135" t="s">
        <v>304</v>
      </c>
      <c r="F28" s="135" t="s">
        <v>305</v>
      </c>
      <c r="L28" s="142" t="s">
        <v>929</v>
      </c>
      <c r="M28" s="142" t="s">
        <v>930</v>
      </c>
      <c r="N28" s="142" t="s">
        <v>931</v>
      </c>
      <c r="O28" s="142" t="s">
        <v>932</v>
      </c>
      <c r="P28" s="142" t="s">
        <v>933</v>
      </c>
      <c r="Q28" s="142" t="s">
        <v>934</v>
      </c>
      <c r="R28" s="142"/>
      <c r="S28" s="142"/>
      <c r="T28" s="142" t="s">
        <v>929</v>
      </c>
    </row>
    <row xmlns:x14ac="http://schemas.microsoft.com/office/spreadsheetml/2009/9/ac" r="29" x14ac:dyDescent="0.2">
      <c r="A29" s="135" t="s">
        <v>260</v>
      </c>
      <c r="B29" s="135" t="s">
        <v>12</v>
      </c>
      <c r="C29" s="135" t="s">
        <v>306</v>
      </c>
      <c r="D29" s="135" t="s">
        <v>307</v>
      </c>
      <c r="E29" s="135" t="s">
        <v>308</v>
      </c>
      <c r="F29" s="135" t="s">
        <v>309</v>
      </c>
      <c r="L29" s="142" t="s">
        <v>935</v>
      </c>
      <c r="M29" s="142" t="s">
        <v>936</v>
      </c>
      <c r="N29" s="142" t="s">
        <v>937</v>
      </c>
      <c r="O29" s="142" t="s">
        <v>938</v>
      </c>
      <c r="P29" s="142" t="s">
        <v>939</v>
      </c>
      <c r="Q29" s="142" t="s">
        <v>940</v>
      </c>
      <c r="R29" s="142"/>
      <c r="S29" s="142"/>
      <c r="T29" s="142" t="s">
        <v>935</v>
      </c>
    </row>
    <row xmlns:x14ac="http://schemas.microsoft.com/office/spreadsheetml/2009/9/ac" r="30" x14ac:dyDescent="0.2">
      <c r="A30" s="135" t="s">
        <v>260</v>
      </c>
      <c r="B30" s="135" t="s">
        <v>86</v>
      </c>
      <c r="C30" s="135" t="s">
        <v>310</v>
      </c>
      <c r="D30" s="135" t="s">
        <v>311</v>
      </c>
      <c r="E30" s="135" t="s">
        <v>312</v>
      </c>
      <c r="F30" s="135" t="s">
        <v>313</v>
      </c>
      <c r="L30" s="142" t="s">
        <v>941</v>
      </c>
      <c r="M30" s="142" t="s">
        <v>942</v>
      </c>
      <c r="N30" s="142" t="s">
        <v>942</v>
      </c>
      <c r="O30" s="142" t="s">
        <v>943</v>
      </c>
      <c r="P30" s="142" t="s">
        <v>944</v>
      </c>
      <c r="Q30" s="142" t="s">
        <v>945</v>
      </c>
      <c r="R30" s="142"/>
      <c r="S30" s="142"/>
      <c r="T30" s="142" t="s">
        <v>941</v>
      </c>
    </row>
    <row xmlns:x14ac="http://schemas.microsoft.com/office/spreadsheetml/2009/9/ac" r="31" x14ac:dyDescent="0.2">
      <c r="A31" s="135" t="s">
        <v>269</v>
      </c>
      <c r="B31" s="135" t="s">
        <v>13</v>
      </c>
      <c r="C31" s="135" t="s">
        <v>2076</v>
      </c>
      <c r="D31" s="135" t="s">
        <v>315</v>
      </c>
      <c r="E31" s="135" t="s">
        <v>316</v>
      </c>
      <c r="F31" s="135" t="s">
        <v>317</v>
      </c>
      <c r="L31" s="142" t="s">
        <v>946</v>
      </c>
      <c r="M31" s="142" t="s">
        <v>947</v>
      </c>
      <c r="N31" s="142" t="s">
        <v>948</v>
      </c>
      <c r="O31" s="142" t="s">
        <v>947</v>
      </c>
      <c r="P31" s="142" t="s">
        <v>949</v>
      </c>
      <c r="Q31" s="142" t="s">
        <v>950</v>
      </c>
      <c r="R31" s="142"/>
      <c r="S31" s="142"/>
      <c r="T31" s="142" t="s">
        <v>946</v>
      </c>
    </row>
    <row xmlns:x14ac="http://schemas.microsoft.com/office/spreadsheetml/2009/9/ac" r="32" x14ac:dyDescent="0.2">
      <c r="A32" s="135" t="s">
        <v>302</v>
      </c>
      <c r="B32" s="135" t="s">
        <v>100</v>
      </c>
      <c r="C32" s="135" t="s">
        <v>318</v>
      </c>
      <c r="D32" s="135" t="s">
        <v>319</v>
      </c>
      <c r="E32" s="135" t="s">
        <v>320</v>
      </c>
      <c r="F32" s="135" t="s">
        <v>321</v>
      </c>
      <c r="L32" s="142" t="s">
        <v>951</v>
      </c>
      <c r="M32" s="142" t="s">
        <v>952</v>
      </c>
      <c r="N32" s="142" t="s">
        <v>953</v>
      </c>
      <c r="O32" s="142" t="s">
        <v>954</v>
      </c>
      <c r="P32" s="142" t="s">
        <v>955</v>
      </c>
      <c r="Q32" s="142" t="s">
        <v>956</v>
      </c>
      <c r="R32" s="142"/>
      <c r="S32" s="142"/>
      <c r="T32" s="142" t="s">
        <v>951</v>
      </c>
    </row>
    <row xmlns:x14ac="http://schemas.microsoft.com/office/spreadsheetml/2009/9/ac" r="33" x14ac:dyDescent="0.2">
      <c r="A33" s="135" t="s">
        <v>322</v>
      </c>
      <c r="B33" s="135" t="s">
        <v>130</v>
      </c>
      <c r="C33" s="135" t="s">
        <v>323</v>
      </c>
      <c r="D33" s="135" t="s">
        <v>324</v>
      </c>
      <c r="E33" s="135" t="s">
        <v>325</v>
      </c>
      <c r="F33" s="135" t="s">
        <v>326</v>
      </c>
      <c r="L33" s="142" t="s">
        <v>957</v>
      </c>
      <c r="M33" s="142" t="s">
        <v>958</v>
      </c>
      <c r="N33" s="142" t="s">
        <v>959</v>
      </c>
      <c r="O33" s="142" t="s">
        <v>960</v>
      </c>
      <c r="P33" s="142" t="s">
        <v>961</v>
      </c>
      <c r="Q33" s="142" t="s">
        <v>962</v>
      </c>
      <c r="R33" s="142"/>
      <c r="S33" s="142"/>
      <c r="T33" s="142" t="s">
        <v>957</v>
      </c>
    </row>
    <row xmlns:x14ac="http://schemas.microsoft.com/office/spreadsheetml/2009/9/ac" r="34" x14ac:dyDescent="0.2">
      <c r="A34" s="135" t="s">
        <v>327</v>
      </c>
      <c r="B34" s="135" t="s">
        <v>131</v>
      </c>
      <c r="C34" s="135" t="s">
        <v>328</v>
      </c>
      <c r="D34" s="135" t="s">
        <v>329</v>
      </c>
      <c r="E34" s="135" t="s">
        <v>330</v>
      </c>
      <c r="F34" s="135" t="s">
        <v>331</v>
      </c>
      <c r="L34" s="142" t="s">
        <v>963</v>
      </c>
      <c r="M34" s="142" t="s">
        <v>964</v>
      </c>
      <c r="N34" s="142" t="s">
        <v>965</v>
      </c>
      <c r="O34" s="142" t="s">
        <v>964</v>
      </c>
      <c r="P34" s="142" t="s">
        <v>966</v>
      </c>
      <c r="Q34" s="142" t="s">
        <v>967</v>
      </c>
      <c r="R34" s="142"/>
      <c r="S34" s="142"/>
      <c r="T34" s="142" t="s">
        <v>963</v>
      </c>
    </row>
    <row xmlns:x14ac="http://schemas.microsoft.com/office/spreadsheetml/2009/9/ac" r="35" x14ac:dyDescent="0.2">
      <c r="A35" s="135" t="s">
        <v>327</v>
      </c>
      <c r="B35" s="135" t="s">
        <v>132</v>
      </c>
      <c r="C35" s="135" t="s">
        <v>332</v>
      </c>
      <c r="D35" s="135" t="s">
        <v>333</v>
      </c>
      <c r="E35" s="135" t="s">
        <v>334</v>
      </c>
      <c r="F35" s="135" t="s">
        <v>335</v>
      </c>
      <c r="L35" s="142" t="s">
        <v>968</v>
      </c>
      <c r="M35" s="142" t="s">
        <v>969</v>
      </c>
      <c r="N35" s="142" t="s">
        <v>970</v>
      </c>
      <c r="O35" s="142" t="s">
        <v>969</v>
      </c>
      <c r="P35" s="142" t="s">
        <v>971</v>
      </c>
      <c r="Q35" s="142" t="s">
        <v>972</v>
      </c>
      <c r="R35" s="142"/>
      <c r="S35" s="142"/>
      <c r="T35" s="142" t="s">
        <v>968</v>
      </c>
    </row>
    <row xmlns:x14ac="http://schemas.microsoft.com/office/spreadsheetml/2009/9/ac" r="36" x14ac:dyDescent="0.2">
      <c r="A36" s="135" t="s">
        <v>327</v>
      </c>
      <c r="B36" s="135" t="s">
        <v>151</v>
      </c>
      <c r="C36" s="135" t="s">
        <v>336</v>
      </c>
      <c r="D36" s="135" t="s">
        <v>337</v>
      </c>
      <c r="E36" s="135" t="s">
        <v>338</v>
      </c>
      <c r="F36" s="135" t="s">
        <v>339</v>
      </c>
      <c r="L36" s="142" t="s">
        <v>973</v>
      </c>
      <c r="M36" s="142" t="s">
        <v>974</v>
      </c>
      <c r="N36" s="142" t="s">
        <v>975</v>
      </c>
      <c r="O36" s="142" t="s">
        <v>976</v>
      </c>
      <c r="P36" s="142" t="s">
        <v>977</v>
      </c>
      <c r="Q36" s="142" t="s">
        <v>978</v>
      </c>
      <c r="R36" s="142"/>
      <c r="S36" s="142"/>
      <c r="T36" s="142" t="s">
        <v>973</v>
      </c>
    </row>
    <row xmlns:x14ac="http://schemas.microsoft.com/office/spreadsheetml/2009/9/ac" r="37" x14ac:dyDescent="0.2">
      <c r="A37" s="135" t="s">
        <v>327</v>
      </c>
      <c r="B37" s="135" t="s">
        <v>152</v>
      </c>
      <c r="C37" s="135" t="s">
        <v>340</v>
      </c>
      <c r="D37" s="135" t="s">
        <v>341</v>
      </c>
      <c r="E37" s="135" t="s">
        <v>342</v>
      </c>
      <c r="F37" s="135" t="s">
        <v>343</v>
      </c>
      <c r="L37" s="142" t="s">
        <v>979</v>
      </c>
      <c r="M37" s="142" t="s">
        <v>980</v>
      </c>
      <c r="N37" s="142" t="s">
        <v>980</v>
      </c>
      <c r="O37" s="142" t="s">
        <v>980</v>
      </c>
      <c r="P37" s="142" t="s">
        <v>981</v>
      </c>
      <c r="Q37" s="142" t="s">
        <v>982</v>
      </c>
      <c r="R37" s="142"/>
      <c r="S37" s="142"/>
      <c r="T37" s="142" t="s">
        <v>979</v>
      </c>
    </row>
    <row xmlns:x14ac="http://schemas.microsoft.com/office/spreadsheetml/2009/9/ac" r="38" x14ac:dyDescent="0.2">
      <c r="A38" s="135" t="s">
        <v>322</v>
      </c>
      <c r="B38" s="135" t="s">
        <v>145</v>
      </c>
      <c r="C38" s="135" t="s">
        <v>344</v>
      </c>
      <c r="D38" s="135" t="s">
        <v>345</v>
      </c>
      <c r="E38" s="135" t="s">
        <v>346</v>
      </c>
      <c r="F38" s="135" t="s">
        <v>347</v>
      </c>
      <c r="L38" s="142" t="s">
        <v>983</v>
      </c>
      <c r="M38" s="142" t="s">
        <v>984</v>
      </c>
      <c r="N38" s="142" t="s">
        <v>985</v>
      </c>
      <c r="O38" s="142" t="s">
        <v>986</v>
      </c>
      <c r="P38" s="142" t="s">
        <v>987</v>
      </c>
      <c r="Q38" s="142" t="s">
        <v>988</v>
      </c>
      <c r="R38" s="142"/>
      <c r="S38" s="142"/>
      <c r="T38" s="142" t="s">
        <v>983</v>
      </c>
    </row>
    <row xmlns:x14ac="http://schemas.microsoft.com/office/spreadsheetml/2009/9/ac" r="39" x14ac:dyDescent="0.2">
      <c r="A39" s="135" t="s">
        <v>322</v>
      </c>
      <c r="B39" s="135" t="s">
        <v>103</v>
      </c>
      <c r="C39" s="135" t="s">
        <v>348</v>
      </c>
      <c r="D39" s="135" t="s">
        <v>349</v>
      </c>
      <c r="E39" s="135" t="s">
        <v>350</v>
      </c>
      <c r="F39" s="135" t="s">
        <v>351</v>
      </c>
      <c r="L39" s="142" t="s">
        <v>989</v>
      </c>
      <c r="M39" s="142" t="s">
        <v>990</v>
      </c>
      <c r="N39" s="142" t="s">
        <v>990</v>
      </c>
      <c r="O39" s="142" t="s">
        <v>991</v>
      </c>
      <c r="P39" s="142" t="s">
        <v>992</v>
      </c>
      <c r="Q39" s="142" t="s">
        <v>993</v>
      </c>
      <c r="R39" s="142"/>
      <c r="S39" s="142"/>
      <c r="T39" s="142" t="s">
        <v>989</v>
      </c>
    </row>
    <row xmlns:x14ac="http://schemas.microsoft.com/office/spreadsheetml/2009/9/ac" r="40" x14ac:dyDescent="0.2">
      <c r="A40" s="135" t="s">
        <v>322</v>
      </c>
      <c r="B40" s="135" t="s">
        <v>144</v>
      </c>
      <c r="C40" s="135" t="s">
        <v>352</v>
      </c>
      <c r="D40" s="135" t="s">
        <v>353</v>
      </c>
      <c r="E40" s="135" t="s">
        <v>354</v>
      </c>
      <c r="F40" s="135" t="s">
        <v>355</v>
      </c>
      <c r="L40" s="142" t="s">
        <v>994</v>
      </c>
      <c r="M40" s="142" t="s">
        <v>995</v>
      </c>
      <c r="N40" s="142" t="s">
        <v>996</v>
      </c>
      <c r="O40" s="142" t="s">
        <v>997</v>
      </c>
      <c r="P40" s="142" t="s">
        <v>998</v>
      </c>
      <c r="Q40" s="142" t="s">
        <v>999</v>
      </c>
      <c r="R40" s="142"/>
      <c r="S40" s="142"/>
      <c r="T40" s="142" t="s">
        <v>994</v>
      </c>
    </row>
    <row xmlns:x14ac="http://schemas.microsoft.com/office/spreadsheetml/2009/9/ac" r="41" x14ac:dyDescent="0.2">
      <c r="A41" s="135" t="s">
        <v>327</v>
      </c>
      <c r="B41" s="135" t="s">
        <v>138</v>
      </c>
      <c r="C41" s="135" t="s">
        <v>356</v>
      </c>
      <c r="D41" s="135" t="s">
        <v>357</v>
      </c>
      <c r="E41" s="135" t="s">
        <v>358</v>
      </c>
      <c r="F41" s="135" t="s">
        <v>359</v>
      </c>
      <c r="L41" s="142" t="s">
        <v>1000</v>
      </c>
      <c r="M41" s="142" t="s">
        <v>1001</v>
      </c>
      <c r="N41" s="142" t="s">
        <v>1002</v>
      </c>
      <c r="O41" s="142" t="s">
        <v>1003</v>
      </c>
      <c r="P41" s="142" t="s">
        <v>1004</v>
      </c>
      <c r="Q41" s="142" t="s">
        <v>1005</v>
      </c>
      <c r="R41" s="142"/>
      <c r="S41" s="142"/>
      <c r="T41" s="142" t="s">
        <v>1000</v>
      </c>
    </row>
    <row xmlns:x14ac="http://schemas.microsoft.com/office/spreadsheetml/2009/9/ac" r="42" x14ac:dyDescent="0.2">
      <c r="A42" s="135" t="s">
        <v>327</v>
      </c>
      <c r="B42" s="135" t="s">
        <v>73</v>
      </c>
      <c r="C42" s="135" t="s">
        <v>360</v>
      </c>
      <c r="D42" s="135" t="s">
        <v>361</v>
      </c>
      <c r="E42" s="135" t="s">
        <v>362</v>
      </c>
      <c r="F42" s="135" t="s">
        <v>363</v>
      </c>
      <c r="L42" s="142" t="s">
        <v>1006</v>
      </c>
      <c r="M42" s="142" t="s">
        <v>1007</v>
      </c>
      <c r="N42" s="142" t="s">
        <v>1008</v>
      </c>
      <c r="O42" s="142" t="s">
        <v>1009</v>
      </c>
      <c r="P42" s="142" t="s">
        <v>1010</v>
      </c>
      <c r="Q42" s="142" t="s">
        <v>1011</v>
      </c>
      <c r="R42" s="142"/>
      <c r="S42" s="142"/>
      <c r="T42" s="142" t="s">
        <v>1006</v>
      </c>
    </row>
    <row xmlns:x14ac="http://schemas.microsoft.com/office/spreadsheetml/2009/9/ac" r="43" x14ac:dyDescent="0.2">
      <c r="A43" s="135" t="s">
        <v>327</v>
      </c>
      <c r="B43" s="135" t="s">
        <v>74</v>
      </c>
      <c r="C43" s="135" t="s">
        <v>364</v>
      </c>
      <c r="D43" s="135" t="s">
        <v>365</v>
      </c>
      <c r="E43" s="135" t="s">
        <v>366</v>
      </c>
      <c r="F43" s="135" t="s">
        <v>367</v>
      </c>
      <c r="L43" s="142" t="s">
        <v>1012</v>
      </c>
      <c r="M43" s="142" t="s">
        <v>1013</v>
      </c>
      <c r="N43" s="142" t="s">
        <v>1014</v>
      </c>
      <c r="O43" s="142" t="s">
        <v>1013</v>
      </c>
      <c r="P43" s="142" t="s">
        <v>1015</v>
      </c>
      <c r="Q43" s="142" t="s">
        <v>1016</v>
      </c>
      <c r="R43" s="142"/>
      <c r="S43" s="142"/>
      <c r="T43" s="142" t="s">
        <v>1012</v>
      </c>
    </row>
    <row xmlns:x14ac="http://schemas.microsoft.com/office/spreadsheetml/2009/9/ac" r="44" x14ac:dyDescent="0.2">
      <c r="A44" s="135" t="s">
        <v>327</v>
      </c>
      <c r="B44" s="135" t="s">
        <v>75</v>
      </c>
      <c r="C44" s="135" t="s">
        <v>368</v>
      </c>
      <c r="D44" s="135" t="s">
        <v>369</v>
      </c>
      <c r="E44" s="135" t="s">
        <v>370</v>
      </c>
      <c r="F44" s="135" t="s">
        <v>371</v>
      </c>
      <c r="L44" s="142" t="s">
        <v>1017</v>
      </c>
      <c r="M44" s="142" t="s">
        <v>1018</v>
      </c>
      <c r="N44" s="142" t="s">
        <v>1019</v>
      </c>
      <c r="O44" s="142" t="s">
        <v>1018</v>
      </c>
      <c r="P44" s="142" t="s">
        <v>1020</v>
      </c>
      <c r="Q44" s="142" t="s">
        <v>1021</v>
      </c>
      <c r="R44" s="142"/>
      <c r="S44" s="142"/>
      <c r="T44" s="142" t="s">
        <v>1017</v>
      </c>
    </row>
    <row xmlns:x14ac="http://schemas.microsoft.com/office/spreadsheetml/2009/9/ac" r="45" x14ac:dyDescent="0.2">
      <c r="A45" s="135" t="s">
        <v>327</v>
      </c>
      <c r="B45" s="135" t="s">
        <v>76</v>
      </c>
      <c r="C45" s="135" t="s">
        <v>372</v>
      </c>
      <c r="D45" s="135" t="s">
        <v>373</v>
      </c>
      <c r="E45" s="135" t="s">
        <v>374</v>
      </c>
      <c r="F45" s="135" t="s">
        <v>375</v>
      </c>
      <c r="L45" s="142" t="s">
        <v>1022</v>
      </c>
      <c r="M45" s="142" t="s">
        <v>1023</v>
      </c>
      <c r="N45" s="142" t="s">
        <v>1023</v>
      </c>
      <c r="O45" s="142" t="s">
        <v>1023</v>
      </c>
      <c r="P45" s="142" t="s">
        <v>1024</v>
      </c>
      <c r="Q45" s="142" t="s">
        <v>1025</v>
      </c>
      <c r="R45" s="142"/>
      <c r="S45" s="142"/>
      <c r="T45" s="142" t="s">
        <v>1022</v>
      </c>
    </row>
    <row xmlns:x14ac="http://schemas.microsoft.com/office/spreadsheetml/2009/9/ac" r="46" x14ac:dyDescent="0.2">
      <c r="A46" s="135" t="s">
        <v>327</v>
      </c>
      <c r="B46" s="135" t="s">
        <v>139</v>
      </c>
      <c r="C46" s="135" t="s">
        <v>376</v>
      </c>
      <c r="D46" s="135" t="s">
        <v>377</v>
      </c>
      <c r="E46" s="135" t="s">
        <v>378</v>
      </c>
      <c r="F46" s="135" t="s">
        <v>379</v>
      </c>
      <c r="L46" s="142" t="s">
        <v>1026</v>
      </c>
      <c r="M46" s="142" t="s">
        <v>1027</v>
      </c>
      <c r="N46" s="142" t="s">
        <v>1028</v>
      </c>
      <c r="O46" s="142" t="s">
        <v>1029</v>
      </c>
      <c r="P46" s="142" t="s">
        <v>1030</v>
      </c>
      <c r="Q46" s="142" t="s">
        <v>1031</v>
      </c>
      <c r="R46" s="142"/>
      <c r="S46" s="142"/>
      <c r="T46" s="142" t="s">
        <v>1026</v>
      </c>
    </row>
    <row xmlns:x14ac="http://schemas.microsoft.com/office/spreadsheetml/2009/9/ac" r="47" x14ac:dyDescent="0.2">
      <c r="A47" s="135" t="s">
        <v>327</v>
      </c>
      <c r="B47" s="135" t="s">
        <v>140</v>
      </c>
      <c r="C47" s="135" t="s">
        <v>380</v>
      </c>
      <c r="D47" s="135" t="s">
        <v>381</v>
      </c>
      <c r="E47" s="135" t="s">
        <v>382</v>
      </c>
      <c r="F47" s="135" t="s">
        <v>383</v>
      </c>
      <c r="L47" s="142" t="s">
        <v>1032</v>
      </c>
      <c r="M47" s="142" t="s">
        <v>1033</v>
      </c>
      <c r="N47" s="142" t="s">
        <v>1034</v>
      </c>
      <c r="O47" s="142" t="s">
        <v>1035</v>
      </c>
      <c r="P47" s="142" t="s">
        <v>1036</v>
      </c>
      <c r="Q47" s="142" t="s">
        <v>1037</v>
      </c>
      <c r="R47" s="142"/>
      <c r="S47" s="142"/>
      <c r="T47" s="142" t="s">
        <v>1032</v>
      </c>
    </row>
    <row xmlns:x14ac="http://schemas.microsoft.com/office/spreadsheetml/2009/9/ac" r="48" x14ac:dyDescent="0.2">
      <c r="A48" s="135" t="s">
        <v>327</v>
      </c>
      <c r="B48" s="135" t="s">
        <v>141</v>
      </c>
      <c r="C48" s="135" t="s">
        <v>384</v>
      </c>
      <c r="D48" s="135" t="s">
        <v>385</v>
      </c>
      <c r="E48" s="135" t="s">
        <v>386</v>
      </c>
      <c r="F48" s="135" t="s">
        <v>387</v>
      </c>
      <c r="L48" s="142" t="s">
        <v>1038</v>
      </c>
      <c r="M48" s="142" t="s">
        <v>1039</v>
      </c>
      <c r="N48" s="142" t="s">
        <v>1039</v>
      </c>
      <c r="O48" s="142" t="s">
        <v>1039</v>
      </c>
      <c r="P48" s="142" t="s">
        <v>1040</v>
      </c>
      <c r="Q48" s="142" t="s">
        <v>1041</v>
      </c>
      <c r="R48" s="142"/>
      <c r="S48" s="142"/>
      <c r="T48" s="142" t="s">
        <v>1038</v>
      </c>
    </row>
    <row xmlns:x14ac="http://schemas.microsoft.com/office/spreadsheetml/2009/9/ac" r="49" x14ac:dyDescent="0.2">
      <c r="A49" s="135" t="s">
        <v>327</v>
      </c>
      <c r="B49" s="135" t="s">
        <v>142</v>
      </c>
      <c r="C49" s="135" t="s">
        <v>388</v>
      </c>
      <c r="D49" s="135" t="s">
        <v>389</v>
      </c>
      <c r="E49" s="135" t="s">
        <v>390</v>
      </c>
      <c r="F49" s="135" t="s">
        <v>391</v>
      </c>
      <c r="L49" s="142" t="s">
        <v>1042</v>
      </c>
      <c r="M49" s="142" t="s">
        <v>1043</v>
      </c>
      <c r="N49" s="142" t="s">
        <v>1044</v>
      </c>
      <c r="O49" s="142" t="s">
        <v>1045</v>
      </c>
      <c r="P49" s="142" t="s">
        <v>1046</v>
      </c>
      <c r="Q49" s="142" t="s">
        <v>1047</v>
      </c>
      <c r="R49" s="142"/>
      <c r="S49" s="142"/>
      <c r="T49" s="142" t="s">
        <v>1042</v>
      </c>
    </row>
    <row xmlns:x14ac="http://schemas.microsoft.com/office/spreadsheetml/2009/9/ac" r="50" x14ac:dyDescent="0.2">
      <c r="A50" s="135" t="s">
        <v>327</v>
      </c>
      <c r="B50" s="135" t="s">
        <v>143</v>
      </c>
      <c r="C50" s="135" t="s">
        <v>392</v>
      </c>
      <c r="D50" s="135" t="s">
        <v>393</v>
      </c>
      <c r="E50" s="135" t="s">
        <v>394</v>
      </c>
      <c r="F50" s="135" t="s">
        <v>395</v>
      </c>
      <c r="L50" s="142" t="s">
        <v>1048</v>
      </c>
      <c r="M50" s="142" t="s">
        <v>1049</v>
      </c>
      <c r="N50" s="142" t="s">
        <v>1050</v>
      </c>
      <c r="O50" s="142" t="s">
        <v>1049</v>
      </c>
      <c r="P50" s="142" t="s">
        <v>1051</v>
      </c>
      <c r="Q50" s="142" t="s">
        <v>1052</v>
      </c>
      <c r="R50" s="142"/>
      <c r="S50" s="142"/>
      <c r="T50" s="142" t="s">
        <v>1048</v>
      </c>
    </row>
    <row xmlns:x14ac="http://schemas.microsoft.com/office/spreadsheetml/2009/9/ac" r="51" x14ac:dyDescent="0.2">
      <c r="A51" s="135" t="s">
        <v>327</v>
      </c>
      <c r="B51" s="135" t="s">
        <v>2102</v>
      </c>
      <c r="C51" s="135" t="s">
        <v>2139</v>
      </c>
      <c r="D51" s="135" t="s">
        <v>2161</v>
      </c>
      <c r="E51" s="135" t="s">
        <v>2183</v>
      </c>
      <c r="F51" s="135" t="s">
        <v>2205</v>
      </c>
      <c r="L51" s="142" t="s">
        <v>1053</v>
      </c>
      <c r="M51" s="142" t="s">
        <v>1054</v>
      </c>
      <c r="N51" s="142" t="s">
        <v>1055</v>
      </c>
      <c r="O51" s="142" t="s">
        <v>1056</v>
      </c>
      <c r="P51" s="142" t="s">
        <v>1057</v>
      </c>
      <c r="Q51" s="142" t="s">
        <v>1058</v>
      </c>
      <c r="R51" s="142"/>
      <c r="S51" s="142"/>
      <c r="T51" s="142" t="s">
        <v>1053</v>
      </c>
    </row>
    <row xmlns:x14ac="http://schemas.microsoft.com/office/spreadsheetml/2009/9/ac" r="52" x14ac:dyDescent="0.2">
      <c r="A52" s="135" t="s">
        <v>327</v>
      </c>
      <c r="B52" s="135" t="s">
        <v>2103</v>
      </c>
      <c r="C52" s="135" t="s">
        <v>2140</v>
      </c>
      <c r="D52" s="135" t="s">
        <v>2162</v>
      </c>
      <c r="E52" s="135" t="s">
        <v>2184</v>
      </c>
      <c r="F52" s="135" t="s">
        <v>2206</v>
      </c>
      <c r="L52" s="142" t="s">
        <v>1059</v>
      </c>
      <c r="M52" s="142" t="s">
        <v>1060</v>
      </c>
      <c r="N52" s="142" t="s">
        <v>1060</v>
      </c>
      <c r="O52" s="142" t="s">
        <v>1060</v>
      </c>
      <c r="P52" s="142" t="s">
        <v>1061</v>
      </c>
      <c r="Q52" s="142" t="s">
        <v>1062</v>
      </c>
      <c r="R52" s="142"/>
      <c r="S52" s="142"/>
      <c r="T52" s="142" t="s">
        <v>1059</v>
      </c>
    </row>
    <row xmlns:x14ac="http://schemas.microsoft.com/office/spreadsheetml/2009/9/ac" r="53" x14ac:dyDescent="0.2">
      <c r="A53" s="135" t="s">
        <v>327</v>
      </c>
      <c r="B53" s="135" t="s">
        <v>2104</v>
      </c>
      <c r="C53" s="135" t="s">
        <v>2141</v>
      </c>
      <c r="D53" s="135" t="s">
        <v>2163</v>
      </c>
      <c r="E53" s="135" t="s">
        <v>2185</v>
      </c>
      <c r="F53" s="135" t="s">
        <v>2207</v>
      </c>
      <c r="L53" s="142" t="s">
        <v>1063</v>
      </c>
      <c r="M53" s="142" t="s">
        <v>1064</v>
      </c>
      <c r="N53" s="142" t="s">
        <v>1064</v>
      </c>
      <c r="O53" s="142" t="s">
        <v>1064</v>
      </c>
      <c r="P53" s="142" t="s">
        <v>1065</v>
      </c>
      <c r="Q53" s="142" t="s">
        <v>1066</v>
      </c>
      <c r="R53" s="142"/>
      <c r="S53" s="142"/>
      <c r="T53" s="142" t="s">
        <v>1063</v>
      </c>
    </row>
    <row xmlns:x14ac="http://schemas.microsoft.com/office/spreadsheetml/2009/9/ac" r="54" x14ac:dyDescent="0.2">
      <c r="A54" s="135" t="s">
        <v>327</v>
      </c>
      <c r="B54" s="135" t="s">
        <v>2125</v>
      </c>
      <c r="C54" s="135" t="s">
        <v>2142</v>
      </c>
      <c r="D54" s="135" t="s">
        <v>2164</v>
      </c>
      <c r="E54" s="135" t="s">
        <v>2186</v>
      </c>
      <c r="F54" s="135" t="s">
        <v>2208</v>
      </c>
      <c r="L54" s="142" t="s">
        <v>1067</v>
      </c>
      <c r="M54" s="142" t="s">
        <v>1068</v>
      </c>
      <c r="N54" s="142" t="s">
        <v>1068</v>
      </c>
      <c r="O54" s="142" t="s">
        <v>1068</v>
      </c>
      <c r="P54" s="142" t="s">
        <v>1069</v>
      </c>
      <c r="Q54" s="142" t="s">
        <v>1070</v>
      </c>
      <c r="R54" s="142"/>
      <c r="S54" s="142"/>
      <c r="T54" s="142" t="s">
        <v>1067</v>
      </c>
    </row>
    <row xmlns:x14ac="http://schemas.microsoft.com/office/spreadsheetml/2009/9/ac" r="55" x14ac:dyDescent="0.2">
      <c r="A55" s="135" t="s">
        <v>327</v>
      </c>
      <c r="B55" s="135" t="s">
        <v>179</v>
      </c>
      <c r="C55" s="135" t="s">
        <v>412</v>
      </c>
      <c r="D55" s="135" t="s">
        <v>413</v>
      </c>
      <c r="E55" s="135" t="s">
        <v>414</v>
      </c>
      <c r="F55" s="135" t="s">
        <v>415</v>
      </c>
      <c r="L55" s="142" t="s">
        <v>1071</v>
      </c>
      <c r="M55" s="142" t="s">
        <v>1072</v>
      </c>
      <c r="N55" s="142" t="s">
        <v>1072</v>
      </c>
      <c r="O55" s="142" t="s">
        <v>1073</v>
      </c>
      <c r="P55" s="142" t="s">
        <v>1074</v>
      </c>
      <c r="Q55" s="142" t="s">
        <v>1075</v>
      </c>
      <c r="R55" s="142"/>
      <c r="S55" s="142"/>
      <c r="T55" s="142" t="s">
        <v>1071</v>
      </c>
    </row>
    <row xmlns:x14ac="http://schemas.microsoft.com/office/spreadsheetml/2009/9/ac" r="56" x14ac:dyDescent="0.2">
      <c r="A56" s="135" t="s">
        <v>327</v>
      </c>
      <c r="B56" s="135" t="s">
        <v>2126</v>
      </c>
      <c r="C56" s="135" t="s">
        <v>2143</v>
      </c>
      <c r="D56" s="135" t="s">
        <v>2165</v>
      </c>
      <c r="E56" s="135" t="s">
        <v>2187</v>
      </c>
      <c r="F56" s="135" t="s">
        <v>2209</v>
      </c>
      <c r="L56" s="180" t="s">
        <v>2227</v>
      </c>
      <c r="M56" s="142" t="s">
        <v>2228</v>
      </c>
      <c r="N56" s="142" t="s">
        <v>2229</v>
      </c>
      <c r="O56" s="142" t="s">
        <v>2230</v>
      </c>
      <c r="P56" s="142" t="s">
        <v>2231</v>
      </c>
      <c r="Q56" s="142" t="s">
        <v>2232</v>
      </c>
      <c r="R56" s="142"/>
      <c r="S56" s="142"/>
      <c r="T56" s="142" t="s">
        <v>2227</v>
      </c>
    </row>
    <row xmlns:x14ac="http://schemas.microsoft.com/office/spreadsheetml/2009/9/ac" r="57" x14ac:dyDescent="0.2">
      <c r="A57" s="135" t="s">
        <v>327</v>
      </c>
      <c r="B57" s="135" t="s">
        <v>178</v>
      </c>
      <c r="C57" s="135" t="s">
        <v>420</v>
      </c>
      <c r="D57" s="135" t="s">
        <v>421</v>
      </c>
      <c r="E57" s="135" t="s">
        <v>422</v>
      </c>
      <c r="F57" s="135" t="s">
        <v>423</v>
      </c>
      <c r="L57" s="142" t="s">
        <v>1076</v>
      </c>
      <c r="M57" s="142" t="s">
        <v>1077</v>
      </c>
      <c r="N57" s="142" t="s">
        <v>1078</v>
      </c>
      <c r="O57" s="142" t="s">
        <v>1079</v>
      </c>
      <c r="P57" s="142" t="s">
        <v>1080</v>
      </c>
      <c r="Q57" s="142" t="s">
        <v>1081</v>
      </c>
      <c r="R57" s="142"/>
      <c r="S57" s="142"/>
      <c r="T57" s="142" t="s">
        <v>1076</v>
      </c>
    </row>
    <row xmlns:x14ac="http://schemas.microsoft.com/office/spreadsheetml/2009/9/ac" r="58" x14ac:dyDescent="0.2">
      <c r="A58" s="135" t="s">
        <v>327</v>
      </c>
      <c r="B58" s="135" t="s">
        <v>185</v>
      </c>
      <c r="C58" s="135" t="s">
        <v>424</v>
      </c>
      <c r="D58" s="135" t="s">
        <v>425</v>
      </c>
      <c r="E58" s="135" t="s">
        <v>426</v>
      </c>
      <c r="F58" s="135" t="s">
        <v>427</v>
      </c>
      <c r="L58" s="142" t="s">
        <v>1082</v>
      </c>
      <c r="M58" s="142" t="s">
        <v>1083</v>
      </c>
      <c r="N58" s="142" t="s">
        <v>1084</v>
      </c>
      <c r="O58" s="142" t="s">
        <v>1085</v>
      </c>
      <c r="P58" s="142" t="s">
        <v>1086</v>
      </c>
      <c r="Q58" s="142" t="s">
        <v>1087</v>
      </c>
      <c r="R58" s="142"/>
      <c r="S58" s="142"/>
      <c r="T58" s="142" t="s">
        <v>1082</v>
      </c>
    </row>
    <row xmlns:x14ac="http://schemas.microsoft.com/office/spreadsheetml/2009/9/ac" r="59" x14ac:dyDescent="0.2">
      <c r="A59" s="135" t="s">
        <v>327</v>
      </c>
      <c r="B59" s="135" t="s">
        <v>2105</v>
      </c>
      <c r="C59" s="135" t="s">
        <v>2144</v>
      </c>
      <c r="D59" s="135" t="s">
        <v>2166</v>
      </c>
      <c r="E59" s="135" t="s">
        <v>2188</v>
      </c>
      <c r="F59" s="135" t="s">
        <v>2210</v>
      </c>
      <c r="L59" s="142" t="s">
        <v>1088</v>
      </c>
      <c r="M59" s="142" t="s">
        <v>1089</v>
      </c>
      <c r="N59" s="142" t="s">
        <v>1089</v>
      </c>
      <c r="O59" s="142" t="s">
        <v>1089</v>
      </c>
      <c r="P59" s="142" t="s">
        <v>1090</v>
      </c>
      <c r="Q59" s="142" t="s">
        <v>1091</v>
      </c>
      <c r="R59" s="142"/>
      <c r="S59" s="142"/>
      <c r="T59" s="142" t="s">
        <v>1088</v>
      </c>
    </row>
    <row xmlns:x14ac="http://schemas.microsoft.com/office/spreadsheetml/2009/9/ac" r="60" x14ac:dyDescent="0.2">
      <c r="A60" s="135" t="s">
        <v>327</v>
      </c>
      <c r="B60" s="135" t="s">
        <v>2106</v>
      </c>
      <c r="C60" s="135" t="s">
        <v>2145</v>
      </c>
      <c r="D60" s="135" t="s">
        <v>2167</v>
      </c>
      <c r="E60" s="135" t="s">
        <v>2189</v>
      </c>
      <c r="F60" s="135" t="s">
        <v>2211</v>
      </c>
      <c r="L60" s="142" t="s">
        <v>1092</v>
      </c>
      <c r="M60" s="142" t="s">
        <v>1093</v>
      </c>
      <c r="N60" s="142" t="s">
        <v>1094</v>
      </c>
      <c r="O60" s="142" t="s">
        <v>1093</v>
      </c>
      <c r="P60" s="142" t="s">
        <v>1095</v>
      </c>
      <c r="Q60" s="142" t="s">
        <v>1096</v>
      </c>
      <c r="R60" s="142"/>
      <c r="S60" s="142"/>
      <c r="T60" s="142" t="s">
        <v>1092</v>
      </c>
    </row>
    <row xmlns:x14ac="http://schemas.microsoft.com/office/spreadsheetml/2009/9/ac" r="61" x14ac:dyDescent="0.2">
      <c r="A61" s="135" t="s">
        <v>327</v>
      </c>
      <c r="B61" s="135" t="s">
        <v>2107</v>
      </c>
      <c r="C61" s="135" t="s">
        <v>2146</v>
      </c>
      <c r="D61" s="135" t="s">
        <v>2168</v>
      </c>
      <c r="E61" s="135" t="s">
        <v>2190</v>
      </c>
      <c r="F61" s="135" t="s">
        <v>2212</v>
      </c>
      <c r="L61" s="142" t="s">
        <v>1097</v>
      </c>
      <c r="M61" s="142" t="s">
        <v>1098</v>
      </c>
      <c r="N61" s="142" t="s">
        <v>1099</v>
      </c>
      <c r="O61" s="142" t="s">
        <v>1100</v>
      </c>
      <c r="P61" s="142" t="s">
        <v>1101</v>
      </c>
      <c r="Q61" s="142" t="s">
        <v>1102</v>
      </c>
      <c r="R61" s="142"/>
      <c r="S61" s="142"/>
      <c r="T61" s="142" t="s">
        <v>1097</v>
      </c>
    </row>
    <row xmlns:x14ac="http://schemas.microsoft.com/office/spreadsheetml/2009/9/ac" r="62" x14ac:dyDescent="0.2">
      <c r="A62" s="135" t="s">
        <v>327</v>
      </c>
      <c r="B62" s="135" t="s">
        <v>2108</v>
      </c>
      <c r="C62" s="135" t="s">
        <v>2147</v>
      </c>
      <c r="D62" s="135" t="s">
        <v>2169</v>
      </c>
      <c r="E62" s="135" t="s">
        <v>2191</v>
      </c>
      <c r="F62" s="135" t="s">
        <v>2213</v>
      </c>
      <c r="L62" s="142" t="s">
        <v>1103</v>
      </c>
      <c r="M62" s="142" t="s">
        <v>1104</v>
      </c>
      <c r="N62" s="142" t="s">
        <v>1105</v>
      </c>
      <c r="O62" s="142" t="s">
        <v>1106</v>
      </c>
      <c r="P62" s="142" t="s">
        <v>1107</v>
      </c>
      <c r="Q62" s="142" t="s">
        <v>1108</v>
      </c>
      <c r="R62" s="142"/>
      <c r="S62" s="142"/>
      <c r="T62" s="142" t="s">
        <v>1103</v>
      </c>
    </row>
    <row xmlns:x14ac="http://schemas.microsoft.com/office/spreadsheetml/2009/9/ac" r="63" x14ac:dyDescent="0.2">
      <c r="A63" s="135" t="s">
        <v>327</v>
      </c>
      <c r="B63" s="135" t="s">
        <v>2109</v>
      </c>
      <c r="C63" s="135" t="s">
        <v>432</v>
      </c>
      <c r="D63" s="135" t="s">
        <v>433</v>
      </c>
      <c r="E63" s="135" t="s">
        <v>434</v>
      </c>
      <c r="F63" s="135" t="s">
        <v>435</v>
      </c>
      <c r="L63" s="142" t="s">
        <v>1109</v>
      </c>
      <c r="M63" s="142" t="s">
        <v>1110</v>
      </c>
      <c r="N63" s="142" t="s">
        <v>1111</v>
      </c>
      <c r="O63" s="142" t="s">
        <v>1112</v>
      </c>
      <c r="P63" s="142" t="s">
        <v>1113</v>
      </c>
      <c r="Q63" s="142" t="s">
        <v>1114</v>
      </c>
      <c r="R63" s="142"/>
      <c r="S63" s="142"/>
      <c r="T63" s="142" t="s">
        <v>1109</v>
      </c>
    </row>
    <row xmlns:x14ac="http://schemas.microsoft.com/office/spreadsheetml/2009/9/ac" r="64" x14ac:dyDescent="0.2">
      <c r="A64" s="135" t="s">
        <v>327</v>
      </c>
      <c r="B64" s="135" t="s">
        <v>2110</v>
      </c>
      <c r="C64" s="135" t="s">
        <v>2148</v>
      </c>
      <c r="D64" s="135" t="s">
        <v>2170</v>
      </c>
      <c r="E64" s="135" t="s">
        <v>2192</v>
      </c>
      <c r="F64" s="135" t="s">
        <v>2214</v>
      </c>
      <c r="L64" s="142" t="s">
        <v>1115</v>
      </c>
      <c r="M64" s="142" t="s">
        <v>1116</v>
      </c>
      <c r="N64" s="142" t="s">
        <v>1117</v>
      </c>
      <c r="O64" s="142" t="s">
        <v>1116</v>
      </c>
      <c r="P64" s="142" t="s">
        <v>1118</v>
      </c>
      <c r="Q64" s="142" t="s">
        <v>1119</v>
      </c>
      <c r="R64" s="142"/>
      <c r="S64" s="142"/>
      <c r="T64" s="142" t="s">
        <v>1115</v>
      </c>
    </row>
    <row xmlns:x14ac="http://schemas.microsoft.com/office/spreadsheetml/2009/9/ac" r="65" x14ac:dyDescent="0.2">
      <c r="A65" s="135" t="s">
        <v>327</v>
      </c>
      <c r="B65" s="135" t="s">
        <v>167</v>
      </c>
      <c r="C65" s="135" t="s">
        <v>436</v>
      </c>
      <c r="D65" s="135" t="s">
        <v>437</v>
      </c>
      <c r="E65" s="135" t="s">
        <v>438</v>
      </c>
      <c r="F65" s="135" t="s">
        <v>439</v>
      </c>
      <c r="L65" s="142" t="s">
        <v>1120</v>
      </c>
      <c r="M65" s="142" t="s">
        <v>1121</v>
      </c>
      <c r="N65" s="142" t="s">
        <v>1122</v>
      </c>
      <c r="O65" s="142" t="s">
        <v>1123</v>
      </c>
      <c r="P65" s="142" t="s">
        <v>1124</v>
      </c>
      <c r="Q65" s="142" t="s">
        <v>1125</v>
      </c>
      <c r="R65" s="142"/>
      <c r="S65" s="142"/>
      <c r="T65" s="142" t="s">
        <v>1120</v>
      </c>
    </row>
    <row xmlns:x14ac="http://schemas.microsoft.com/office/spreadsheetml/2009/9/ac" r="66" x14ac:dyDescent="0.2">
      <c r="A66" s="135" t="s">
        <v>327</v>
      </c>
      <c r="B66" s="135" t="s">
        <v>2111</v>
      </c>
      <c r="C66" s="135" t="s">
        <v>2149</v>
      </c>
      <c r="D66" s="135" t="s">
        <v>440</v>
      </c>
      <c r="E66" s="135" t="s">
        <v>2193</v>
      </c>
      <c r="F66" s="135" t="s">
        <v>2215</v>
      </c>
      <c r="L66" s="142" t="s">
        <v>1126</v>
      </c>
      <c r="M66" s="142" t="s">
        <v>1127</v>
      </c>
      <c r="N66" s="142" t="s">
        <v>1128</v>
      </c>
      <c r="O66" s="142" t="s">
        <v>1127</v>
      </c>
      <c r="P66" s="142" t="s">
        <v>1129</v>
      </c>
      <c r="Q66" s="142" t="s">
        <v>1130</v>
      </c>
      <c r="R66" s="142"/>
      <c r="S66" s="142"/>
      <c r="T66" s="142" t="s">
        <v>1126</v>
      </c>
    </row>
    <row xmlns:x14ac="http://schemas.microsoft.com/office/spreadsheetml/2009/9/ac" r="67" x14ac:dyDescent="0.2">
      <c r="A67" s="135" t="s">
        <v>327</v>
      </c>
      <c r="B67" s="135" t="s">
        <v>2112</v>
      </c>
      <c r="C67" s="135" t="s">
        <v>441</v>
      </c>
      <c r="D67" s="135" t="s">
        <v>442</v>
      </c>
      <c r="E67" s="135" t="s">
        <v>443</v>
      </c>
      <c r="F67" s="135" t="s">
        <v>444</v>
      </c>
      <c r="L67" s="142" t="s">
        <v>1131</v>
      </c>
      <c r="M67" s="142" t="s">
        <v>1132</v>
      </c>
      <c r="N67" s="142" t="s">
        <v>1133</v>
      </c>
      <c r="O67" s="142" t="s">
        <v>1134</v>
      </c>
      <c r="P67" s="142" t="s">
        <v>1135</v>
      </c>
      <c r="Q67" s="142" t="s">
        <v>1136</v>
      </c>
      <c r="R67" s="142"/>
      <c r="S67" s="142"/>
      <c r="T67" s="142" t="s">
        <v>1131</v>
      </c>
    </row>
    <row xmlns:x14ac="http://schemas.microsoft.com/office/spreadsheetml/2009/9/ac" r="68" x14ac:dyDescent="0.2">
      <c r="A68" s="135" t="s">
        <v>327</v>
      </c>
      <c r="B68" s="135" t="s">
        <v>169</v>
      </c>
      <c r="C68" s="135" t="s">
        <v>445</v>
      </c>
      <c r="D68" s="135" t="s">
        <v>446</v>
      </c>
      <c r="E68" s="135" t="s">
        <v>447</v>
      </c>
      <c r="F68" s="135" t="s">
        <v>448</v>
      </c>
      <c r="L68" s="142" t="s">
        <v>1137</v>
      </c>
      <c r="M68" s="142" t="s">
        <v>1138</v>
      </c>
      <c r="N68" s="142" t="s">
        <v>1139</v>
      </c>
      <c r="O68" s="142" t="s">
        <v>1140</v>
      </c>
      <c r="P68" s="142" t="s">
        <v>1141</v>
      </c>
      <c r="Q68" s="142" t="s">
        <v>1142</v>
      </c>
      <c r="R68" s="142"/>
      <c r="S68" s="142"/>
      <c r="T68" s="142" t="s">
        <v>1137</v>
      </c>
    </row>
    <row xmlns:x14ac="http://schemas.microsoft.com/office/spreadsheetml/2009/9/ac" r="69" x14ac:dyDescent="0.2">
      <c r="A69" s="135" t="s">
        <v>327</v>
      </c>
      <c r="B69" s="135" t="s">
        <v>168</v>
      </c>
      <c r="C69" s="135" t="s">
        <v>449</v>
      </c>
      <c r="D69" s="135" t="s">
        <v>450</v>
      </c>
      <c r="E69" s="135" t="s">
        <v>451</v>
      </c>
      <c r="F69" s="135" t="s">
        <v>452</v>
      </c>
      <c r="L69" s="142" t="s">
        <v>1143</v>
      </c>
      <c r="M69" s="142" t="s">
        <v>1144</v>
      </c>
      <c r="N69" s="142" t="s">
        <v>1145</v>
      </c>
      <c r="O69" s="142" t="s">
        <v>1144</v>
      </c>
      <c r="P69" s="142" t="s">
        <v>1146</v>
      </c>
      <c r="Q69" s="142" t="s">
        <v>1147</v>
      </c>
      <c r="R69" s="142"/>
      <c r="S69" s="142"/>
      <c r="T69" s="142" t="s">
        <v>1143</v>
      </c>
    </row>
    <row xmlns:x14ac="http://schemas.microsoft.com/office/spreadsheetml/2009/9/ac" r="70" x14ac:dyDescent="0.2">
      <c r="A70" s="135" t="s">
        <v>327</v>
      </c>
      <c r="B70" s="135" t="s">
        <v>186</v>
      </c>
      <c r="C70" s="135" t="s">
        <v>453</v>
      </c>
      <c r="D70" s="135" t="s">
        <v>454</v>
      </c>
      <c r="E70" s="135" t="s">
        <v>455</v>
      </c>
      <c r="F70" s="135" t="s">
        <v>456</v>
      </c>
      <c r="L70" s="142" t="s">
        <v>1148</v>
      </c>
      <c r="M70" s="142" t="s">
        <v>1149</v>
      </c>
      <c r="N70" s="142" t="s">
        <v>1150</v>
      </c>
      <c r="O70" s="142" t="s">
        <v>1151</v>
      </c>
      <c r="P70" s="142" t="s">
        <v>1152</v>
      </c>
      <c r="Q70" s="142" t="s">
        <v>1153</v>
      </c>
      <c r="R70" s="142"/>
      <c r="S70" s="142"/>
      <c r="T70" s="142" t="s">
        <v>1148</v>
      </c>
    </row>
    <row xmlns:x14ac="http://schemas.microsoft.com/office/spreadsheetml/2009/9/ac" r="71" x14ac:dyDescent="0.2">
      <c r="A71" s="135" t="s">
        <v>327</v>
      </c>
      <c r="B71" s="135" t="s">
        <v>187</v>
      </c>
      <c r="C71" s="135" t="s">
        <v>457</v>
      </c>
      <c r="D71" s="135" t="s">
        <v>458</v>
      </c>
      <c r="E71" s="135" t="s">
        <v>459</v>
      </c>
      <c r="F71" s="135" t="s">
        <v>460</v>
      </c>
      <c r="L71" s="142" t="s">
        <v>1154</v>
      </c>
      <c r="M71" s="142" t="s">
        <v>1155</v>
      </c>
      <c r="N71" s="142" t="s">
        <v>1156</v>
      </c>
      <c r="O71" s="142" t="s">
        <v>1157</v>
      </c>
      <c r="P71" s="142" t="s">
        <v>1158</v>
      </c>
      <c r="Q71" s="142" t="s">
        <v>1159</v>
      </c>
      <c r="R71" s="142"/>
      <c r="S71" s="142"/>
      <c r="T71" s="142" t="s">
        <v>1154</v>
      </c>
    </row>
    <row xmlns:x14ac="http://schemas.microsoft.com/office/spreadsheetml/2009/9/ac" r="72" x14ac:dyDescent="0.2">
      <c r="A72" s="135" t="s">
        <v>327</v>
      </c>
      <c r="B72" s="135" t="s">
        <v>79</v>
      </c>
      <c r="C72" s="135" t="s">
        <v>461</v>
      </c>
      <c r="D72" s="135" t="s">
        <v>462</v>
      </c>
      <c r="E72" s="135" t="s">
        <v>463</v>
      </c>
      <c r="F72" s="135" t="s">
        <v>464</v>
      </c>
      <c r="L72" s="142" t="s">
        <v>1160</v>
      </c>
      <c r="M72" s="142" t="s">
        <v>1161</v>
      </c>
      <c r="N72" s="142" t="s">
        <v>1162</v>
      </c>
      <c r="O72" s="142" t="s">
        <v>1161</v>
      </c>
      <c r="P72" s="142" t="s">
        <v>1163</v>
      </c>
      <c r="Q72" s="142" t="s">
        <v>1164</v>
      </c>
      <c r="R72" s="142"/>
      <c r="S72" s="142"/>
      <c r="T72" s="142" t="s">
        <v>1160</v>
      </c>
    </row>
    <row xmlns:x14ac="http://schemas.microsoft.com/office/spreadsheetml/2009/9/ac" r="73" x14ac:dyDescent="0.2">
      <c r="A73" s="135" t="s">
        <v>465</v>
      </c>
      <c r="B73" s="137" t="s">
        <v>80</v>
      </c>
      <c r="C73" s="137" t="s">
        <v>466</v>
      </c>
      <c r="D73" s="137" t="s">
        <v>467</v>
      </c>
      <c r="E73" s="137" t="s">
        <v>468</v>
      </c>
      <c r="F73" s="137" t="s">
        <v>469</v>
      </c>
      <c r="L73" s="142" t="s">
        <v>1165</v>
      </c>
      <c r="M73" s="142" t="s">
        <v>1166</v>
      </c>
      <c r="N73" s="142" t="s">
        <v>1167</v>
      </c>
      <c r="O73" s="142" t="s">
        <v>1168</v>
      </c>
      <c r="P73" s="142" t="s">
        <v>1169</v>
      </c>
      <c r="Q73" s="142" t="s">
        <v>1170</v>
      </c>
      <c r="R73" s="142"/>
      <c r="S73" s="142"/>
      <c r="T73" s="142" t="s">
        <v>1165</v>
      </c>
    </row>
    <row xmlns:x14ac="http://schemas.microsoft.com/office/spreadsheetml/2009/9/ac" r="74" x14ac:dyDescent="0.2">
      <c r="A74" s="135" t="s">
        <v>465</v>
      </c>
      <c r="B74" s="137" t="s">
        <v>101</v>
      </c>
      <c r="C74" s="137" t="s">
        <v>470</v>
      </c>
      <c r="D74" s="137" t="s">
        <v>471</v>
      </c>
      <c r="E74" s="137" t="s">
        <v>472</v>
      </c>
      <c r="F74" s="137" t="s">
        <v>473</v>
      </c>
      <c r="L74" s="142" t="s">
        <v>1171</v>
      </c>
      <c r="M74" s="142" t="s">
        <v>1172</v>
      </c>
      <c r="N74" s="142" t="s">
        <v>1172</v>
      </c>
      <c r="O74" s="142" t="s">
        <v>1173</v>
      </c>
      <c r="P74" s="142" t="s">
        <v>1174</v>
      </c>
      <c r="Q74" s="142" t="s">
        <v>1175</v>
      </c>
      <c r="R74" s="142"/>
      <c r="S74" s="142"/>
      <c r="T74" s="142" t="s">
        <v>1171</v>
      </c>
    </row>
    <row xmlns:x14ac="http://schemas.microsoft.com/office/spreadsheetml/2009/9/ac" r="75" x14ac:dyDescent="0.2">
      <c r="A75" s="135" t="s">
        <v>322</v>
      </c>
      <c r="B75" s="137" t="s">
        <v>89</v>
      </c>
      <c r="C75" s="137" t="s">
        <v>474</v>
      </c>
      <c r="D75" s="137" t="s">
        <v>475</v>
      </c>
      <c r="E75" s="137" t="s">
        <v>476</v>
      </c>
      <c r="F75" s="137" t="s">
        <v>477</v>
      </c>
      <c r="L75" s="142" t="s">
        <v>1176</v>
      </c>
      <c r="M75" s="142" t="s">
        <v>1177</v>
      </c>
      <c r="N75" s="142" t="s">
        <v>1178</v>
      </c>
      <c r="O75" s="142" t="s">
        <v>1179</v>
      </c>
      <c r="P75" s="142" t="s">
        <v>1180</v>
      </c>
      <c r="Q75" s="142" t="s">
        <v>1181</v>
      </c>
      <c r="R75" s="142"/>
      <c r="S75" s="142"/>
      <c r="T75" s="142" t="s">
        <v>1176</v>
      </c>
    </row>
    <row xmlns:x14ac="http://schemas.microsoft.com/office/spreadsheetml/2009/9/ac" r="76" x14ac:dyDescent="0.2">
      <c r="A76" s="135" t="s">
        <v>322</v>
      </c>
      <c r="B76" s="135" t="s">
        <v>2101</v>
      </c>
      <c r="C76" s="135" t="s">
        <v>478</v>
      </c>
      <c r="D76" s="135" t="s">
        <v>479</v>
      </c>
      <c r="E76" s="135" t="s">
        <v>480</v>
      </c>
      <c r="F76" s="135" t="s">
        <v>481</v>
      </c>
      <c r="L76" s="142" t="s">
        <v>1182</v>
      </c>
      <c r="M76" s="142" t="s">
        <v>1183</v>
      </c>
      <c r="N76" s="142" t="s">
        <v>1184</v>
      </c>
      <c r="O76" s="142" t="s">
        <v>1185</v>
      </c>
      <c r="P76" s="142" t="s">
        <v>1186</v>
      </c>
      <c r="Q76" s="142" t="s">
        <v>1187</v>
      </c>
      <c r="R76" s="142"/>
      <c r="S76" s="142"/>
      <c r="T76" s="142" t="s">
        <v>1182</v>
      </c>
    </row>
    <row xmlns:x14ac="http://schemas.microsoft.com/office/spreadsheetml/2009/9/ac" r="77" x14ac:dyDescent="0.2">
      <c r="A77" s="135" t="s">
        <v>482</v>
      </c>
      <c r="B77" s="138" t="s">
        <v>6</v>
      </c>
      <c r="C77" s="138" t="s">
        <v>483</v>
      </c>
      <c r="D77" s="138" t="s">
        <v>484</v>
      </c>
      <c r="E77" s="138" t="s">
        <v>485</v>
      </c>
      <c r="F77" s="138" t="s">
        <v>486</v>
      </c>
      <c r="L77" s="142" t="s">
        <v>1188</v>
      </c>
      <c r="M77" s="142" t="s">
        <v>1189</v>
      </c>
      <c r="N77" s="142" t="s">
        <v>1189</v>
      </c>
      <c r="O77" s="142" t="s">
        <v>1190</v>
      </c>
      <c r="P77" s="142" t="s">
        <v>1191</v>
      </c>
      <c r="Q77" s="142" t="s">
        <v>1192</v>
      </c>
      <c r="R77" s="142"/>
      <c r="S77" s="142"/>
      <c r="T77" s="142" t="s">
        <v>1188</v>
      </c>
    </row>
    <row xmlns:x14ac="http://schemas.microsoft.com/office/spreadsheetml/2009/9/ac" r="78" x14ac:dyDescent="0.2">
      <c r="A78" s="135" t="s">
        <v>482</v>
      </c>
      <c r="B78" s="176" t="s">
        <v>2097</v>
      </c>
      <c r="C78" s="15" t="s">
        <v>2114</v>
      </c>
      <c r="D78" s="15" t="s">
        <v>2113</v>
      </c>
      <c r="E78" s="15" t="s">
        <v>2115</v>
      </c>
      <c r="F78" s="15" t="s">
        <v>2116</v>
      </c>
      <c r="L78" s="142" t="s">
        <v>1193</v>
      </c>
      <c r="M78" s="142" t="s">
        <v>1194</v>
      </c>
      <c r="N78" s="142" t="s">
        <v>1195</v>
      </c>
      <c r="O78" s="142" t="s">
        <v>1196</v>
      </c>
      <c r="P78" s="142" t="s">
        <v>1197</v>
      </c>
      <c r="Q78" s="142" t="s">
        <v>1198</v>
      </c>
      <c r="R78" s="142"/>
      <c r="S78" s="142"/>
      <c r="T78" s="142" t="s">
        <v>1193</v>
      </c>
    </row>
    <row xmlns:x14ac="http://schemas.microsoft.com/office/spreadsheetml/2009/9/ac" r="79" x14ac:dyDescent="0.2">
      <c r="A79" s="135" t="s">
        <v>482</v>
      </c>
      <c r="B79" s="135" t="s">
        <v>157</v>
      </c>
      <c r="C79" s="135" t="s">
        <v>2077</v>
      </c>
      <c r="D79" s="135" t="s">
        <v>487</v>
      </c>
      <c r="E79" s="135" t="s">
        <v>488</v>
      </c>
      <c r="F79" s="135" t="s">
        <v>489</v>
      </c>
      <c r="L79" s="142" t="s">
        <v>1199</v>
      </c>
      <c r="M79" s="142" t="s">
        <v>1200</v>
      </c>
      <c r="N79" s="142" t="s">
        <v>1201</v>
      </c>
      <c r="O79" s="142" t="s">
        <v>1200</v>
      </c>
      <c r="P79" s="142" t="s">
        <v>1202</v>
      </c>
      <c r="Q79" s="142" t="s">
        <v>1203</v>
      </c>
      <c r="R79" s="142"/>
      <c r="S79" s="142"/>
      <c r="T79" s="142" t="s">
        <v>1199</v>
      </c>
    </row>
    <row xmlns:x14ac="http://schemas.microsoft.com/office/spreadsheetml/2009/9/ac" r="80" x14ac:dyDescent="0.2">
      <c r="A80" s="135" t="s">
        <v>482</v>
      </c>
      <c r="B80" s="135" t="s">
        <v>85</v>
      </c>
      <c r="C80" s="135" t="s">
        <v>490</v>
      </c>
      <c r="D80" s="135" t="s">
        <v>491</v>
      </c>
      <c r="E80" s="135" t="s">
        <v>492</v>
      </c>
      <c r="F80" s="135" t="s">
        <v>493</v>
      </c>
      <c r="L80" s="142" t="s">
        <v>1204</v>
      </c>
      <c r="M80" s="142" t="s">
        <v>1205</v>
      </c>
      <c r="N80" s="142" t="s">
        <v>1206</v>
      </c>
      <c r="O80" s="142" t="s">
        <v>1205</v>
      </c>
      <c r="P80" s="142" t="s">
        <v>1207</v>
      </c>
      <c r="Q80" s="142" t="s">
        <v>1208</v>
      </c>
      <c r="R80" s="142"/>
      <c r="S80" s="142"/>
      <c r="T80" s="142" t="s">
        <v>1204</v>
      </c>
    </row>
    <row xmlns:x14ac="http://schemas.microsoft.com/office/spreadsheetml/2009/9/ac" r="81" x14ac:dyDescent="0.2">
      <c r="A81" s="135" t="s">
        <v>482</v>
      </c>
      <c r="B81" s="135" t="s">
        <v>24</v>
      </c>
      <c r="C81" s="135" t="s">
        <v>494</v>
      </c>
      <c r="D81" s="135" t="s">
        <v>495</v>
      </c>
      <c r="E81" s="135" t="s">
        <v>496</v>
      </c>
      <c r="F81" s="135" t="s">
        <v>497</v>
      </c>
      <c r="L81" s="142" t="s">
        <v>1209</v>
      </c>
      <c r="M81" s="142" t="s">
        <v>1210</v>
      </c>
      <c r="N81" s="142" t="s">
        <v>1210</v>
      </c>
      <c r="O81" s="142" t="s">
        <v>1210</v>
      </c>
      <c r="P81" s="142" t="s">
        <v>1211</v>
      </c>
      <c r="Q81" s="142" t="s">
        <v>1212</v>
      </c>
      <c r="R81" s="142"/>
      <c r="S81" s="142"/>
      <c r="T81" s="142" t="s">
        <v>1209</v>
      </c>
    </row>
    <row xmlns:x14ac="http://schemas.microsoft.com/office/spreadsheetml/2009/9/ac" r="82" x14ac:dyDescent="0.2">
      <c r="A82" s="135" t="s">
        <v>482</v>
      </c>
      <c r="B82" s="135" t="s">
        <v>149</v>
      </c>
      <c r="C82" s="135" t="s">
        <v>498</v>
      </c>
      <c r="D82" s="135" t="s">
        <v>499</v>
      </c>
      <c r="E82" s="135" t="s">
        <v>500</v>
      </c>
      <c r="F82" s="135" t="s">
        <v>501</v>
      </c>
      <c r="L82" s="142" t="s">
        <v>1213</v>
      </c>
      <c r="M82" s="142" t="s">
        <v>1214</v>
      </c>
      <c r="N82" s="142" t="s">
        <v>1214</v>
      </c>
      <c r="O82" s="142" t="s">
        <v>1214</v>
      </c>
      <c r="P82" s="142" t="s">
        <v>1215</v>
      </c>
      <c r="Q82" s="142" t="s">
        <v>1216</v>
      </c>
      <c r="R82" s="142"/>
      <c r="S82" s="142"/>
      <c r="T82" s="142" t="s">
        <v>1213</v>
      </c>
    </row>
    <row xmlns:x14ac="http://schemas.microsoft.com/office/spreadsheetml/2009/9/ac" r="83" x14ac:dyDescent="0.2">
      <c r="A83" s="135" t="s">
        <v>502</v>
      </c>
      <c r="B83" s="137" t="s">
        <v>88</v>
      </c>
      <c r="C83" s="137" t="s">
        <v>503</v>
      </c>
      <c r="D83" s="137" t="s">
        <v>88</v>
      </c>
      <c r="E83" s="137" t="s">
        <v>504</v>
      </c>
      <c r="F83" s="137" t="s">
        <v>505</v>
      </c>
      <c r="L83" s="142" t="s">
        <v>1217</v>
      </c>
      <c r="M83" s="142" t="s">
        <v>1218</v>
      </c>
      <c r="N83" s="142" t="s">
        <v>1219</v>
      </c>
      <c r="O83" s="142" t="s">
        <v>1218</v>
      </c>
      <c r="P83" s="142" t="s">
        <v>1220</v>
      </c>
      <c r="Q83" s="142" t="s">
        <v>1221</v>
      </c>
      <c r="R83" s="142"/>
      <c r="S83" s="142"/>
      <c r="T83" s="142" t="s">
        <v>1217</v>
      </c>
    </row>
    <row xmlns:x14ac="http://schemas.microsoft.com/office/spreadsheetml/2009/9/ac" r="84" x14ac:dyDescent="0.2">
      <c r="A84" s="135" t="s">
        <v>502</v>
      </c>
      <c r="B84" s="137" t="s">
        <v>13</v>
      </c>
      <c r="C84" s="137" t="s">
        <v>314</v>
      </c>
      <c r="D84" s="137" t="s">
        <v>315</v>
      </c>
      <c r="E84" s="137" t="s">
        <v>316</v>
      </c>
      <c r="F84" s="137" t="s">
        <v>317</v>
      </c>
      <c r="L84" s="142" t="s">
        <v>1222</v>
      </c>
      <c r="M84" s="142" t="s">
        <v>1223</v>
      </c>
      <c r="N84" s="142" t="s">
        <v>1223</v>
      </c>
      <c r="O84" s="142" t="s">
        <v>1224</v>
      </c>
      <c r="P84" s="142" t="s">
        <v>1225</v>
      </c>
      <c r="Q84" s="142" t="s">
        <v>1226</v>
      </c>
      <c r="R84" s="142"/>
      <c r="S84" s="142"/>
      <c r="T84" s="142" t="s">
        <v>1222</v>
      </c>
    </row>
    <row xmlns:x14ac="http://schemas.microsoft.com/office/spreadsheetml/2009/9/ac" r="85" x14ac:dyDescent="0.2">
      <c r="A85" s="135" t="s">
        <v>81</v>
      </c>
      <c r="B85" s="135" t="s">
        <v>126</v>
      </c>
      <c r="C85" s="135" t="s">
        <v>244</v>
      </c>
      <c r="D85" s="135" t="s">
        <v>245</v>
      </c>
      <c r="E85" s="135" t="s">
        <v>246</v>
      </c>
      <c r="F85" s="135" t="s">
        <v>247</v>
      </c>
      <c r="L85" s="142" t="s">
        <v>1227</v>
      </c>
      <c r="M85" s="142" t="s">
        <v>1228</v>
      </c>
      <c r="N85" s="142" t="s">
        <v>1229</v>
      </c>
      <c r="O85" s="142" t="s">
        <v>1228</v>
      </c>
      <c r="P85" s="142" t="s">
        <v>1230</v>
      </c>
      <c r="Q85" s="142" t="s">
        <v>1231</v>
      </c>
      <c r="R85" s="142"/>
      <c r="S85" s="142"/>
      <c r="T85" s="142" t="s">
        <v>1227</v>
      </c>
    </row>
    <row xmlns:x14ac="http://schemas.microsoft.com/office/spreadsheetml/2009/9/ac" r="86" x14ac:dyDescent="0.2">
      <c r="A86" s="135" t="s">
        <v>81</v>
      </c>
      <c r="B86" s="135" t="s">
        <v>171</v>
      </c>
      <c r="C86" s="135" t="s">
        <v>506</v>
      </c>
      <c r="D86" s="135" t="s">
        <v>507</v>
      </c>
      <c r="E86" s="135" t="s">
        <v>508</v>
      </c>
      <c r="F86" s="135" t="s">
        <v>509</v>
      </c>
      <c r="L86" s="142" t="s">
        <v>1232</v>
      </c>
      <c r="M86" s="142" t="s">
        <v>1233</v>
      </c>
      <c r="N86" s="142" t="s">
        <v>1234</v>
      </c>
      <c r="O86" s="142" t="s">
        <v>1233</v>
      </c>
      <c r="P86" s="142" t="s">
        <v>1235</v>
      </c>
      <c r="Q86" s="142" t="s">
        <v>1236</v>
      </c>
      <c r="R86" s="142"/>
      <c r="S86" s="142"/>
      <c r="T86" s="142" t="s">
        <v>1232</v>
      </c>
    </row>
    <row xmlns:x14ac="http://schemas.microsoft.com/office/spreadsheetml/2009/9/ac" r="87" x14ac:dyDescent="0.2">
      <c r="A87" s="135" t="s">
        <v>81</v>
      </c>
      <c r="B87" s="137" t="s">
        <v>160</v>
      </c>
      <c r="C87" s="137" t="s">
        <v>510</v>
      </c>
      <c r="D87" s="137" t="s">
        <v>511</v>
      </c>
      <c r="E87" s="137" t="s">
        <v>512</v>
      </c>
      <c r="F87" s="137" t="s">
        <v>513</v>
      </c>
      <c r="L87" s="142" t="s">
        <v>1237</v>
      </c>
      <c r="M87" s="142" t="s">
        <v>1238</v>
      </c>
      <c r="N87" s="142" t="s">
        <v>1239</v>
      </c>
      <c r="O87" s="142" t="s">
        <v>1240</v>
      </c>
      <c r="P87" s="142" t="s">
        <v>1241</v>
      </c>
      <c r="Q87" s="142" t="s">
        <v>1242</v>
      </c>
      <c r="R87" s="142"/>
      <c r="S87" s="142"/>
      <c r="T87" s="142" t="s">
        <v>1237</v>
      </c>
    </row>
    <row xmlns:x14ac="http://schemas.microsoft.com/office/spreadsheetml/2009/9/ac" r="88" x14ac:dyDescent="0.2">
      <c r="A88" s="135" t="s">
        <v>81</v>
      </c>
      <c r="B88" s="137" t="s">
        <v>133</v>
      </c>
      <c r="C88" s="137" t="s">
        <v>514</v>
      </c>
      <c r="D88" s="137" t="s">
        <v>515</v>
      </c>
      <c r="E88" s="137" t="s">
        <v>516</v>
      </c>
      <c r="F88" s="137" t="s">
        <v>517</v>
      </c>
      <c r="L88" s="142" t="s">
        <v>1243</v>
      </c>
      <c r="M88" s="142" t="s">
        <v>1244</v>
      </c>
      <c r="N88" s="142" t="s">
        <v>1245</v>
      </c>
      <c r="O88" s="142" t="s">
        <v>1246</v>
      </c>
      <c r="P88" s="142" t="s">
        <v>1247</v>
      </c>
      <c r="Q88" s="142" t="s">
        <v>1248</v>
      </c>
      <c r="R88" s="142"/>
      <c r="S88" s="142"/>
      <c r="T88" s="142" t="s">
        <v>1243</v>
      </c>
    </row>
    <row xmlns:x14ac="http://schemas.microsoft.com/office/spreadsheetml/2009/9/ac" r="89" x14ac:dyDescent="0.2">
      <c r="A89" s="135" t="s">
        <v>81</v>
      </c>
      <c r="B89" s="137" t="s">
        <v>134</v>
      </c>
      <c r="C89" s="137" t="s">
        <v>518</v>
      </c>
      <c r="D89" s="137" t="s">
        <v>519</v>
      </c>
      <c r="E89" s="137" t="s">
        <v>520</v>
      </c>
      <c r="F89" s="137" t="s">
        <v>521</v>
      </c>
      <c r="L89" s="142" t="s">
        <v>1249</v>
      </c>
      <c r="M89" s="142" t="s">
        <v>1250</v>
      </c>
      <c r="N89" s="142" t="s">
        <v>1251</v>
      </c>
      <c r="O89" s="142" t="s">
        <v>1252</v>
      </c>
      <c r="P89" s="142" t="s">
        <v>1253</v>
      </c>
      <c r="Q89" s="142" t="s">
        <v>1254</v>
      </c>
      <c r="R89" s="142"/>
      <c r="S89" s="142"/>
      <c r="T89" s="142" t="s">
        <v>1249</v>
      </c>
    </row>
    <row xmlns:x14ac="http://schemas.microsoft.com/office/spreadsheetml/2009/9/ac" r="90" x14ac:dyDescent="0.2">
      <c r="A90" s="135" t="s">
        <v>81</v>
      </c>
      <c r="B90" s="137" t="s">
        <v>153</v>
      </c>
      <c r="C90" s="137" t="s">
        <v>522</v>
      </c>
      <c r="D90" s="137" t="s">
        <v>523</v>
      </c>
      <c r="E90" s="137" t="s">
        <v>524</v>
      </c>
      <c r="F90" s="137" t="s">
        <v>525</v>
      </c>
      <c r="L90" s="142" t="s">
        <v>1255</v>
      </c>
      <c r="M90" s="142" t="s">
        <v>1256</v>
      </c>
      <c r="N90" s="142" t="s">
        <v>1257</v>
      </c>
      <c r="O90" s="142" t="s">
        <v>1258</v>
      </c>
      <c r="P90" s="142" t="s">
        <v>1259</v>
      </c>
      <c r="Q90" s="142" t="s">
        <v>1260</v>
      </c>
      <c r="R90" s="142"/>
      <c r="S90" s="142"/>
      <c r="T90" s="142" t="s">
        <v>1255</v>
      </c>
    </row>
    <row xmlns:x14ac="http://schemas.microsoft.com/office/spreadsheetml/2009/9/ac" r="91" x14ac:dyDescent="0.2">
      <c r="A91" s="135" t="s">
        <v>81</v>
      </c>
      <c r="B91" s="137" t="s">
        <v>135</v>
      </c>
      <c r="C91" s="137" t="s">
        <v>526</v>
      </c>
      <c r="D91" s="137" t="s">
        <v>527</v>
      </c>
      <c r="E91" s="137" t="s">
        <v>528</v>
      </c>
      <c r="F91" s="137" t="s">
        <v>529</v>
      </c>
      <c r="L91" s="142" t="s">
        <v>1261</v>
      </c>
      <c r="M91" s="142" t="s">
        <v>1262</v>
      </c>
      <c r="N91" s="142" t="s">
        <v>1262</v>
      </c>
      <c r="O91" s="142" t="s">
        <v>1262</v>
      </c>
      <c r="P91" s="142" t="s">
        <v>1263</v>
      </c>
      <c r="Q91" s="142" t="s">
        <v>1264</v>
      </c>
      <c r="R91" s="142"/>
      <c r="S91" s="142"/>
      <c r="T91" s="142" t="s">
        <v>1261</v>
      </c>
    </row>
    <row xmlns:x14ac="http://schemas.microsoft.com/office/spreadsheetml/2009/9/ac" r="92" x14ac:dyDescent="0.2">
      <c r="A92" s="135" t="s">
        <v>81</v>
      </c>
      <c r="B92" s="137" t="s">
        <v>136</v>
      </c>
      <c r="C92" s="137" t="s">
        <v>530</v>
      </c>
      <c r="D92" s="137" t="s">
        <v>531</v>
      </c>
      <c r="E92" s="137" t="s">
        <v>532</v>
      </c>
      <c r="F92" s="137" t="s">
        <v>533</v>
      </c>
      <c r="L92" s="142" t="s">
        <v>1265</v>
      </c>
      <c r="M92" s="142" t="s">
        <v>1266</v>
      </c>
      <c r="N92" s="142" t="s">
        <v>1267</v>
      </c>
      <c r="O92" s="142" t="s">
        <v>1268</v>
      </c>
      <c r="P92" s="142" t="s">
        <v>1269</v>
      </c>
      <c r="Q92" s="142" t="s">
        <v>1270</v>
      </c>
      <c r="R92" s="142"/>
      <c r="S92" s="142"/>
      <c r="T92" s="142" t="s">
        <v>1265</v>
      </c>
    </row>
    <row xmlns:x14ac="http://schemas.microsoft.com/office/spreadsheetml/2009/9/ac" r="93" x14ac:dyDescent="0.2">
      <c r="A93" s="135" t="s">
        <v>81</v>
      </c>
      <c r="B93" s="137" t="s">
        <v>110</v>
      </c>
      <c r="C93" s="137" t="s">
        <v>534</v>
      </c>
      <c r="D93" s="137" t="s">
        <v>535</v>
      </c>
      <c r="E93" s="137" t="s">
        <v>536</v>
      </c>
      <c r="F93" s="137" t="s">
        <v>537</v>
      </c>
      <c r="L93" s="142" t="s">
        <v>1271</v>
      </c>
      <c r="M93" s="142" t="s">
        <v>1272</v>
      </c>
      <c r="N93" s="142" t="s">
        <v>1272</v>
      </c>
      <c r="O93" s="142" t="s">
        <v>1272</v>
      </c>
      <c r="P93" s="142" t="s">
        <v>1273</v>
      </c>
      <c r="Q93" s="142" t="s">
        <v>1274</v>
      </c>
      <c r="R93" s="142"/>
      <c r="S93" s="142"/>
      <c r="T93" s="142" t="s">
        <v>1271</v>
      </c>
    </row>
    <row xmlns:x14ac="http://schemas.microsoft.com/office/spreadsheetml/2009/9/ac" r="94" x14ac:dyDescent="0.2">
      <c r="A94" s="135" t="s">
        <v>81</v>
      </c>
      <c r="B94" s="135" t="s">
        <v>117</v>
      </c>
      <c r="C94" s="135" t="s">
        <v>538</v>
      </c>
      <c r="D94" s="135" t="s">
        <v>539</v>
      </c>
      <c r="E94" s="135" t="s">
        <v>540</v>
      </c>
      <c r="F94" s="135" t="s">
        <v>541</v>
      </c>
      <c r="L94" s="142" t="s">
        <v>1275</v>
      </c>
      <c r="M94" s="142" t="s">
        <v>1276</v>
      </c>
      <c r="N94" s="142" t="s">
        <v>1276</v>
      </c>
      <c r="O94" s="142" t="s">
        <v>1276</v>
      </c>
      <c r="P94" s="142" t="s">
        <v>1277</v>
      </c>
      <c r="Q94" s="142" t="s">
        <v>1278</v>
      </c>
      <c r="R94" s="142"/>
      <c r="S94" s="142"/>
      <c r="T94" s="142" t="s">
        <v>1275</v>
      </c>
    </row>
    <row xmlns:x14ac="http://schemas.microsoft.com/office/spreadsheetml/2009/9/ac" r="95" x14ac:dyDescent="0.2">
      <c r="A95" s="135" t="s">
        <v>81</v>
      </c>
      <c r="B95" s="135" t="s">
        <v>542</v>
      </c>
      <c r="C95" s="135" t="s">
        <v>543</v>
      </c>
      <c r="D95" s="135" t="s">
        <v>544</v>
      </c>
      <c r="E95" s="135" t="s">
        <v>545</v>
      </c>
      <c r="F95" s="135" t="s">
        <v>546</v>
      </c>
      <c r="L95" s="142" t="s">
        <v>1279</v>
      </c>
      <c r="M95" s="142" t="s">
        <v>1280</v>
      </c>
      <c r="N95" s="142" t="s">
        <v>1281</v>
      </c>
      <c r="O95" s="142" t="s">
        <v>1282</v>
      </c>
      <c r="P95" s="142" t="s">
        <v>1283</v>
      </c>
      <c r="Q95" s="142" t="s">
        <v>1284</v>
      </c>
      <c r="R95" s="142"/>
      <c r="S95" s="142"/>
      <c r="T95" s="142" t="s">
        <v>1279</v>
      </c>
    </row>
    <row xmlns:x14ac="http://schemas.microsoft.com/office/spreadsheetml/2009/9/ac" r="96" x14ac:dyDescent="0.2">
      <c r="A96" s="135" t="s">
        <v>81</v>
      </c>
      <c r="B96" s="135" t="s">
        <v>547</v>
      </c>
      <c r="C96" s="135" t="s">
        <v>548</v>
      </c>
      <c r="D96" s="135" t="s">
        <v>549</v>
      </c>
      <c r="E96" s="135" t="s">
        <v>550</v>
      </c>
      <c r="F96" s="135" t="s">
        <v>551</v>
      </c>
      <c r="L96" s="142" t="s">
        <v>1285</v>
      </c>
      <c r="M96" s="142" t="s">
        <v>1286</v>
      </c>
      <c r="N96" s="142" t="s">
        <v>1287</v>
      </c>
      <c r="O96" s="142" t="s">
        <v>1288</v>
      </c>
      <c r="P96" s="142" t="s">
        <v>1289</v>
      </c>
      <c r="Q96" s="142" t="s">
        <v>1290</v>
      </c>
      <c r="R96" s="142"/>
      <c r="S96" s="142"/>
      <c r="T96" s="142" t="s">
        <v>1285</v>
      </c>
    </row>
    <row xmlns:x14ac="http://schemas.microsoft.com/office/spreadsheetml/2009/9/ac" r="97" x14ac:dyDescent="0.2">
      <c r="A97" s="135" t="s">
        <v>114</v>
      </c>
      <c r="B97" s="135" t="s">
        <v>552</v>
      </c>
      <c r="C97" s="135" t="s">
        <v>2078</v>
      </c>
      <c r="D97" s="135" t="s">
        <v>553</v>
      </c>
      <c r="E97" s="135" t="s">
        <v>554</v>
      </c>
      <c r="F97" s="135" t="s">
        <v>555</v>
      </c>
      <c r="L97" s="142" t="s">
        <v>1291</v>
      </c>
      <c r="M97" s="142" t="s">
        <v>1292</v>
      </c>
      <c r="N97" s="142" t="s">
        <v>1292</v>
      </c>
      <c r="O97" s="142" t="s">
        <v>1292</v>
      </c>
      <c r="P97" s="142" t="s">
        <v>1293</v>
      </c>
      <c r="Q97" s="142" t="s">
        <v>1294</v>
      </c>
      <c r="R97" s="142"/>
      <c r="S97" s="142"/>
      <c r="T97" s="142" t="s">
        <v>1291</v>
      </c>
    </row>
    <row xmlns:x14ac="http://schemas.microsoft.com/office/spreadsheetml/2009/9/ac" r="98" x14ac:dyDescent="0.2">
      <c r="A98" s="135" t="s">
        <v>114</v>
      </c>
      <c r="B98" s="135" t="s">
        <v>154</v>
      </c>
      <c r="C98" s="135" t="s">
        <v>556</v>
      </c>
      <c r="D98" s="135" t="s">
        <v>557</v>
      </c>
      <c r="E98" s="135" t="s">
        <v>558</v>
      </c>
      <c r="F98" s="135" t="s">
        <v>559</v>
      </c>
      <c r="L98" s="142" t="s">
        <v>1295</v>
      </c>
      <c r="M98" s="142" t="s">
        <v>1296</v>
      </c>
      <c r="N98" s="142" t="s">
        <v>1297</v>
      </c>
      <c r="O98" s="142" t="s">
        <v>1298</v>
      </c>
      <c r="P98" s="142" t="s">
        <v>1299</v>
      </c>
      <c r="Q98" s="142" t="s">
        <v>1300</v>
      </c>
      <c r="R98" s="142"/>
      <c r="S98" s="142"/>
      <c r="T98" s="142" t="s">
        <v>1295</v>
      </c>
    </row>
    <row xmlns:x14ac="http://schemas.microsoft.com/office/spreadsheetml/2009/9/ac" r="99" x14ac:dyDescent="0.2">
      <c r="A99" s="135" t="s">
        <v>114</v>
      </c>
      <c r="B99" s="135" t="s">
        <v>161</v>
      </c>
      <c r="C99" s="135" t="s">
        <v>560</v>
      </c>
      <c r="D99" s="135" t="s">
        <v>561</v>
      </c>
      <c r="E99" s="135" t="s">
        <v>562</v>
      </c>
      <c r="F99" s="135" t="s">
        <v>563</v>
      </c>
      <c r="L99" s="142" t="s">
        <v>1301</v>
      </c>
      <c r="M99" s="142" t="s">
        <v>1302</v>
      </c>
      <c r="N99" s="142" t="s">
        <v>1303</v>
      </c>
      <c r="O99" s="142" t="s">
        <v>1304</v>
      </c>
      <c r="P99" s="142" t="s">
        <v>1305</v>
      </c>
      <c r="Q99" s="142" t="s">
        <v>1306</v>
      </c>
      <c r="R99" s="142"/>
      <c r="S99" s="142"/>
      <c r="T99" s="142" t="s">
        <v>1301</v>
      </c>
    </row>
    <row xmlns:x14ac="http://schemas.microsoft.com/office/spreadsheetml/2009/9/ac" r="100" x14ac:dyDescent="0.2">
      <c r="A100" s="135" t="s">
        <v>114</v>
      </c>
      <c r="B100" s="135" t="s">
        <v>137</v>
      </c>
      <c r="C100" s="135" t="s">
        <v>564</v>
      </c>
      <c r="D100" s="135" t="s">
        <v>565</v>
      </c>
      <c r="E100" s="135" t="s">
        <v>566</v>
      </c>
      <c r="F100" s="135" t="s">
        <v>567</v>
      </c>
      <c r="L100" s="142" t="s">
        <v>1307</v>
      </c>
      <c r="M100" s="142" t="s">
        <v>1308</v>
      </c>
      <c r="N100" s="142" t="s">
        <v>1309</v>
      </c>
      <c r="O100" s="142" t="s">
        <v>1310</v>
      </c>
      <c r="P100" s="142" t="s">
        <v>1311</v>
      </c>
      <c r="Q100" s="142" t="s">
        <v>1312</v>
      </c>
      <c r="R100" s="142"/>
      <c r="S100" s="142"/>
      <c r="T100" s="142" t="s">
        <v>1307</v>
      </c>
    </row>
    <row xmlns:x14ac="http://schemas.microsoft.com/office/spreadsheetml/2009/9/ac" r="101" x14ac:dyDescent="0.2">
      <c r="A101" s="135" t="s">
        <v>114</v>
      </c>
      <c r="B101" s="135" t="s">
        <v>4</v>
      </c>
      <c r="C101" s="135" t="s">
        <v>568</v>
      </c>
      <c r="D101" s="135" t="s">
        <v>569</v>
      </c>
      <c r="E101" s="135" t="s">
        <v>570</v>
      </c>
      <c r="F101" s="135" t="s">
        <v>571</v>
      </c>
      <c r="L101" s="142" t="s">
        <v>1313</v>
      </c>
      <c r="M101" s="142" t="s">
        <v>1314</v>
      </c>
      <c r="N101" s="142" t="s">
        <v>1315</v>
      </c>
      <c r="O101" s="142" t="s">
        <v>1314</v>
      </c>
      <c r="P101" s="142" t="s">
        <v>1316</v>
      </c>
      <c r="Q101" s="142" t="s">
        <v>1317</v>
      </c>
      <c r="R101" s="142"/>
      <c r="S101" s="142"/>
      <c r="T101" s="142" t="s">
        <v>1313</v>
      </c>
    </row>
    <row xmlns:x14ac="http://schemas.microsoft.com/office/spreadsheetml/2009/9/ac" r="102" ht="51" x14ac:dyDescent="0.2">
      <c r="A102" s="135" t="s">
        <v>114</v>
      </c>
      <c r="B102" s="139" t="s">
        <v>14</v>
      </c>
      <c r="C102" s="139" t="s">
        <v>572</v>
      </c>
      <c r="D102" s="139" t="s">
        <v>573</v>
      </c>
      <c r="E102" s="139" t="s">
        <v>574</v>
      </c>
      <c r="F102" s="139" t="s">
        <v>575</v>
      </c>
      <c r="L102" s="142" t="s">
        <v>1318</v>
      </c>
      <c r="M102" s="142" t="s">
        <v>1319</v>
      </c>
      <c r="N102" s="142" t="s">
        <v>1320</v>
      </c>
      <c r="O102" s="142" t="s">
        <v>1321</v>
      </c>
      <c r="P102" s="142" t="s">
        <v>1322</v>
      </c>
      <c r="Q102" s="142" t="s">
        <v>1323</v>
      </c>
      <c r="R102" s="142"/>
      <c r="S102" s="142"/>
      <c r="T102" s="142" t="s">
        <v>1318</v>
      </c>
    </row>
    <row xmlns:x14ac="http://schemas.microsoft.com/office/spreadsheetml/2009/9/ac" r="103" ht="53" x14ac:dyDescent="0.2">
      <c r="A103" s="135" t="s">
        <v>576</v>
      </c>
      <c r="B103" s="139" t="s">
        <v>2079</v>
      </c>
      <c r="C103" s="139" t="s">
        <v>2080</v>
      </c>
      <c r="D103" s="139" t="s">
        <v>2081</v>
      </c>
      <c r="E103" s="139" t="s">
        <v>577</v>
      </c>
      <c r="F103" s="139" t="s">
        <v>578</v>
      </c>
      <c r="L103" s="142" t="s">
        <v>1324</v>
      </c>
      <c r="M103" s="142" t="s">
        <v>1325</v>
      </c>
      <c r="N103" s="142" t="s">
        <v>1326</v>
      </c>
      <c r="O103" s="142" t="s">
        <v>1325</v>
      </c>
      <c r="P103" s="142" t="s">
        <v>1327</v>
      </c>
      <c r="Q103" s="142" t="s">
        <v>1328</v>
      </c>
      <c r="R103" s="142"/>
      <c r="S103" s="142"/>
      <c r="T103" s="142" t="s">
        <v>1324</v>
      </c>
    </row>
    <row xmlns:x14ac="http://schemas.microsoft.com/office/spreadsheetml/2009/9/ac" r="104" ht="51" x14ac:dyDescent="0.2">
      <c r="A104" s="135" t="s">
        <v>114</v>
      </c>
      <c r="B104" s="139" t="s">
        <v>118</v>
      </c>
      <c r="C104" s="139" t="s">
        <v>579</v>
      </c>
      <c r="D104" s="139" t="s">
        <v>580</v>
      </c>
      <c r="E104" s="139" t="s">
        <v>581</v>
      </c>
      <c r="F104" s="139" t="s">
        <v>582</v>
      </c>
      <c r="L104" s="142" t="s">
        <v>1329</v>
      </c>
      <c r="M104" s="142" t="s">
        <v>1330</v>
      </c>
      <c r="N104" s="142" t="s">
        <v>1331</v>
      </c>
      <c r="O104" s="142" t="s">
        <v>1332</v>
      </c>
      <c r="P104" s="142" t="s">
        <v>1333</v>
      </c>
      <c r="Q104" s="142" t="s">
        <v>1334</v>
      </c>
      <c r="R104" s="142"/>
      <c r="S104" s="142"/>
      <c r="T104" s="142" t="s">
        <v>1329</v>
      </c>
    </row>
    <row xmlns:x14ac="http://schemas.microsoft.com/office/spreadsheetml/2009/9/ac" r="105" x14ac:dyDescent="0.2">
      <c r="A105" s="135" t="s">
        <v>114</v>
      </c>
      <c r="B105" s="135" t="s">
        <v>111</v>
      </c>
      <c r="C105" s="135" t="s">
        <v>2082</v>
      </c>
      <c r="D105" s="135" t="s">
        <v>583</v>
      </c>
      <c r="E105" s="135" t="s">
        <v>584</v>
      </c>
      <c r="F105" s="135" t="s">
        <v>585</v>
      </c>
      <c r="L105" s="142" t="s">
        <v>1335</v>
      </c>
      <c r="M105" s="142" t="s">
        <v>1336</v>
      </c>
      <c r="N105" s="142" t="s">
        <v>1337</v>
      </c>
      <c r="O105" s="142" t="s">
        <v>1338</v>
      </c>
      <c r="P105" s="142" t="s">
        <v>1339</v>
      </c>
      <c r="Q105" s="142" t="s">
        <v>1340</v>
      </c>
      <c r="R105" s="142"/>
      <c r="S105" s="142"/>
      <c r="T105" s="142" t="s">
        <v>1335</v>
      </c>
    </row>
    <row xmlns:x14ac="http://schemas.microsoft.com/office/spreadsheetml/2009/9/ac" r="106" x14ac:dyDescent="0.2">
      <c r="A106" s="135" t="s">
        <v>114</v>
      </c>
      <c r="B106" s="135" t="s">
        <v>112</v>
      </c>
      <c r="C106" s="135" t="s">
        <v>2083</v>
      </c>
      <c r="D106" s="135" t="s">
        <v>586</v>
      </c>
      <c r="E106" s="135" t="s">
        <v>587</v>
      </c>
      <c r="F106" s="135" t="s">
        <v>588</v>
      </c>
      <c r="L106" s="142" t="s">
        <v>1341</v>
      </c>
      <c r="M106" s="142" t="s">
        <v>1342</v>
      </c>
      <c r="N106" s="142" t="s">
        <v>1343</v>
      </c>
      <c r="O106" s="142" t="s">
        <v>1344</v>
      </c>
      <c r="P106" s="142" t="s">
        <v>1345</v>
      </c>
      <c r="Q106" s="142" t="s">
        <v>1346</v>
      </c>
      <c r="R106" s="142"/>
      <c r="S106" s="142"/>
      <c r="T106" s="142" t="s">
        <v>1341</v>
      </c>
    </row>
    <row xmlns:x14ac="http://schemas.microsoft.com/office/spreadsheetml/2009/9/ac" r="107" x14ac:dyDescent="0.2">
      <c r="A107" s="135" t="s">
        <v>114</v>
      </c>
      <c r="B107" s="135" t="s">
        <v>1</v>
      </c>
      <c r="C107" s="135" t="s">
        <v>589</v>
      </c>
      <c r="D107" s="135" t="s">
        <v>590</v>
      </c>
      <c r="E107" s="135" t="s">
        <v>591</v>
      </c>
      <c r="F107" s="135" t="s">
        <v>592</v>
      </c>
      <c r="L107" s="142" t="s">
        <v>1347</v>
      </c>
      <c r="M107" s="142" t="s">
        <v>1348</v>
      </c>
      <c r="N107" s="142" t="s">
        <v>1348</v>
      </c>
      <c r="O107" s="142" t="s">
        <v>1348</v>
      </c>
      <c r="P107" s="142" t="s">
        <v>1349</v>
      </c>
      <c r="Q107" s="142" t="s">
        <v>1350</v>
      </c>
      <c r="R107" s="142"/>
      <c r="S107" s="142"/>
      <c r="T107" s="142" t="s">
        <v>1347</v>
      </c>
    </row>
    <row xmlns:x14ac="http://schemas.microsoft.com/office/spreadsheetml/2009/9/ac" r="108" x14ac:dyDescent="0.2">
      <c r="A108" s="135" t="s">
        <v>114</v>
      </c>
      <c r="B108" s="135" t="s">
        <v>2</v>
      </c>
      <c r="C108" s="135" t="s">
        <v>593</v>
      </c>
      <c r="D108" s="135" t="s">
        <v>594</v>
      </c>
      <c r="E108" s="135" t="s">
        <v>595</v>
      </c>
      <c r="F108" s="135" t="s">
        <v>596</v>
      </c>
      <c r="L108" s="142" t="s">
        <v>1351</v>
      </c>
      <c r="M108" s="142" t="s">
        <v>1352</v>
      </c>
      <c r="N108" s="142" t="s">
        <v>1353</v>
      </c>
      <c r="O108" s="142" t="s">
        <v>1354</v>
      </c>
      <c r="P108" s="142" t="s">
        <v>1355</v>
      </c>
      <c r="Q108" s="142" t="s">
        <v>1356</v>
      </c>
      <c r="R108" s="142"/>
      <c r="S108" s="142"/>
      <c r="T108" s="142" t="s">
        <v>1351</v>
      </c>
    </row>
    <row xmlns:x14ac="http://schemas.microsoft.com/office/spreadsheetml/2009/9/ac" r="109" x14ac:dyDescent="0.2">
      <c r="A109" s="135" t="s">
        <v>114</v>
      </c>
      <c r="B109" s="135" t="s">
        <v>3</v>
      </c>
      <c r="C109" s="135" t="s">
        <v>597</v>
      </c>
      <c r="D109" s="135" t="s">
        <v>598</v>
      </c>
      <c r="E109" s="135" t="s">
        <v>599</v>
      </c>
      <c r="F109" s="135" t="s">
        <v>600</v>
      </c>
      <c r="L109" s="142" t="s">
        <v>1357</v>
      </c>
      <c r="M109" s="142" t="s">
        <v>1358</v>
      </c>
      <c r="N109" s="142" t="s">
        <v>1359</v>
      </c>
      <c r="O109" s="142" t="s">
        <v>1358</v>
      </c>
      <c r="P109" s="142" t="s">
        <v>1360</v>
      </c>
      <c r="Q109" s="142" t="s">
        <v>1361</v>
      </c>
      <c r="R109" s="142"/>
      <c r="S109" s="142"/>
      <c r="T109" s="142" t="s">
        <v>1357</v>
      </c>
    </row>
    <row xmlns:x14ac="http://schemas.microsoft.com/office/spreadsheetml/2009/9/ac" r="110" x14ac:dyDescent="0.2">
      <c r="A110" s="135" t="s">
        <v>114</v>
      </c>
      <c r="B110" s="135" t="s">
        <v>155</v>
      </c>
      <c r="C110" s="135" t="s">
        <v>601</v>
      </c>
      <c r="D110" s="135" t="s">
        <v>602</v>
      </c>
      <c r="E110" s="135" t="s">
        <v>603</v>
      </c>
      <c r="F110" s="135" t="s">
        <v>604</v>
      </c>
      <c r="L110" s="142" t="s">
        <v>192</v>
      </c>
      <c r="M110" s="142" t="s">
        <v>191</v>
      </c>
      <c r="N110" s="142" t="s">
        <v>1362</v>
      </c>
      <c r="O110" s="142" t="s">
        <v>1363</v>
      </c>
      <c r="P110" s="142" t="s">
        <v>1364</v>
      </c>
      <c r="Q110" s="142" t="s">
        <v>1365</v>
      </c>
      <c r="R110" s="142"/>
      <c r="S110" s="142"/>
      <c r="T110" s="142" t="s">
        <v>192</v>
      </c>
    </row>
    <row xmlns:x14ac="http://schemas.microsoft.com/office/spreadsheetml/2009/9/ac" r="111" x14ac:dyDescent="0.2">
      <c r="A111" s="135" t="s">
        <v>114</v>
      </c>
      <c r="B111" s="135" t="s">
        <v>605</v>
      </c>
      <c r="C111" s="135" t="s">
        <v>606</v>
      </c>
      <c r="D111" s="135" t="s">
        <v>607</v>
      </c>
      <c r="E111" s="135" t="s">
        <v>608</v>
      </c>
      <c r="F111" s="135" t="s">
        <v>609</v>
      </c>
      <c r="L111" s="142" t="s">
        <v>1366</v>
      </c>
      <c r="M111" s="142" t="s">
        <v>1367</v>
      </c>
      <c r="N111" s="142" t="s">
        <v>1368</v>
      </c>
      <c r="O111" s="142" t="s">
        <v>1367</v>
      </c>
      <c r="P111" s="142" t="s">
        <v>1369</v>
      </c>
      <c r="Q111" s="142" t="s">
        <v>1370</v>
      </c>
      <c r="R111" s="142"/>
      <c r="S111" s="142"/>
      <c r="T111" s="142" t="s">
        <v>1366</v>
      </c>
    </row>
    <row xmlns:x14ac="http://schemas.microsoft.com/office/spreadsheetml/2009/9/ac" r="112" x14ac:dyDescent="0.2">
      <c r="A112" s="135" t="s">
        <v>114</v>
      </c>
      <c r="B112" s="135" t="s">
        <v>610</v>
      </c>
      <c r="C112" s="135" t="s">
        <v>611</v>
      </c>
      <c r="D112" s="135" t="s">
        <v>612</v>
      </c>
      <c r="E112" s="135" t="s">
        <v>613</v>
      </c>
      <c r="F112" s="135" t="s">
        <v>614</v>
      </c>
      <c r="L112" s="142" t="s">
        <v>1371</v>
      </c>
      <c r="M112" s="142" t="s">
        <v>1372</v>
      </c>
      <c r="N112" s="142" t="s">
        <v>1372</v>
      </c>
      <c r="O112" s="142" t="s">
        <v>1372</v>
      </c>
      <c r="P112" s="142" t="s">
        <v>1373</v>
      </c>
      <c r="Q112" s="142" t="s">
        <v>1374</v>
      </c>
      <c r="R112" s="142"/>
      <c r="S112" s="142"/>
      <c r="T112" s="142" t="s">
        <v>1371</v>
      </c>
    </row>
    <row xmlns:x14ac="http://schemas.microsoft.com/office/spreadsheetml/2009/9/ac" r="113" x14ac:dyDescent="0.2">
      <c r="A113" s="135" t="s">
        <v>114</v>
      </c>
      <c r="B113" s="135" t="s">
        <v>615</v>
      </c>
      <c r="C113" s="135" t="s">
        <v>616</v>
      </c>
      <c r="D113" s="135" t="s">
        <v>617</v>
      </c>
      <c r="E113" s="135" t="s">
        <v>618</v>
      </c>
      <c r="F113" s="135" t="s">
        <v>619</v>
      </c>
      <c r="L113" s="142" t="s">
        <v>1375</v>
      </c>
      <c r="M113" s="142" t="s">
        <v>1376</v>
      </c>
      <c r="N113" s="142" t="s">
        <v>1377</v>
      </c>
      <c r="O113" s="142" t="s">
        <v>1378</v>
      </c>
      <c r="P113" s="142" t="s">
        <v>1379</v>
      </c>
      <c r="Q113" s="142" t="s">
        <v>1380</v>
      </c>
      <c r="R113" s="142"/>
      <c r="S113" s="142"/>
      <c r="T113" s="142" t="s">
        <v>1375</v>
      </c>
    </row>
    <row xmlns:x14ac="http://schemas.microsoft.com/office/spreadsheetml/2009/9/ac" r="114" x14ac:dyDescent="0.2">
      <c r="A114" s="135" t="s">
        <v>114</v>
      </c>
      <c r="B114" s="135" t="s">
        <v>620</v>
      </c>
      <c r="C114" s="135" t="s">
        <v>621</v>
      </c>
      <c r="D114" s="135" t="s">
        <v>622</v>
      </c>
      <c r="E114" s="135" t="s">
        <v>623</v>
      </c>
      <c r="F114" s="135" t="s">
        <v>624</v>
      </c>
      <c r="L114" s="142" t="s">
        <v>1381</v>
      </c>
      <c r="M114" s="142" t="s">
        <v>1382</v>
      </c>
      <c r="N114" s="142" t="s">
        <v>1383</v>
      </c>
      <c r="O114" s="142" t="s">
        <v>1384</v>
      </c>
      <c r="P114" s="142" t="s">
        <v>1385</v>
      </c>
      <c r="Q114" s="142" t="s">
        <v>1386</v>
      </c>
      <c r="R114" s="142"/>
      <c r="S114" s="142"/>
      <c r="T114" s="142" t="s">
        <v>1381</v>
      </c>
    </row>
    <row xmlns:x14ac="http://schemas.microsoft.com/office/spreadsheetml/2009/9/ac" r="115" x14ac:dyDescent="0.2">
      <c r="A115" s="135" t="s">
        <v>5</v>
      </c>
      <c r="B115" s="135" t="s">
        <v>26</v>
      </c>
      <c r="C115" s="135" t="s">
        <v>252</v>
      </c>
      <c r="D115" s="135" t="s">
        <v>253</v>
      </c>
      <c r="E115" s="135" t="s">
        <v>254</v>
      </c>
      <c r="F115" s="135" t="s">
        <v>255</v>
      </c>
      <c r="L115" s="142" t="s">
        <v>1387</v>
      </c>
      <c r="M115" s="142" t="s">
        <v>1388</v>
      </c>
      <c r="N115" s="142" t="s">
        <v>1388</v>
      </c>
      <c r="O115" s="142" t="s">
        <v>1389</v>
      </c>
      <c r="P115" s="142" t="s">
        <v>1390</v>
      </c>
      <c r="Q115" s="142" t="s">
        <v>1391</v>
      </c>
      <c r="R115" s="142"/>
      <c r="S115" s="142"/>
      <c r="T115" s="142" t="s">
        <v>1387</v>
      </c>
    </row>
    <row xmlns:x14ac="http://schemas.microsoft.com/office/spreadsheetml/2009/9/ac" r="116" x14ac:dyDescent="0.2">
      <c r="A116" s="135" t="s">
        <v>5</v>
      </c>
      <c r="B116" s="135" t="s">
        <v>174</v>
      </c>
      <c r="C116" s="135" t="s">
        <v>625</v>
      </c>
      <c r="D116" s="135" t="s">
        <v>626</v>
      </c>
      <c r="E116" s="135" t="s">
        <v>627</v>
      </c>
      <c r="F116" s="135" t="s">
        <v>628</v>
      </c>
      <c r="L116" s="142" t="s">
        <v>1392</v>
      </c>
      <c r="M116" s="142" t="s">
        <v>1393</v>
      </c>
      <c r="N116" s="142" t="s">
        <v>1393</v>
      </c>
      <c r="O116" s="142" t="s">
        <v>1393</v>
      </c>
      <c r="P116" s="142" t="s">
        <v>1394</v>
      </c>
      <c r="Q116" s="142" t="s">
        <v>1395</v>
      </c>
      <c r="R116" s="142"/>
      <c r="S116" s="142"/>
      <c r="T116" s="142" t="s">
        <v>1392</v>
      </c>
    </row>
    <row xmlns:x14ac="http://schemas.microsoft.com/office/spreadsheetml/2009/9/ac" r="117" x14ac:dyDescent="0.2">
      <c r="A117" s="135" t="s">
        <v>5</v>
      </c>
      <c r="B117" s="135" t="s">
        <v>104</v>
      </c>
      <c r="C117" s="135" t="s">
        <v>2084</v>
      </c>
      <c r="D117" s="135" t="s">
        <v>629</v>
      </c>
      <c r="E117" s="135" t="s">
        <v>630</v>
      </c>
      <c r="F117" s="135" t="s">
        <v>631</v>
      </c>
      <c r="L117" s="142" t="s">
        <v>1396</v>
      </c>
      <c r="M117" s="142" t="s">
        <v>1397</v>
      </c>
      <c r="N117" s="142" t="s">
        <v>1398</v>
      </c>
      <c r="O117" s="142" t="s">
        <v>1399</v>
      </c>
      <c r="P117" s="142" t="s">
        <v>1400</v>
      </c>
      <c r="Q117" s="142" t="s">
        <v>1401</v>
      </c>
      <c r="R117" s="142"/>
      <c r="S117" s="142"/>
      <c r="T117" s="142" t="s">
        <v>1396</v>
      </c>
    </row>
    <row xmlns:x14ac="http://schemas.microsoft.com/office/spreadsheetml/2009/9/ac" r="118" x14ac:dyDescent="0.2">
      <c r="A118" s="135" t="s">
        <v>5</v>
      </c>
      <c r="B118" s="135" t="s">
        <v>188</v>
      </c>
      <c r="C118" s="135" t="s">
        <v>632</v>
      </c>
      <c r="D118" s="135" t="s">
        <v>633</v>
      </c>
      <c r="E118" s="135" t="s">
        <v>634</v>
      </c>
      <c r="F118" s="135" t="s">
        <v>635</v>
      </c>
      <c r="L118" s="142" t="s">
        <v>1402</v>
      </c>
      <c r="M118" s="142" t="s">
        <v>1403</v>
      </c>
      <c r="N118" s="142" t="s">
        <v>1404</v>
      </c>
      <c r="O118" s="142" t="s">
        <v>1405</v>
      </c>
      <c r="P118" s="142" t="s">
        <v>1406</v>
      </c>
      <c r="Q118" s="142" t="s">
        <v>1407</v>
      </c>
      <c r="R118" s="142"/>
      <c r="S118" s="142"/>
      <c r="T118" s="142" t="s">
        <v>1402</v>
      </c>
    </row>
    <row xmlns:x14ac="http://schemas.microsoft.com/office/spreadsheetml/2009/9/ac" r="119" x14ac:dyDescent="0.2">
      <c r="A119" s="135" t="s">
        <v>5</v>
      </c>
      <c r="B119" s="135" t="s">
        <v>162</v>
      </c>
      <c r="C119" s="135" t="s">
        <v>636</v>
      </c>
      <c r="D119" s="135" t="s">
        <v>637</v>
      </c>
      <c r="E119" s="135" t="s">
        <v>638</v>
      </c>
      <c r="F119" s="135" t="s">
        <v>639</v>
      </c>
      <c r="L119" s="142" t="s">
        <v>1408</v>
      </c>
      <c r="M119" s="142" t="s">
        <v>1409</v>
      </c>
      <c r="N119" s="142" t="s">
        <v>1409</v>
      </c>
      <c r="O119" s="142" t="s">
        <v>1409</v>
      </c>
      <c r="P119" s="142" t="s">
        <v>1410</v>
      </c>
      <c r="Q119" s="142" t="s">
        <v>1411</v>
      </c>
      <c r="R119" s="142"/>
      <c r="S119" s="142"/>
      <c r="T119" s="142" t="s">
        <v>1408</v>
      </c>
    </row>
    <row xmlns:x14ac="http://schemas.microsoft.com/office/spreadsheetml/2009/9/ac" r="120" x14ac:dyDescent="0.2">
      <c r="A120" s="135" t="s">
        <v>5</v>
      </c>
      <c r="B120" s="135" t="s">
        <v>2127</v>
      </c>
      <c r="C120" s="135" t="s">
        <v>2150</v>
      </c>
      <c r="D120" s="135" t="s">
        <v>2171</v>
      </c>
      <c r="E120" s="135" t="s">
        <v>2194</v>
      </c>
      <c r="F120" s="135" t="s">
        <v>2216</v>
      </c>
      <c r="L120" s="142" t="s">
        <v>1412</v>
      </c>
      <c r="M120" s="142" t="s">
        <v>1413</v>
      </c>
      <c r="N120" s="142" t="s">
        <v>1414</v>
      </c>
      <c r="O120" s="142" t="s">
        <v>1415</v>
      </c>
      <c r="P120" s="142" t="s">
        <v>1416</v>
      </c>
      <c r="Q120" s="142" t="s">
        <v>1417</v>
      </c>
      <c r="R120" s="142"/>
      <c r="S120" s="142"/>
      <c r="T120" s="142" t="s">
        <v>1412</v>
      </c>
    </row>
    <row xmlns:x14ac="http://schemas.microsoft.com/office/spreadsheetml/2009/9/ac" r="121" x14ac:dyDescent="0.2">
      <c r="A121" s="135" t="s">
        <v>5</v>
      </c>
      <c r="B121" s="135" t="s">
        <v>2128</v>
      </c>
      <c r="C121" s="135" t="s">
        <v>2151</v>
      </c>
      <c r="D121" s="135" t="s">
        <v>2172</v>
      </c>
      <c r="E121" s="135" t="s">
        <v>2195</v>
      </c>
      <c r="F121" s="135" t="s">
        <v>2217</v>
      </c>
      <c r="L121" s="142" t="s">
        <v>1418</v>
      </c>
      <c r="M121" s="142" t="s">
        <v>1419</v>
      </c>
      <c r="N121" s="142" t="s">
        <v>1420</v>
      </c>
      <c r="O121" s="142" t="s">
        <v>1421</v>
      </c>
      <c r="P121" s="142" t="s">
        <v>1422</v>
      </c>
      <c r="Q121" s="142" t="s">
        <v>1423</v>
      </c>
      <c r="R121" s="142"/>
      <c r="S121" s="142"/>
      <c r="T121" s="142" t="s">
        <v>1418</v>
      </c>
    </row>
    <row xmlns:x14ac="http://schemas.microsoft.com/office/spreadsheetml/2009/9/ac" r="122" x14ac:dyDescent="0.2">
      <c r="A122" s="135" t="s">
        <v>5</v>
      </c>
      <c r="B122" s="135" t="s">
        <v>2129</v>
      </c>
      <c r="C122" s="135" t="s">
        <v>2152</v>
      </c>
      <c r="D122" s="135" t="s">
        <v>2173</v>
      </c>
      <c r="E122" s="135" t="s">
        <v>2196</v>
      </c>
      <c r="F122" s="135" t="s">
        <v>2218</v>
      </c>
      <c r="L122" s="142" t="s">
        <v>1424</v>
      </c>
      <c r="M122" s="142" t="s">
        <v>1425</v>
      </c>
      <c r="N122" s="142" t="s">
        <v>1426</v>
      </c>
      <c r="O122" s="142" t="s">
        <v>1425</v>
      </c>
      <c r="P122" s="142" t="s">
        <v>1427</v>
      </c>
      <c r="Q122" s="142" t="s">
        <v>1428</v>
      </c>
      <c r="R122" s="142"/>
      <c r="S122" s="142"/>
      <c r="T122" s="142" t="s">
        <v>1424</v>
      </c>
    </row>
    <row xmlns:x14ac="http://schemas.microsoft.com/office/spreadsheetml/2009/9/ac" r="123" x14ac:dyDescent="0.2">
      <c r="A123" s="135" t="s">
        <v>5</v>
      </c>
      <c r="B123" s="135" t="s">
        <v>92</v>
      </c>
      <c r="C123" s="135" t="s">
        <v>2085</v>
      </c>
      <c r="D123" s="135" t="s">
        <v>640</v>
      </c>
      <c r="E123" s="135" t="s">
        <v>641</v>
      </c>
      <c r="F123" s="135" t="s">
        <v>642</v>
      </c>
      <c r="L123" s="142" t="s">
        <v>1429</v>
      </c>
      <c r="M123" s="142" t="s">
        <v>1430</v>
      </c>
      <c r="N123" s="142" t="s">
        <v>1431</v>
      </c>
      <c r="O123" s="142" t="s">
        <v>1432</v>
      </c>
      <c r="P123" s="142" t="s">
        <v>1433</v>
      </c>
      <c r="Q123" s="142" t="s">
        <v>1434</v>
      </c>
      <c r="R123" s="142"/>
      <c r="S123" s="142"/>
      <c r="T123" s="142" t="s">
        <v>1429</v>
      </c>
    </row>
    <row xmlns:x14ac="http://schemas.microsoft.com/office/spreadsheetml/2009/9/ac" r="124" x14ac:dyDescent="0.2">
      <c r="A124" s="135" t="s">
        <v>5</v>
      </c>
      <c r="B124" s="135" t="s">
        <v>189</v>
      </c>
      <c r="C124" s="135" t="s">
        <v>643</v>
      </c>
      <c r="D124" s="135" t="s">
        <v>644</v>
      </c>
      <c r="E124" s="135" t="s">
        <v>645</v>
      </c>
      <c r="F124" s="135" t="s">
        <v>646</v>
      </c>
      <c r="L124" s="142" t="s">
        <v>1435</v>
      </c>
      <c r="M124" s="142" t="s">
        <v>1436</v>
      </c>
      <c r="N124" s="142" t="s">
        <v>1437</v>
      </c>
      <c r="O124" s="142" t="s">
        <v>1438</v>
      </c>
      <c r="P124" s="142" t="s">
        <v>1439</v>
      </c>
      <c r="Q124" s="142" t="s">
        <v>1440</v>
      </c>
      <c r="R124" s="142"/>
      <c r="S124" s="142"/>
      <c r="T124" s="142" t="s">
        <v>1435</v>
      </c>
    </row>
    <row xmlns:x14ac="http://schemas.microsoft.com/office/spreadsheetml/2009/9/ac" r="125" x14ac:dyDescent="0.2">
      <c r="A125" s="135" t="s">
        <v>5</v>
      </c>
      <c r="B125" s="135" t="s">
        <v>165</v>
      </c>
      <c r="C125" s="135" t="s">
        <v>647</v>
      </c>
      <c r="D125" s="135" t="s">
        <v>648</v>
      </c>
      <c r="E125" s="135" t="s">
        <v>649</v>
      </c>
      <c r="F125" s="135" t="s">
        <v>650</v>
      </c>
      <c r="L125" s="142" t="s">
        <v>1441</v>
      </c>
      <c r="M125" s="142" t="s">
        <v>1442</v>
      </c>
      <c r="N125" s="142" t="s">
        <v>1443</v>
      </c>
      <c r="O125" s="142" t="s">
        <v>1442</v>
      </c>
      <c r="P125" s="142" t="s">
        <v>1444</v>
      </c>
      <c r="Q125" s="142" t="s">
        <v>1445</v>
      </c>
      <c r="R125" s="142"/>
      <c r="S125" s="142"/>
      <c r="T125" s="142" t="s">
        <v>1441</v>
      </c>
    </row>
    <row xmlns:x14ac="http://schemas.microsoft.com/office/spreadsheetml/2009/9/ac" r="126" x14ac:dyDescent="0.2">
      <c r="A126" s="135" t="s">
        <v>5</v>
      </c>
      <c r="B126" s="135" t="s">
        <v>2130</v>
      </c>
      <c r="C126" s="135" t="s">
        <v>2153</v>
      </c>
      <c r="D126" s="135" t="s">
        <v>2164</v>
      </c>
      <c r="E126" s="135" t="s">
        <v>2197</v>
      </c>
      <c r="F126" s="135" t="s">
        <v>2219</v>
      </c>
      <c r="L126" s="142" t="s">
        <v>1446</v>
      </c>
      <c r="M126" s="142" t="s">
        <v>1447</v>
      </c>
      <c r="N126" s="142" t="s">
        <v>1448</v>
      </c>
      <c r="O126" s="142" t="s">
        <v>1449</v>
      </c>
      <c r="P126" s="142" t="s">
        <v>1450</v>
      </c>
      <c r="Q126" s="142" t="s">
        <v>1451</v>
      </c>
      <c r="R126" s="142"/>
      <c r="S126" s="142"/>
      <c r="T126" s="142" t="s">
        <v>1446</v>
      </c>
    </row>
    <row xmlns:x14ac="http://schemas.microsoft.com/office/spreadsheetml/2009/9/ac" r="127" x14ac:dyDescent="0.2">
      <c r="A127" s="135" t="s">
        <v>5</v>
      </c>
      <c r="B127" s="135" t="s">
        <v>175</v>
      </c>
      <c r="C127" s="135" t="s">
        <v>2087</v>
      </c>
      <c r="D127" s="135" t="s">
        <v>651</v>
      </c>
      <c r="E127" s="135" t="s">
        <v>652</v>
      </c>
      <c r="F127" s="135" t="s">
        <v>653</v>
      </c>
      <c r="L127" s="142" t="s">
        <v>1452</v>
      </c>
      <c r="M127" s="142" t="s">
        <v>1453</v>
      </c>
      <c r="N127" s="142" t="s">
        <v>1454</v>
      </c>
      <c r="O127" s="142" t="s">
        <v>1455</v>
      </c>
      <c r="P127" s="142" t="s">
        <v>1456</v>
      </c>
      <c r="Q127" s="142" t="s">
        <v>1457</v>
      </c>
      <c r="R127" s="142"/>
      <c r="S127" s="142"/>
      <c r="T127" s="142" t="s">
        <v>1452</v>
      </c>
    </row>
    <row xmlns:x14ac="http://schemas.microsoft.com/office/spreadsheetml/2009/9/ac" r="128" x14ac:dyDescent="0.2">
      <c r="A128" s="135" t="s">
        <v>5</v>
      </c>
      <c r="B128" s="135" t="s">
        <v>147</v>
      </c>
      <c r="C128" s="135" t="s">
        <v>654</v>
      </c>
      <c r="D128" s="135" t="s">
        <v>2174</v>
      </c>
      <c r="E128" s="135" t="s">
        <v>655</v>
      </c>
      <c r="F128" s="135" t="s">
        <v>656</v>
      </c>
      <c r="L128" s="142" t="s">
        <v>1458</v>
      </c>
      <c r="M128" s="142" t="s">
        <v>1459</v>
      </c>
      <c r="N128" s="142" t="s">
        <v>1459</v>
      </c>
      <c r="O128" s="142" t="s">
        <v>1459</v>
      </c>
      <c r="P128" s="142" t="s">
        <v>1460</v>
      </c>
      <c r="Q128" s="142" t="s">
        <v>1461</v>
      </c>
      <c r="R128" s="142"/>
      <c r="S128" s="142"/>
      <c r="T128" s="142" t="s">
        <v>1458</v>
      </c>
    </row>
    <row xmlns:x14ac="http://schemas.microsoft.com/office/spreadsheetml/2009/9/ac" r="129" x14ac:dyDescent="0.2">
      <c r="A129" s="135" t="s">
        <v>5</v>
      </c>
      <c r="B129" s="135" t="s">
        <v>146</v>
      </c>
      <c r="C129" s="135" t="s">
        <v>657</v>
      </c>
      <c r="D129" s="135" t="s">
        <v>2175</v>
      </c>
      <c r="E129" s="135" t="s">
        <v>658</v>
      </c>
      <c r="F129" s="135" t="s">
        <v>659</v>
      </c>
      <c r="L129" s="142" t="s">
        <v>1462</v>
      </c>
      <c r="M129" s="142" t="s">
        <v>1463</v>
      </c>
      <c r="N129" s="142" t="s">
        <v>1463</v>
      </c>
      <c r="O129" s="142" t="s">
        <v>1463</v>
      </c>
      <c r="P129" s="142" t="s">
        <v>1464</v>
      </c>
      <c r="Q129" s="142" t="s">
        <v>1465</v>
      </c>
      <c r="R129" s="142"/>
      <c r="S129" s="142"/>
      <c r="T129" s="142" t="s">
        <v>1462</v>
      </c>
    </row>
    <row xmlns:x14ac="http://schemas.microsoft.com/office/spreadsheetml/2009/9/ac" r="130" x14ac:dyDescent="0.2">
      <c r="A130" s="135" t="s">
        <v>5</v>
      </c>
      <c r="B130" s="135" t="s">
        <v>2131</v>
      </c>
      <c r="C130" s="135" t="s">
        <v>2154</v>
      </c>
      <c r="D130" s="135" t="s">
        <v>2178</v>
      </c>
      <c r="E130" s="135" t="s">
        <v>2198</v>
      </c>
      <c r="F130" s="135" t="s">
        <v>2220</v>
      </c>
      <c r="L130" s="142" t="s">
        <v>1466</v>
      </c>
      <c r="M130" s="142" t="s">
        <v>1467</v>
      </c>
      <c r="N130" s="142" t="s">
        <v>1467</v>
      </c>
      <c r="O130" s="142" t="s">
        <v>1467</v>
      </c>
      <c r="P130" s="142" t="s">
        <v>1468</v>
      </c>
      <c r="Q130" s="142" t="s">
        <v>1469</v>
      </c>
      <c r="R130" s="142"/>
      <c r="S130" s="142"/>
      <c r="T130" s="142" t="s">
        <v>1466</v>
      </c>
    </row>
    <row xmlns:x14ac="http://schemas.microsoft.com/office/spreadsheetml/2009/9/ac" r="131" x14ac:dyDescent="0.2">
      <c r="A131" s="135" t="s">
        <v>5</v>
      </c>
      <c r="B131" s="135" t="s">
        <v>2132</v>
      </c>
      <c r="C131" s="135" t="s">
        <v>2155</v>
      </c>
      <c r="D131" s="135" t="s">
        <v>2167</v>
      </c>
      <c r="E131" s="135" t="s">
        <v>2199</v>
      </c>
      <c r="F131" s="135" t="s">
        <v>2221</v>
      </c>
      <c r="L131" s="142" t="s">
        <v>1470</v>
      </c>
      <c r="M131" s="142" t="s">
        <v>1471</v>
      </c>
      <c r="N131" s="142" t="s">
        <v>1472</v>
      </c>
      <c r="O131" s="142" t="s">
        <v>1473</v>
      </c>
      <c r="P131" s="142" t="s">
        <v>1474</v>
      </c>
      <c r="Q131" s="142" t="s">
        <v>1475</v>
      </c>
      <c r="R131" s="142"/>
      <c r="S131" s="142"/>
      <c r="T131" s="142" t="s">
        <v>1470</v>
      </c>
    </row>
    <row xmlns:x14ac="http://schemas.microsoft.com/office/spreadsheetml/2009/9/ac" r="132" x14ac:dyDescent="0.2">
      <c r="A132" s="135" t="s">
        <v>5</v>
      </c>
      <c r="B132" s="135" t="s">
        <v>176</v>
      </c>
      <c r="C132" s="135" t="s">
        <v>2086</v>
      </c>
      <c r="D132" s="135" t="s">
        <v>660</v>
      </c>
      <c r="E132" s="135" t="s">
        <v>661</v>
      </c>
      <c r="F132" s="135" t="s">
        <v>662</v>
      </c>
      <c r="L132" s="142" t="s">
        <v>1476</v>
      </c>
      <c r="M132" s="142" t="s">
        <v>1477</v>
      </c>
      <c r="N132" s="142" t="s">
        <v>1477</v>
      </c>
      <c r="O132" s="142" t="s">
        <v>1478</v>
      </c>
      <c r="P132" s="142" t="s">
        <v>1479</v>
      </c>
      <c r="Q132" s="142" t="s">
        <v>1480</v>
      </c>
      <c r="R132" s="142"/>
      <c r="S132" s="142"/>
      <c r="T132" s="142" t="s">
        <v>1476</v>
      </c>
    </row>
    <row xmlns:x14ac="http://schemas.microsoft.com/office/spreadsheetml/2009/9/ac" r="133" x14ac:dyDescent="0.2">
      <c r="A133" s="135" t="s">
        <v>5</v>
      </c>
      <c r="B133" s="135" t="s">
        <v>177</v>
      </c>
      <c r="C133" s="135" t="s">
        <v>663</v>
      </c>
      <c r="D133" s="135" t="s">
        <v>2177</v>
      </c>
      <c r="E133" s="135" t="s">
        <v>664</v>
      </c>
      <c r="F133" s="135" t="s">
        <v>665</v>
      </c>
      <c r="L133" s="142" t="s">
        <v>1481</v>
      </c>
      <c r="M133" s="142" t="s">
        <v>1482</v>
      </c>
      <c r="N133" s="142" t="s">
        <v>1483</v>
      </c>
      <c r="O133" s="142" t="s">
        <v>1484</v>
      </c>
      <c r="P133" s="142" t="s">
        <v>1485</v>
      </c>
      <c r="Q133" s="142" t="s">
        <v>1486</v>
      </c>
      <c r="R133" s="142"/>
      <c r="S133" s="142"/>
      <c r="T133" s="142" t="s">
        <v>1481</v>
      </c>
    </row>
    <row xmlns:x14ac="http://schemas.microsoft.com/office/spreadsheetml/2009/9/ac" r="134" x14ac:dyDescent="0.2">
      <c r="A134" s="135" t="s">
        <v>5</v>
      </c>
      <c r="B134" s="135" t="s">
        <v>166</v>
      </c>
      <c r="C134" s="135" t="s">
        <v>666</v>
      </c>
      <c r="D134" s="135" t="s">
        <v>2176</v>
      </c>
      <c r="E134" s="135" t="s">
        <v>667</v>
      </c>
      <c r="F134" s="135" t="s">
        <v>668</v>
      </c>
      <c r="L134" s="142" t="s">
        <v>1487</v>
      </c>
      <c r="M134" s="142" t="s">
        <v>1488</v>
      </c>
      <c r="N134" s="142" t="s">
        <v>1489</v>
      </c>
      <c r="O134" s="142" t="s">
        <v>1490</v>
      </c>
      <c r="P134" s="142" t="s">
        <v>1491</v>
      </c>
      <c r="Q134" s="142" t="s">
        <v>1492</v>
      </c>
      <c r="R134" s="142"/>
      <c r="S134" s="142"/>
      <c r="T134" s="142" t="s">
        <v>1487</v>
      </c>
    </row>
    <row xmlns:x14ac="http://schemas.microsoft.com/office/spreadsheetml/2009/9/ac" r="135" x14ac:dyDescent="0.2">
      <c r="A135" s="135" t="s">
        <v>669</v>
      </c>
      <c r="B135" s="135" t="s">
        <v>156</v>
      </c>
      <c r="C135" s="135" t="s">
        <v>670</v>
      </c>
      <c r="D135" s="135" t="s">
        <v>671</v>
      </c>
      <c r="E135" s="135" t="s">
        <v>672</v>
      </c>
      <c r="F135" s="135" t="s">
        <v>673</v>
      </c>
      <c r="L135" s="142" t="s">
        <v>1493</v>
      </c>
      <c r="M135" s="142" t="s">
        <v>1494</v>
      </c>
      <c r="N135" s="142" t="s">
        <v>1495</v>
      </c>
      <c r="O135" s="142" t="s">
        <v>1496</v>
      </c>
      <c r="P135" s="142" t="s">
        <v>1497</v>
      </c>
      <c r="Q135" s="142" t="s">
        <v>1498</v>
      </c>
      <c r="R135" s="142"/>
      <c r="S135" s="142"/>
      <c r="T135" s="142" t="s">
        <v>1493</v>
      </c>
    </row>
    <row xmlns:x14ac="http://schemas.microsoft.com/office/spreadsheetml/2009/9/ac" r="136" x14ac:dyDescent="0.2">
      <c r="A136" s="135" t="s">
        <v>5</v>
      </c>
      <c r="B136" s="135" t="s">
        <v>674</v>
      </c>
      <c r="C136" s="135" t="s">
        <v>675</v>
      </c>
      <c r="D136" s="135" t="s">
        <v>676</v>
      </c>
      <c r="E136" s="135" t="s">
        <v>677</v>
      </c>
      <c r="F136" s="135" t="s">
        <v>678</v>
      </c>
      <c r="L136" s="142" t="s">
        <v>1499</v>
      </c>
      <c r="M136" s="142" t="s">
        <v>1500</v>
      </c>
      <c r="N136" s="142" t="s">
        <v>1501</v>
      </c>
      <c r="O136" s="142" t="s">
        <v>1502</v>
      </c>
      <c r="P136" s="142" t="s">
        <v>1503</v>
      </c>
      <c r="Q136" s="142" t="s">
        <v>1504</v>
      </c>
      <c r="R136" s="142"/>
      <c r="S136" s="142"/>
      <c r="T136" s="142" t="s">
        <v>1499</v>
      </c>
    </row>
    <row xmlns:x14ac="http://schemas.microsoft.com/office/spreadsheetml/2009/9/ac" r="137" x14ac:dyDescent="0.2">
      <c r="A137" s="135" t="s">
        <v>5</v>
      </c>
      <c r="B137" s="135" t="s">
        <v>679</v>
      </c>
      <c r="C137" s="135" t="s">
        <v>680</v>
      </c>
      <c r="D137" s="135" t="s">
        <v>681</v>
      </c>
      <c r="E137" s="135" t="s">
        <v>682</v>
      </c>
      <c r="F137" s="135" t="s">
        <v>683</v>
      </c>
      <c r="L137" s="142" t="s">
        <v>1505</v>
      </c>
      <c r="M137" s="142" t="s">
        <v>1506</v>
      </c>
      <c r="N137" s="142" t="s">
        <v>1506</v>
      </c>
      <c r="O137" s="142" t="s">
        <v>1507</v>
      </c>
      <c r="P137" s="142" t="s">
        <v>1508</v>
      </c>
      <c r="Q137" s="142" t="s">
        <v>1509</v>
      </c>
      <c r="R137" s="142"/>
      <c r="S137" s="142"/>
      <c r="T137" s="142" t="s">
        <v>1505</v>
      </c>
    </row>
    <row xmlns:x14ac="http://schemas.microsoft.com/office/spreadsheetml/2009/9/ac" r="138" x14ac:dyDescent="0.2">
      <c r="A138" s="135" t="s">
        <v>5</v>
      </c>
      <c r="B138" s="135" t="s">
        <v>684</v>
      </c>
      <c r="C138" s="135" t="s">
        <v>685</v>
      </c>
      <c r="D138" s="135" t="s">
        <v>686</v>
      </c>
      <c r="E138" s="135" t="s">
        <v>687</v>
      </c>
      <c r="F138" s="135" t="s">
        <v>688</v>
      </c>
      <c r="L138" s="142" t="s">
        <v>1510</v>
      </c>
      <c r="M138" s="142" t="s">
        <v>1511</v>
      </c>
      <c r="N138" s="142" t="s">
        <v>1512</v>
      </c>
      <c r="O138" s="142" t="s">
        <v>1513</v>
      </c>
      <c r="P138" s="142" t="s">
        <v>1514</v>
      </c>
      <c r="Q138" s="142" t="s">
        <v>1515</v>
      </c>
      <c r="R138" s="142"/>
      <c r="S138" s="142"/>
      <c r="T138" s="142" t="s">
        <v>1510</v>
      </c>
    </row>
    <row xmlns:x14ac="http://schemas.microsoft.com/office/spreadsheetml/2009/9/ac" r="139" x14ac:dyDescent="0.2">
      <c r="A139" s="135" t="s">
        <v>5</v>
      </c>
      <c r="B139" s="135" t="s">
        <v>689</v>
      </c>
      <c r="C139" s="135" t="s">
        <v>690</v>
      </c>
      <c r="D139" s="135" t="s">
        <v>691</v>
      </c>
      <c r="E139" s="135" t="s">
        <v>692</v>
      </c>
      <c r="F139" s="135" t="s">
        <v>693</v>
      </c>
      <c r="L139" s="142" t="s">
        <v>1516</v>
      </c>
      <c r="M139" s="142" t="s">
        <v>1517</v>
      </c>
      <c r="N139" s="142" t="s">
        <v>1517</v>
      </c>
      <c r="O139" s="142" t="s">
        <v>1517</v>
      </c>
      <c r="P139" s="142" t="s">
        <v>1518</v>
      </c>
      <c r="Q139" s="142" t="s">
        <v>1519</v>
      </c>
      <c r="R139" s="142"/>
      <c r="S139" s="142"/>
      <c r="T139" s="142" t="s">
        <v>1516</v>
      </c>
    </row>
    <row xmlns:x14ac="http://schemas.microsoft.com/office/spreadsheetml/2009/9/ac" r="140" x14ac:dyDescent="0.2">
      <c r="A140" s="135" t="s">
        <v>5</v>
      </c>
      <c r="B140" s="135" t="s">
        <v>96</v>
      </c>
      <c r="C140" s="135" t="s">
        <v>694</v>
      </c>
      <c r="D140" s="135" t="s">
        <v>695</v>
      </c>
      <c r="E140" s="135" t="s">
        <v>696</v>
      </c>
      <c r="F140" s="135" t="s">
        <v>697</v>
      </c>
      <c r="L140" s="142" t="s">
        <v>1520</v>
      </c>
      <c r="M140" s="142" t="s">
        <v>1521</v>
      </c>
      <c r="N140" s="142" t="s">
        <v>1521</v>
      </c>
      <c r="O140" s="142" t="s">
        <v>1522</v>
      </c>
      <c r="P140" s="142" t="s">
        <v>1523</v>
      </c>
      <c r="Q140" s="142" t="s">
        <v>1524</v>
      </c>
      <c r="R140" s="142"/>
      <c r="S140" s="142"/>
      <c r="T140" s="142" t="s">
        <v>1520</v>
      </c>
    </row>
    <row xmlns:x14ac="http://schemas.microsoft.com/office/spreadsheetml/2009/9/ac" r="141" x14ac:dyDescent="0.2">
      <c r="A141" s="135" t="s">
        <v>115</v>
      </c>
      <c r="B141" s="135" t="s">
        <v>2124</v>
      </c>
      <c r="C141" s="135" t="s">
        <v>2138</v>
      </c>
      <c r="D141" s="135" t="s">
        <v>2160</v>
      </c>
      <c r="E141" s="135" t="s">
        <v>2183</v>
      </c>
      <c r="F141" s="135" t="s">
        <v>2204</v>
      </c>
      <c r="L141" s="142" t="s">
        <v>1525</v>
      </c>
      <c r="M141" s="142" t="s">
        <v>1526</v>
      </c>
      <c r="N141" s="142" t="s">
        <v>1527</v>
      </c>
      <c r="O141" s="142" t="s">
        <v>1528</v>
      </c>
      <c r="P141" s="142" t="s">
        <v>1529</v>
      </c>
      <c r="Q141" s="142" t="s">
        <v>1530</v>
      </c>
      <c r="R141" s="142"/>
      <c r="S141" s="142"/>
      <c r="T141" s="142" t="s">
        <v>1525</v>
      </c>
    </row>
    <row xmlns:x14ac="http://schemas.microsoft.com/office/spreadsheetml/2009/9/ac" r="142" x14ac:dyDescent="0.2">
      <c r="A142" s="135" t="s">
        <v>115</v>
      </c>
      <c r="B142" s="135" t="s">
        <v>2133</v>
      </c>
      <c r="C142" s="135" t="s">
        <v>2156</v>
      </c>
      <c r="D142" s="135" t="s">
        <v>2179</v>
      </c>
      <c r="E142" s="135" t="s">
        <v>2200</v>
      </c>
      <c r="F142" s="135" t="s">
        <v>2222</v>
      </c>
      <c r="L142" s="142" t="s">
        <v>1531</v>
      </c>
      <c r="M142" s="142" t="s">
        <v>1532</v>
      </c>
      <c r="N142" s="142" t="s">
        <v>1533</v>
      </c>
      <c r="O142" s="142" t="s">
        <v>1534</v>
      </c>
      <c r="P142" s="142" t="s">
        <v>1535</v>
      </c>
      <c r="Q142" s="142" t="s">
        <v>1536</v>
      </c>
      <c r="R142" s="142"/>
      <c r="S142" s="142"/>
      <c r="T142" s="142" t="s">
        <v>1531</v>
      </c>
    </row>
    <row xmlns:x14ac="http://schemas.microsoft.com/office/spreadsheetml/2009/9/ac" r="143" ht="119" x14ac:dyDescent="0.2">
      <c r="A143" s="135" t="s">
        <v>698</v>
      </c>
      <c r="B143" s="139" t="s">
        <v>119</v>
      </c>
      <c r="C143" s="139" t="s">
        <v>699</v>
      </c>
      <c r="D143" s="139" t="s">
        <v>700</v>
      </c>
      <c r="E143" s="139" t="s">
        <v>701</v>
      </c>
      <c r="F143" s="139" t="s">
        <v>702</v>
      </c>
      <c r="L143" s="142" t="s">
        <v>1537</v>
      </c>
      <c r="M143" s="142" t="s">
        <v>1538</v>
      </c>
      <c r="N143" s="142" t="s">
        <v>1539</v>
      </c>
      <c r="O143" s="142" t="s">
        <v>1540</v>
      </c>
      <c r="P143" s="142" t="s">
        <v>1541</v>
      </c>
      <c r="Q143" s="142" t="s">
        <v>1542</v>
      </c>
      <c r="R143" s="142"/>
      <c r="S143" s="142"/>
      <c r="T143" s="142" t="s">
        <v>1537</v>
      </c>
    </row>
    <row xmlns:x14ac="http://schemas.microsoft.com/office/spreadsheetml/2009/9/ac" r="144" ht="119" x14ac:dyDescent="0.2">
      <c r="A144" s="135" t="s">
        <v>698</v>
      </c>
      <c r="B144" s="139" t="s">
        <v>150</v>
      </c>
      <c r="C144" s="139" t="s">
        <v>2088</v>
      </c>
      <c r="D144" s="139" t="s">
        <v>703</v>
      </c>
      <c r="E144" s="139" t="s">
        <v>704</v>
      </c>
      <c r="F144" s="139" t="s">
        <v>705</v>
      </c>
      <c r="L144" s="142" t="s">
        <v>1543</v>
      </c>
      <c r="M144" s="142" t="s">
        <v>1544</v>
      </c>
      <c r="N144" s="142" t="s">
        <v>1544</v>
      </c>
      <c r="O144" s="142" t="s">
        <v>1545</v>
      </c>
      <c r="P144" s="142" t="s">
        <v>1546</v>
      </c>
      <c r="Q144" s="142" t="s">
        <v>1547</v>
      </c>
      <c r="R144" s="142"/>
      <c r="S144" s="142"/>
      <c r="T144" s="142" t="s">
        <v>1543</v>
      </c>
    </row>
    <row xmlns:x14ac="http://schemas.microsoft.com/office/spreadsheetml/2009/9/ac" r="145" x14ac:dyDescent="0.2">
      <c r="A145" s="135" t="s">
        <v>115</v>
      </c>
      <c r="B145" s="135" t="s">
        <v>2134</v>
      </c>
      <c r="C145" s="135" t="s">
        <v>2157</v>
      </c>
      <c r="D145" s="135" t="s">
        <v>2180</v>
      </c>
      <c r="E145" s="135" t="s">
        <v>2201</v>
      </c>
      <c r="F145" s="135" t="s">
        <v>2223</v>
      </c>
      <c r="L145" s="142" t="s">
        <v>1548</v>
      </c>
      <c r="M145" s="142" t="s">
        <v>1549</v>
      </c>
      <c r="N145" s="142" t="s">
        <v>1550</v>
      </c>
      <c r="O145" s="142" t="s">
        <v>1549</v>
      </c>
      <c r="P145" s="142" t="s">
        <v>1551</v>
      </c>
      <c r="Q145" s="142" t="s">
        <v>1552</v>
      </c>
      <c r="R145" s="142"/>
      <c r="S145" s="142"/>
      <c r="T145" s="142" t="s">
        <v>1548</v>
      </c>
    </row>
    <row xmlns:x14ac="http://schemas.microsoft.com/office/spreadsheetml/2009/9/ac" r="146" x14ac:dyDescent="0.2">
      <c r="A146" s="135" t="s">
        <v>115</v>
      </c>
      <c r="B146" s="135" t="s">
        <v>2135</v>
      </c>
      <c r="C146" s="135" t="s">
        <v>2158</v>
      </c>
      <c r="D146" s="135" t="s">
        <v>2181</v>
      </c>
      <c r="E146" s="135" t="s">
        <v>2202</v>
      </c>
      <c r="F146" s="135" t="s">
        <v>2224</v>
      </c>
      <c r="L146" s="142" t="s">
        <v>1553</v>
      </c>
      <c r="M146" s="142" t="s">
        <v>1554</v>
      </c>
      <c r="N146" s="142" t="s">
        <v>1554</v>
      </c>
      <c r="O146" s="142" t="s">
        <v>1554</v>
      </c>
      <c r="P146" s="142" t="s">
        <v>1555</v>
      </c>
      <c r="Q146" s="142" t="s">
        <v>1556</v>
      </c>
      <c r="R146" s="142"/>
      <c r="S146" s="142"/>
      <c r="T146" s="142" t="s">
        <v>1553</v>
      </c>
    </row>
    <row xmlns:x14ac="http://schemas.microsoft.com/office/spreadsheetml/2009/9/ac" r="147" x14ac:dyDescent="0.2">
      <c r="A147" s="135" t="s">
        <v>115</v>
      </c>
      <c r="B147" s="135" t="s">
        <v>2136</v>
      </c>
      <c r="C147" s="135" t="s">
        <v>2159</v>
      </c>
      <c r="D147" s="135" t="s">
        <v>2182</v>
      </c>
      <c r="E147" s="135" t="s">
        <v>2203</v>
      </c>
      <c r="F147" s="135" t="s">
        <v>2225</v>
      </c>
      <c r="L147" s="142" t="s">
        <v>1557</v>
      </c>
      <c r="M147" s="142" t="s">
        <v>1558</v>
      </c>
      <c r="N147" s="142" t="s">
        <v>1559</v>
      </c>
      <c r="O147" s="142" t="s">
        <v>1558</v>
      </c>
      <c r="P147" s="142" t="s">
        <v>1560</v>
      </c>
      <c r="Q147" s="142" t="s">
        <v>1561</v>
      </c>
      <c r="R147" s="142"/>
      <c r="S147" s="142"/>
      <c r="T147" s="142" t="s">
        <v>1557</v>
      </c>
    </row>
    <row xmlns:x14ac="http://schemas.microsoft.com/office/spreadsheetml/2009/9/ac" r="148" x14ac:dyDescent="0.2">
      <c r="A148" s="135" t="s">
        <v>115</v>
      </c>
      <c r="B148" s="135" t="s">
        <v>2137</v>
      </c>
      <c r="C148" s="135" t="s">
        <v>706</v>
      </c>
      <c r="D148" s="135" t="s">
        <v>707</v>
      </c>
      <c r="E148" s="135" t="s">
        <v>708</v>
      </c>
      <c r="F148" s="135" t="s">
        <v>709</v>
      </c>
      <c r="L148" s="142" t="s">
        <v>1562</v>
      </c>
      <c r="M148" s="142" t="s">
        <v>1563</v>
      </c>
      <c r="N148" s="142" t="s">
        <v>1564</v>
      </c>
      <c r="O148" s="142" t="s">
        <v>1563</v>
      </c>
      <c r="P148" s="142" t="s">
        <v>1565</v>
      </c>
      <c r="Q148" s="142" t="s">
        <v>1566</v>
      </c>
      <c r="R148" s="142"/>
      <c r="S148" s="142"/>
      <c r="T148" s="142" t="s">
        <v>1562</v>
      </c>
    </row>
    <row xmlns:x14ac="http://schemas.microsoft.com/office/spreadsheetml/2009/9/ac" r="149" x14ac:dyDescent="0.2">
      <c r="A149" s="135" t="s">
        <v>193</v>
      </c>
      <c r="B149" s="135" t="s">
        <v>128</v>
      </c>
      <c r="C149" s="135" t="s">
        <v>256</v>
      </c>
      <c r="D149" s="135" t="s">
        <v>257</v>
      </c>
      <c r="E149" s="135" t="s">
        <v>258</v>
      </c>
      <c r="F149" s="135" t="s">
        <v>259</v>
      </c>
      <c r="L149" s="142" t="s">
        <v>1567</v>
      </c>
      <c r="M149" s="142" t="s">
        <v>1568</v>
      </c>
      <c r="N149" s="142" t="s">
        <v>1569</v>
      </c>
      <c r="O149" s="142" t="s">
        <v>1570</v>
      </c>
      <c r="P149" s="142" t="s">
        <v>1571</v>
      </c>
      <c r="Q149" s="142" t="s">
        <v>1572</v>
      </c>
      <c r="R149" s="142"/>
      <c r="S149" s="142"/>
      <c r="T149" s="142" t="s">
        <v>1567</v>
      </c>
    </row>
    <row xmlns:x14ac="http://schemas.microsoft.com/office/spreadsheetml/2009/9/ac" r="150" x14ac:dyDescent="0.2">
      <c r="A150" s="135" t="s">
        <v>193</v>
      </c>
      <c r="B150" s="135" t="s">
        <v>184</v>
      </c>
      <c r="C150" s="135" t="s">
        <v>2123</v>
      </c>
      <c r="D150" s="135" t="s">
        <v>710</v>
      </c>
      <c r="E150" s="135" t="s">
        <v>711</v>
      </c>
      <c r="F150" s="135" t="s">
        <v>712</v>
      </c>
      <c r="L150" s="142" t="s">
        <v>1573</v>
      </c>
      <c r="M150" s="142" t="s">
        <v>1574</v>
      </c>
      <c r="N150" s="142" t="s">
        <v>1574</v>
      </c>
      <c r="O150" s="142" t="s">
        <v>1574</v>
      </c>
      <c r="P150" s="142" t="s">
        <v>1575</v>
      </c>
      <c r="Q150" s="142" t="s">
        <v>1576</v>
      </c>
      <c r="R150" s="142"/>
      <c r="S150" s="142"/>
      <c r="T150" s="142" t="s">
        <v>1573</v>
      </c>
    </row>
    <row xmlns:x14ac="http://schemas.microsoft.com/office/spreadsheetml/2009/9/ac" r="151" x14ac:dyDescent="0.2">
      <c r="A151" s="135" t="s">
        <v>193</v>
      </c>
      <c r="B151" s="135" t="s">
        <v>116</v>
      </c>
      <c r="C151" s="135" t="s">
        <v>2089</v>
      </c>
      <c r="D151" s="135" t="s">
        <v>713</v>
      </c>
      <c r="E151" s="135" t="s">
        <v>714</v>
      </c>
      <c r="F151" s="135" t="s">
        <v>715</v>
      </c>
      <c r="L151" s="142" t="s">
        <v>1577</v>
      </c>
      <c r="M151" s="142" t="s">
        <v>1578</v>
      </c>
      <c r="N151" s="142" t="s">
        <v>1579</v>
      </c>
      <c r="O151" s="142" t="s">
        <v>1578</v>
      </c>
      <c r="P151" s="142" t="s">
        <v>1580</v>
      </c>
      <c r="Q151" s="142" t="s">
        <v>1581</v>
      </c>
      <c r="R151" s="142"/>
      <c r="S151" s="142"/>
      <c r="T151" s="142" t="s">
        <v>1577</v>
      </c>
    </row>
    <row xmlns:x14ac="http://schemas.microsoft.com/office/spreadsheetml/2009/9/ac" r="152" x14ac:dyDescent="0.2">
      <c r="A152" s="135" t="s">
        <v>193</v>
      </c>
      <c r="B152" s="135" t="s">
        <v>716</v>
      </c>
      <c r="C152" s="135" t="s">
        <v>2090</v>
      </c>
      <c r="D152" s="135" t="s">
        <v>717</v>
      </c>
      <c r="E152" s="135" t="s">
        <v>718</v>
      </c>
      <c r="F152" s="135" t="s">
        <v>719</v>
      </c>
      <c r="L152" s="142" t="s">
        <v>1582</v>
      </c>
      <c r="M152" s="142" t="s">
        <v>1583</v>
      </c>
      <c r="N152" s="142" t="s">
        <v>1583</v>
      </c>
      <c r="O152" s="142" t="s">
        <v>1583</v>
      </c>
      <c r="P152" s="142" t="s">
        <v>1584</v>
      </c>
      <c r="Q152" s="142" t="s">
        <v>1585</v>
      </c>
      <c r="R152" s="142"/>
      <c r="S152" s="142"/>
      <c r="T152" s="142" t="s">
        <v>1582</v>
      </c>
    </row>
    <row xmlns:x14ac="http://schemas.microsoft.com/office/spreadsheetml/2009/9/ac" r="153" x14ac:dyDescent="0.2">
      <c r="A153" s="135" t="s">
        <v>193</v>
      </c>
      <c r="B153" s="135" t="s">
        <v>720</v>
      </c>
      <c r="C153" s="135" t="s">
        <v>2091</v>
      </c>
      <c r="D153" s="135" t="s">
        <v>721</v>
      </c>
      <c r="E153" s="135" t="s">
        <v>722</v>
      </c>
      <c r="F153" s="135" t="s">
        <v>723</v>
      </c>
      <c r="L153" s="142" t="s">
        <v>1586</v>
      </c>
      <c r="M153" s="142" t="s">
        <v>1587</v>
      </c>
      <c r="N153" s="142" t="s">
        <v>1587</v>
      </c>
      <c r="O153" s="142" t="s">
        <v>1588</v>
      </c>
      <c r="P153" s="142" t="s">
        <v>1589</v>
      </c>
      <c r="Q153" s="142" t="s">
        <v>1590</v>
      </c>
      <c r="R153" s="142"/>
      <c r="S153" s="142"/>
      <c r="T153" s="142" t="s">
        <v>1586</v>
      </c>
    </row>
    <row xmlns:x14ac="http://schemas.microsoft.com/office/spreadsheetml/2009/9/ac" r="154" x14ac:dyDescent="0.2">
      <c r="A154" s="135" t="s">
        <v>193</v>
      </c>
      <c r="B154" s="135" t="s">
        <v>55</v>
      </c>
      <c r="C154" s="135" t="s">
        <v>724</v>
      </c>
      <c r="D154" s="135" t="s">
        <v>725</v>
      </c>
      <c r="E154" s="135" t="s">
        <v>726</v>
      </c>
      <c r="F154" s="135" t="s">
        <v>727</v>
      </c>
      <c r="L154" s="142" t="s">
        <v>1591</v>
      </c>
      <c r="M154" s="142" t="s">
        <v>1592</v>
      </c>
      <c r="N154" s="142" t="s">
        <v>1593</v>
      </c>
      <c r="O154" s="142" t="s">
        <v>1594</v>
      </c>
      <c r="P154" s="142" t="s">
        <v>1595</v>
      </c>
      <c r="Q154" s="142" t="s">
        <v>1596</v>
      </c>
      <c r="R154" s="142"/>
      <c r="S154" s="142"/>
      <c r="T154" s="142" t="s">
        <v>1591</v>
      </c>
    </row>
    <row xmlns:x14ac="http://schemas.microsoft.com/office/spreadsheetml/2009/9/ac" r="155" x14ac:dyDescent="0.2">
      <c r="A155" s="135" t="s">
        <v>193</v>
      </c>
      <c r="B155" s="135" t="s">
        <v>728</v>
      </c>
      <c r="C155" s="135" t="s">
        <v>729</v>
      </c>
      <c r="D155" s="135" t="s">
        <v>730</v>
      </c>
      <c r="E155" s="135" t="s">
        <v>731</v>
      </c>
      <c r="F155" s="135" t="s">
        <v>732</v>
      </c>
      <c r="L155" s="142" t="s">
        <v>1597</v>
      </c>
      <c r="M155" s="142" t="s">
        <v>1598</v>
      </c>
      <c r="N155" s="142" t="s">
        <v>1598</v>
      </c>
      <c r="O155" s="142" t="s">
        <v>1598</v>
      </c>
      <c r="P155" s="142" t="s">
        <v>1599</v>
      </c>
      <c r="Q155" s="142" t="s">
        <v>1600</v>
      </c>
      <c r="R155" s="142"/>
      <c r="S155" s="142"/>
      <c r="T155" s="142" t="s">
        <v>1597</v>
      </c>
    </row>
    <row xmlns:x14ac="http://schemas.microsoft.com/office/spreadsheetml/2009/9/ac" r="156" x14ac:dyDescent="0.2">
      <c r="A156" s="135" t="s">
        <v>193</v>
      </c>
      <c r="B156" s="135" t="s">
        <v>733</v>
      </c>
      <c r="C156" s="135" t="s">
        <v>734</v>
      </c>
      <c r="D156" s="135" t="s">
        <v>735</v>
      </c>
      <c r="E156" s="135" t="s">
        <v>736</v>
      </c>
      <c r="F156" s="135" t="s">
        <v>737</v>
      </c>
      <c r="L156" s="142" t="s">
        <v>1601</v>
      </c>
      <c r="M156" s="142" t="s">
        <v>1602</v>
      </c>
      <c r="N156" s="142" t="s">
        <v>1603</v>
      </c>
      <c r="O156" s="142" t="s">
        <v>1604</v>
      </c>
      <c r="P156" s="142" t="s">
        <v>1605</v>
      </c>
      <c r="Q156" s="142" t="s">
        <v>1606</v>
      </c>
      <c r="R156" s="142"/>
      <c r="S156" s="142"/>
      <c r="T156" s="142" t="s">
        <v>1601</v>
      </c>
    </row>
    <row xmlns:x14ac="http://schemas.microsoft.com/office/spreadsheetml/2009/9/ac" r="157" x14ac:dyDescent="0.2">
      <c r="A157" s="135" t="s">
        <v>738</v>
      </c>
      <c r="B157" s="135" t="s">
        <v>151</v>
      </c>
      <c r="C157" s="135" t="s">
        <v>336</v>
      </c>
      <c r="D157" s="135" t="s">
        <v>337</v>
      </c>
      <c r="E157" s="135" t="s">
        <v>338</v>
      </c>
      <c r="F157" s="135" t="s">
        <v>339</v>
      </c>
      <c r="L157" s="142" t="s">
        <v>1607</v>
      </c>
      <c r="M157" s="142" t="s">
        <v>1608</v>
      </c>
      <c r="N157" s="142" t="s">
        <v>1608</v>
      </c>
      <c r="O157" s="142" t="s">
        <v>1608</v>
      </c>
      <c r="P157" s="142" t="s">
        <v>1609</v>
      </c>
      <c r="Q157" s="142" t="s">
        <v>1610</v>
      </c>
      <c r="R157" s="142"/>
      <c r="S157" s="142"/>
      <c r="T157" s="142" t="s">
        <v>1607</v>
      </c>
    </row>
    <row xmlns:x14ac="http://schemas.microsoft.com/office/spreadsheetml/2009/9/ac" r="158" x14ac:dyDescent="0.2">
      <c r="A158" s="135" t="s">
        <v>738</v>
      </c>
      <c r="B158" s="135" t="s">
        <v>152</v>
      </c>
      <c r="C158" s="135" t="s">
        <v>340</v>
      </c>
      <c r="D158" s="135" t="s">
        <v>341</v>
      </c>
      <c r="E158" s="135" t="s">
        <v>342</v>
      </c>
      <c r="F158" s="135" t="s">
        <v>343</v>
      </c>
      <c r="L158" s="142" t="s">
        <v>1611</v>
      </c>
      <c r="M158" s="142" t="s">
        <v>1612</v>
      </c>
      <c r="N158" s="142" t="s">
        <v>1613</v>
      </c>
      <c r="O158" s="142" t="s">
        <v>1612</v>
      </c>
      <c r="P158" s="142" t="s">
        <v>1614</v>
      </c>
      <c r="Q158" s="142" t="s">
        <v>1615</v>
      </c>
      <c r="R158" s="142"/>
      <c r="S158" s="142"/>
      <c r="T158" s="142" t="s">
        <v>1611</v>
      </c>
    </row>
    <row xmlns:x14ac="http://schemas.microsoft.com/office/spreadsheetml/2009/9/ac" r="159" x14ac:dyDescent="0.2">
      <c r="A159" s="135" t="s">
        <v>738</v>
      </c>
      <c r="B159" s="135" t="s">
        <v>103</v>
      </c>
      <c r="C159" s="135" t="s">
        <v>348</v>
      </c>
      <c r="D159" s="135" t="s">
        <v>349</v>
      </c>
      <c r="E159" s="135" t="s">
        <v>350</v>
      </c>
      <c r="F159" s="135" t="s">
        <v>351</v>
      </c>
      <c r="L159" s="142" t="s">
        <v>1616</v>
      </c>
      <c r="M159" s="142" t="s">
        <v>1617</v>
      </c>
      <c r="N159" s="142" t="s">
        <v>1618</v>
      </c>
      <c r="O159" s="142" t="s">
        <v>1619</v>
      </c>
      <c r="P159" s="142" t="s">
        <v>1620</v>
      </c>
      <c r="Q159" s="142" t="s">
        <v>1621</v>
      </c>
      <c r="R159" s="142"/>
      <c r="S159" s="142"/>
      <c r="T159" s="142" t="s">
        <v>1616</v>
      </c>
    </row>
    <row xmlns:x14ac="http://schemas.microsoft.com/office/spreadsheetml/2009/9/ac" r="160" x14ac:dyDescent="0.2">
      <c r="A160" s="135" t="s">
        <v>738</v>
      </c>
      <c r="B160" s="135" t="s">
        <v>144</v>
      </c>
      <c r="C160" s="135" t="s">
        <v>352</v>
      </c>
      <c r="D160" s="135" t="s">
        <v>353</v>
      </c>
      <c r="E160" s="135" t="s">
        <v>354</v>
      </c>
      <c r="F160" s="135" t="s">
        <v>355</v>
      </c>
      <c r="L160" s="142" t="s">
        <v>1622</v>
      </c>
      <c r="M160" s="142" t="s">
        <v>1623</v>
      </c>
      <c r="N160" s="142" t="s">
        <v>1623</v>
      </c>
      <c r="O160" s="142" t="s">
        <v>1624</v>
      </c>
      <c r="P160" s="142" t="s">
        <v>1625</v>
      </c>
      <c r="Q160" s="142" t="s">
        <v>1626</v>
      </c>
      <c r="R160" s="142"/>
      <c r="S160" s="142"/>
      <c r="T160" s="142" t="s">
        <v>1622</v>
      </c>
    </row>
    <row xmlns:x14ac="http://schemas.microsoft.com/office/spreadsheetml/2009/9/ac" r="161" x14ac:dyDescent="0.2">
      <c r="A161" s="135" t="s">
        <v>738</v>
      </c>
      <c r="B161" s="135" t="s">
        <v>139</v>
      </c>
      <c r="C161" s="135" t="s">
        <v>376</v>
      </c>
      <c r="D161" s="135" t="s">
        <v>377</v>
      </c>
      <c r="E161" s="135" t="s">
        <v>378</v>
      </c>
      <c r="F161" s="135" t="s">
        <v>379</v>
      </c>
      <c r="L161" s="142" t="s">
        <v>1627</v>
      </c>
      <c r="M161" s="142" t="s">
        <v>1628</v>
      </c>
      <c r="N161" s="142" t="s">
        <v>1629</v>
      </c>
      <c r="O161" s="142" t="s">
        <v>1630</v>
      </c>
      <c r="P161" s="142" t="s">
        <v>1631</v>
      </c>
      <c r="Q161" s="142" t="s">
        <v>1632</v>
      </c>
      <c r="R161" s="142"/>
      <c r="S161" s="142"/>
      <c r="T161" s="142" t="s">
        <v>1627</v>
      </c>
    </row>
    <row xmlns:x14ac="http://schemas.microsoft.com/office/spreadsheetml/2009/9/ac" r="162" x14ac:dyDescent="0.2">
      <c r="A162" s="135" t="s">
        <v>738</v>
      </c>
      <c r="B162" s="135" t="s">
        <v>77</v>
      </c>
      <c r="C162" s="135" t="s">
        <v>396</v>
      </c>
      <c r="D162" s="135" t="s">
        <v>397</v>
      </c>
      <c r="E162" s="135" t="s">
        <v>398</v>
      </c>
      <c r="F162" s="135" t="s">
        <v>399</v>
      </c>
      <c r="L162" s="142" t="s">
        <v>1633</v>
      </c>
      <c r="M162" s="142" t="s">
        <v>1634</v>
      </c>
      <c r="N162" s="142" t="s">
        <v>1635</v>
      </c>
      <c r="O162" s="142" t="s">
        <v>1634</v>
      </c>
      <c r="P162" s="142" t="s">
        <v>1636</v>
      </c>
      <c r="Q162" s="142" t="s">
        <v>1637</v>
      </c>
      <c r="R162" s="142"/>
      <c r="S162" s="142"/>
      <c r="T162" s="142" t="s">
        <v>1633</v>
      </c>
    </row>
    <row xmlns:x14ac="http://schemas.microsoft.com/office/spreadsheetml/2009/9/ac" r="163" x14ac:dyDescent="0.2">
      <c r="A163" s="135" t="s">
        <v>738</v>
      </c>
      <c r="B163" s="135" t="s">
        <v>163</v>
      </c>
      <c r="C163" s="135" t="s">
        <v>400</v>
      </c>
      <c r="D163" s="135" t="s">
        <v>401</v>
      </c>
      <c r="E163" s="135" t="s">
        <v>402</v>
      </c>
      <c r="F163" s="135" t="s">
        <v>403</v>
      </c>
      <c r="L163" s="142" t="s">
        <v>1638</v>
      </c>
      <c r="M163" s="142" t="s">
        <v>1639</v>
      </c>
      <c r="N163" s="142" t="s">
        <v>1639</v>
      </c>
      <c r="O163" s="142" t="s">
        <v>1639</v>
      </c>
      <c r="P163" s="142" t="s">
        <v>1640</v>
      </c>
      <c r="Q163" s="142" t="s">
        <v>1641</v>
      </c>
      <c r="R163" s="142"/>
      <c r="S163" s="142"/>
      <c r="T163" s="142" t="s">
        <v>1638</v>
      </c>
    </row>
    <row xmlns:x14ac="http://schemas.microsoft.com/office/spreadsheetml/2009/9/ac" r="164" x14ac:dyDescent="0.2">
      <c r="A164" s="135" t="s">
        <v>738</v>
      </c>
      <c r="B164" s="135" t="s">
        <v>164</v>
      </c>
      <c r="C164" s="135" t="s">
        <v>404</v>
      </c>
      <c r="D164" s="135" t="s">
        <v>405</v>
      </c>
      <c r="E164" s="135" t="s">
        <v>406</v>
      </c>
      <c r="F164" s="135" t="s">
        <v>407</v>
      </c>
      <c r="L164" s="142" t="s">
        <v>1642</v>
      </c>
      <c r="M164" s="142" t="s">
        <v>1643</v>
      </c>
      <c r="N164" s="142" t="s">
        <v>1644</v>
      </c>
      <c r="O164" s="142" t="s">
        <v>1643</v>
      </c>
      <c r="P164" s="142" t="s">
        <v>1645</v>
      </c>
      <c r="Q164" s="142" t="s">
        <v>1646</v>
      </c>
      <c r="R164" s="142"/>
      <c r="S164" s="142"/>
      <c r="T164" s="142" t="s">
        <v>1642</v>
      </c>
    </row>
    <row xmlns:x14ac="http://schemas.microsoft.com/office/spreadsheetml/2009/9/ac" r="165" x14ac:dyDescent="0.2">
      <c r="A165" s="135" t="s">
        <v>738</v>
      </c>
      <c r="B165" s="135" t="s">
        <v>159</v>
      </c>
      <c r="C165" s="135" t="s">
        <v>408</v>
      </c>
      <c r="D165" s="135" t="s">
        <v>409</v>
      </c>
      <c r="E165" s="135" t="s">
        <v>410</v>
      </c>
      <c r="F165" s="135" t="s">
        <v>411</v>
      </c>
      <c r="L165" s="181" t="s">
        <v>1647</v>
      </c>
      <c r="M165" s="180" t="s">
        <v>2233</v>
      </c>
      <c r="N165" s="180" t="s">
        <v>2234</v>
      </c>
      <c r="O165" s="180" t="s">
        <v>2235</v>
      </c>
      <c r="P165" s="180" t="s">
        <v>2236</v>
      </c>
      <c r="Q165" s="180" t="s">
        <v>2237</v>
      </c>
      <c r="R165" s="180" t="s">
        <v>2238</v>
      </c>
      <c r="S165" s="142"/>
      <c r="T165" s="142" t="s">
        <v>1647</v>
      </c>
    </row>
    <row xmlns:x14ac="http://schemas.microsoft.com/office/spreadsheetml/2009/9/ac" r="166" x14ac:dyDescent="0.2">
      <c r="A166" s="135" t="s">
        <v>738</v>
      </c>
      <c r="B166" s="135" t="s">
        <v>179</v>
      </c>
      <c r="C166" s="135" t="s">
        <v>412</v>
      </c>
      <c r="D166" s="135" t="s">
        <v>413</v>
      </c>
      <c r="E166" s="135" t="s">
        <v>414</v>
      </c>
      <c r="F166" s="135" t="s">
        <v>415</v>
      </c>
      <c r="L166" s="142" t="s">
        <v>1648</v>
      </c>
      <c r="M166" s="142" t="s">
        <v>1649</v>
      </c>
      <c r="N166" s="142" t="s">
        <v>1650</v>
      </c>
      <c r="O166" s="142" t="s">
        <v>1651</v>
      </c>
      <c r="P166" s="142" t="s">
        <v>1652</v>
      </c>
      <c r="Q166" s="142" t="s">
        <v>1653</v>
      </c>
      <c r="R166" s="142"/>
      <c r="S166" s="142"/>
      <c r="T166" s="142" t="s">
        <v>1648</v>
      </c>
    </row>
    <row xmlns:x14ac="http://schemas.microsoft.com/office/spreadsheetml/2009/9/ac" r="167" x14ac:dyDescent="0.2">
      <c r="A167" s="135" t="s">
        <v>738</v>
      </c>
      <c r="B167" s="135" t="s">
        <v>170</v>
      </c>
      <c r="C167" s="135" t="s">
        <v>416</v>
      </c>
      <c r="D167" s="135" t="s">
        <v>417</v>
      </c>
      <c r="E167" s="135" t="s">
        <v>418</v>
      </c>
      <c r="F167" s="135" t="s">
        <v>419</v>
      </c>
      <c r="L167" s="142" t="s">
        <v>1654</v>
      </c>
      <c r="M167" s="142" t="s">
        <v>1655</v>
      </c>
      <c r="N167" s="142" t="s">
        <v>1656</v>
      </c>
      <c r="O167" s="142" t="s">
        <v>1655</v>
      </c>
      <c r="P167" s="142" t="s">
        <v>1657</v>
      </c>
      <c r="Q167" s="142" t="s">
        <v>1658</v>
      </c>
      <c r="R167" s="142"/>
      <c r="S167" s="142"/>
      <c r="T167" s="142" t="s">
        <v>1654</v>
      </c>
    </row>
    <row xmlns:x14ac="http://schemas.microsoft.com/office/spreadsheetml/2009/9/ac" r="168" x14ac:dyDescent="0.2">
      <c r="A168" s="135" t="s">
        <v>738</v>
      </c>
      <c r="B168" s="135" t="s">
        <v>178</v>
      </c>
      <c r="C168" s="135" t="s">
        <v>420</v>
      </c>
      <c r="D168" s="135" t="s">
        <v>421</v>
      </c>
      <c r="E168" s="135" t="s">
        <v>422</v>
      </c>
      <c r="F168" s="135" t="s">
        <v>423</v>
      </c>
      <c r="L168" s="142" t="s">
        <v>1659</v>
      </c>
      <c r="M168" s="142" t="s">
        <v>1660</v>
      </c>
      <c r="N168" s="142" t="s">
        <v>1660</v>
      </c>
      <c r="O168" s="142" t="s">
        <v>1660</v>
      </c>
      <c r="P168" s="142" t="s">
        <v>1661</v>
      </c>
      <c r="Q168" s="142" t="s">
        <v>1662</v>
      </c>
      <c r="R168" s="142"/>
      <c r="S168" s="142"/>
      <c r="T168" s="142" t="s">
        <v>1659</v>
      </c>
    </row>
    <row xmlns:x14ac="http://schemas.microsoft.com/office/spreadsheetml/2009/9/ac" r="169" x14ac:dyDescent="0.2">
      <c r="A169" s="135" t="s">
        <v>738</v>
      </c>
      <c r="B169" s="135" t="s">
        <v>78</v>
      </c>
      <c r="C169" s="135" t="s">
        <v>739</v>
      </c>
      <c r="D169" s="135" t="s">
        <v>740</v>
      </c>
      <c r="E169" s="135" t="s">
        <v>741</v>
      </c>
      <c r="F169" s="135" t="s">
        <v>742</v>
      </c>
      <c r="L169" s="142" t="s">
        <v>1663</v>
      </c>
      <c r="M169" s="142" t="s">
        <v>1664</v>
      </c>
      <c r="N169" s="142" t="s">
        <v>1665</v>
      </c>
      <c r="O169" s="142" t="s">
        <v>1666</v>
      </c>
      <c r="P169" s="142" t="s">
        <v>1667</v>
      </c>
      <c r="Q169" s="142" t="s">
        <v>1668</v>
      </c>
      <c r="R169" s="142"/>
      <c r="S169" s="142"/>
      <c r="T169" s="142" t="s">
        <v>1663</v>
      </c>
    </row>
    <row xmlns:x14ac="http://schemas.microsoft.com/office/spreadsheetml/2009/9/ac" r="170" x14ac:dyDescent="0.2">
      <c r="A170" s="135" t="s">
        <v>738</v>
      </c>
      <c r="B170" s="135" t="s">
        <v>172</v>
      </c>
      <c r="C170" s="135" t="s">
        <v>743</v>
      </c>
      <c r="D170" s="135" t="s">
        <v>744</v>
      </c>
      <c r="E170" s="135" t="s">
        <v>745</v>
      </c>
      <c r="F170" s="135" t="s">
        <v>746</v>
      </c>
      <c r="L170" s="142" t="s">
        <v>1669</v>
      </c>
      <c r="M170" s="142" t="s">
        <v>1670</v>
      </c>
      <c r="N170" s="142" t="s">
        <v>1670</v>
      </c>
      <c r="O170" s="142" t="s">
        <v>1671</v>
      </c>
      <c r="P170" s="142" t="s">
        <v>1672</v>
      </c>
      <c r="Q170" s="142" t="s">
        <v>1673</v>
      </c>
      <c r="R170" s="142"/>
      <c r="S170" s="142"/>
      <c r="T170" s="142" t="s">
        <v>1669</v>
      </c>
    </row>
    <row xmlns:x14ac="http://schemas.microsoft.com/office/spreadsheetml/2009/9/ac" r="171" x14ac:dyDescent="0.2">
      <c r="A171" s="135" t="s">
        <v>738</v>
      </c>
      <c r="B171" s="135" t="s">
        <v>173</v>
      </c>
      <c r="C171" s="135" t="s">
        <v>428</v>
      </c>
      <c r="D171" s="135" t="s">
        <v>429</v>
      </c>
      <c r="E171" s="135" t="s">
        <v>430</v>
      </c>
      <c r="F171" s="135" t="s">
        <v>431</v>
      </c>
      <c r="L171" s="142" t="s">
        <v>1674</v>
      </c>
      <c r="M171" s="142" t="s">
        <v>1675</v>
      </c>
      <c r="N171" s="142" t="s">
        <v>1675</v>
      </c>
      <c r="O171" s="142" t="s">
        <v>1676</v>
      </c>
      <c r="P171" s="142" t="s">
        <v>1677</v>
      </c>
      <c r="Q171" s="142" t="s">
        <v>1678</v>
      </c>
      <c r="R171" s="142"/>
      <c r="S171" s="142"/>
      <c r="T171" s="142" t="s">
        <v>1674</v>
      </c>
    </row>
    <row xmlns:x14ac="http://schemas.microsoft.com/office/spreadsheetml/2009/9/ac" r="172" x14ac:dyDescent="0.2">
      <c r="A172" s="135" t="s">
        <v>738</v>
      </c>
      <c r="B172" s="135" t="s">
        <v>83</v>
      </c>
      <c r="C172" s="135" t="s">
        <v>2095</v>
      </c>
      <c r="D172" s="135" t="s">
        <v>747</v>
      </c>
      <c r="E172" s="135" t="s">
        <v>748</v>
      </c>
      <c r="F172" s="135" t="s">
        <v>2096</v>
      </c>
      <c r="L172" s="142" t="s">
        <v>1679</v>
      </c>
      <c r="M172" s="142" t="s">
        <v>1680</v>
      </c>
      <c r="N172" s="142" t="s">
        <v>1680</v>
      </c>
      <c r="O172" s="142" t="s">
        <v>1681</v>
      </c>
      <c r="P172" s="142" t="s">
        <v>1682</v>
      </c>
      <c r="Q172" s="142" t="s">
        <v>1683</v>
      </c>
      <c r="R172" s="142"/>
      <c r="S172" s="142"/>
      <c r="T172" s="142" t="s">
        <v>1679</v>
      </c>
    </row>
    <row xmlns:x14ac="http://schemas.microsoft.com/office/spreadsheetml/2009/9/ac" r="173" x14ac:dyDescent="0.2">
      <c r="A173" s="135" t="s">
        <v>738</v>
      </c>
      <c r="B173" s="135" t="s">
        <v>84</v>
      </c>
      <c r="C173" s="135" t="s">
        <v>84</v>
      </c>
      <c r="D173" s="135" t="s">
        <v>749</v>
      </c>
      <c r="E173" s="135" t="s">
        <v>750</v>
      </c>
      <c r="F173" s="135" t="s">
        <v>751</v>
      </c>
      <c r="L173" s="142" t="s">
        <v>1684</v>
      </c>
      <c r="M173" s="142" t="s">
        <v>1685</v>
      </c>
      <c r="N173" s="142" t="s">
        <v>1685</v>
      </c>
      <c r="O173" s="142" t="s">
        <v>1685</v>
      </c>
      <c r="P173" s="142" t="s">
        <v>1686</v>
      </c>
      <c r="Q173" s="142" t="s">
        <v>1687</v>
      </c>
      <c r="R173" s="142"/>
      <c r="S173" s="142"/>
      <c r="T173" s="142" t="s">
        <v>1684</v>
      </c>
    </row>
    <row xmlns:x14ac="http://schemas.microsoft.com/office/spreadsheetml/2009/9/ac" r="174" x14ac:dyDescent="0.2">
      <c r="A174" s="135" t="s">
        <v>738</v>
      </c>
      <c r="B174" s="135" t="s">
        <v>97</v>
      </c>
      <c r="C174" s="135" t="s">
        <v>97</v>
      </c>
      <c r="D174" s="135" t="s">
        <v>752</v>
      </c>
      <c r="E174" s="135" t="s">
        <v>753</v>
      </c>
      <c r="F174" s="135" t="s">
        <v>754</v>
      </c>
      <c r="L174" s="142" t="s">
        <v>1688</v>
      </c>
      <c r="M174" s="142" t="s">
        <v>1689</v>
      </c>
      <c r="N174" s="142" t="s">
        <v>1690</v>
      </c>
      <c r="O174" s="142" t="s">
        <v>1691</v>
      </c>
      <c r="P174" s="142" t="s">
        <v>1692</v>
      </c>
      <c r="Q174" s="142" t="s">
        <v>1693</v>
      </c>
      <c r="R174" s="142"/>
      <c r="S174" s="142"/>
      <c r="T174" s="142" t="s">
        <v>1688</v>
      </c>
    </row>
    <row xmlns:x14ac="http://schemas.microsoft.com/office/spreadsheetml/2009/9/ac" r="175" x14ac:dyDescent="0.2">
      <c r="A175" s="135" t="s">
        <v>738</v>
      </c>
      <c r="B175" s="135" t="s">
        <v>98</v>
      </c>
      <c r="C175" s="135" t="s">
        <v>755</v>
      </c>
      <c r="D175" s="135" t="s">
        <v>756</v>
      </c>
      <c r="E175" s="135" t="s">
        <v>757</v>
      </c>
      <c r="F175" s="135" t="s">
        <v>758</v>
      </c>
      <c r="L175" s="142" t="s">
        <v>1694</v>
      </c>
      <c r="M175" s="142" t="s">
        <v>1695</v>
      </c>
      <c r="N175" s="142" t="s">
        <v>1695</v>
      </c>
      <c r="O175" s="142" t="s">
        <v>1696</v>
      </c>
      <c r="P175" s="142" t="s">
        <v>1697</v>
      </c>
      <c r="Q175" s="142" t="s">
        <v>1698</v>
      </c>
      <c r="R175" s="142"/>
      <c r="S175" s="142"/>
      <c r="T175" s="142" t="s">
        <v>1694</v>
      </c>
    </row>
    <row xmlns:x14ac="http://schemas.microsoft.com/office/spreadsheetml/2009/9/ac" r="176" x14ac:dyDescent="0.2">
      <c r="A176" s="135" t="s">
        <v>738</v>
      </c>
      <c r="B176" s="135" t="s">
        <v>759</v>
      </c>
      <c r="C176" s="135" t="s">
        <v>760</v>
      </c>
      <c r="D176" s="135" t="s">
        <v>761</v>
      </c>
      <c r="E176" s="135" t="s">
        <v>762</v>
      </c>
      <c r="F176" s="135" t="s">
        <v>763</v>
      </c>
      <c r="L176" s="142" t="s">
        <v>1699</v>
      </c>
      <c r="M176" s="142" t="s">
        <v>1700</v>
      </c>
      <c r="N176" s="142" t="s">
        <v>1701</v>
      </c>
      <c r="O176" s="142" t="s">
        <v>1700</v>
      </c>
      <c r="P176" s="142" t="s">
        <v>1702</v>
      </c>
      <c r="Q176" s="142" t="s">
        <v>1703</v>
      </c>
      <c r="R176" s="142"/>
      <c r="S176" s="142"/>
      <c r="T176" s="142" t="s">
        <v>1699</v>
      </c>
    </row>
    <row xmlns:x14ac="http://schemas.microsoft.com/office/spreadsheetml/2009/9/ac" r="177" x14ac:dyDescent="0.2">
      <c r="A177" s="135" t="s">
        <v>738</v>
      </c>
      <c r="B177" s="135" t="s">
        <v>764</v>
      </c>
      <c r="C177" s="135" t="s">
        <v>765</v>
      </c>
      <c r="D177" s="135" t="s">
        <v>766</v>
      </c>
      <c r="E177" s="135" t="s">
        <v>767</v>
      </c>
      <c r="F177" s="135" t="s">
        <v>768</v>
      </c>
      <c r="L177" s="142" t="s">
        <v>1704</v>
      </c>
      <c r="M177" s="142" t="s">
        <v>1705</v>
      </c>
      <c r="N177" s="142" t="s">
        <v>1706</v>
      </c>
      <c r="O177" s="142" t="s">
        <v>1707</v>
      </c>
      <c r="P177" s="142" t="s">
        <v>1708</v>
      </c>
      <c r="Q177" s="142" t="s">
        <v>1709</v>
      </c>
      <c r="R177" s="142"/>
      <c r="S177" s="142"/>
      <c r="T177" s="142" t="s">
        <v>1704</v>
      </c>
    </row>
    <row xmlns:x14ac="http://schemas.microsoft.com/office/spreadsheetml/2009/9/ac" r="178" x14ac:dyDescent="0.2">
      <c r="A178" s="135" t="s">
        <v>738</v>
      </c>
      <c r="B178" s="135" t="s">
        <v>180</v>
      </c>
      <c r="C178" s="135" t="s">
        <v>769</v>
      </c>
      <c r="D178" s="135" t="s">
        <v>770</v>
      </c>
      <c r="E178" s="135" t="s">
        <v>771</v>
      </c>
      <c r="F178" s="135" t="s">
        <v>772</v>
      </c>
      <c r="L178" s="142" t="s">
        <v>1710</v>
      </c>
      <c r="M178" s="142" t="s">
        <v>1711</v>
      </c>
      <c r="N178" s="142" t="s">
        <v>1712</v>
      </c>
      <c r="O178" s="142" t="s">
        <v>1713</v>
      </c>
      <c r="P178" s="142" t="s">
        <v>1714</v>
      </c>
      <c r="Q178" s="142" t="s">
        <v>1715</v>
      </c>
      <c r="R178" s="142"/>
      <c r="S178" s="142"/>
      <c r="T178" s="142" t="s">
        <v>1710</v>
      </c>
    </row>
    <row xmlns:x14ac="http://schemas.microsoft.com/office/spreadsheetml/2009/9/ac" r="179" x14ac:dyDescent="0.2">
      <c r="A179" s="135" t="s">
        <v>738</v>
      </c>
      <c r="B179" s="135" t="s">
        <v>183</v>
      </c>
      <c r="C179" s="135" t="s">
        <v>773</v>
      </c>
      <c r="D179" s="135" t="s">
        <v>774</v>
      </c>
      <c r="E179" s="135" t="s">
        <v>775</v>
      </c>
      <c r="F179" s="135" t="s">
        <v>776</v>
      </c>
      <c r="L179" s="142" t="s">
        <v>1716</v>
      </c>
      <c r="M179" s="142" t="s">
        <v>1717</v>
      </c>
      <c r="N179" s="142" t="s">
        <v>1718</v>
      </c>
      <c r="O179" s="142" t="s">
        <v>1717</v>
      </c>
      <c r="P179" s="142" t="s">
        <v>1719</v>
      </c>
      <c r="Q179" s="142" t="s">
        <v>1720</v>
      </c>
      <c r="R179" s="142"/>
      <c r="S179" s="142"/>
      <c r="T179" s="142" t="s">
        <v>1716</v>
      </c>
    </row>
    <row xmlns:x14ac="http://schemas.microsoft.com/office/spreadsheetml/2009/9/ac" r="180" x14ac:dyDescent="0.2">
      <c r="A180" s="135" t="s">
        <v>738</v>
      </c>
      <c r="B180" s="135" t="s">
        <v>181</v>
      </c>
      <c r="C180" s="135" t="s">
        <v>777</v>
      </c>
      <c r="D180" s="135" t="s">
        <v>778</v>
      </c>
      <c r="E180" s="135" t="s">
        <v>779</v>
      </c>
      <c r="F180" s="135" t="s">
        <v>780</v>
      </c>
      <c r="L180" s="142" t="s">
        <v>1721</v>
      </c>
      <c r="M180" s="142" t="s">
        <v>1722</v>
      </c>
      <c r="N180" s="142" t="s">
        <v>1723</v>
      </c>
      <c r="O180" s="142" t="s">
        <v>1724</v>
      </c>
      <c r="P180" s="142" t="s">
        <v>1725</v>
      </c>
      <c r="Q180" s="142" t="s">
        <v>1726</v>
      </c>
      <c r="R180" s="142"/>
      <c r="S180" s="142"/>
      <c r="T180" s="142" t="s">
        <v>1721</v>
      </c>
    </row>
    <row xmlns:x14ac="http://schemas.microsoft.com/office/spreadsheetml/2009/9/ac" r="181" x14ac:dyDescent="0.2">
      <c r="A181" s="135" t="s">
        <v>738</v>
      </c>
      <c r="B181" s="135" t="s">
        <v>182</v>
      </c>
      <c r="C181" s="135" t="s">
        <v>781</v>
      </c>
      <c r="D181" s="135" t="s">
        <v>782</v>
      </c>
      <c r="E181" s="135" t="s">
        <v>783</v>
      </c>
      <c r="F181" s="135" t="s">
        <v>784</v>
      </c>
      <c r="L181" s="142" t="s">
        <v>1727</v>
      </c>
      <c r="M181" s="142" t="s">
        <v>1728</v>
      </c>
      <c r="N181" s="142" t="s">
        <v>1728</v>
      </c>
      <c r="O181" s="142" t="s">
        <v>1728</v>
      </c>
      <c r="P181" s="142" t="s">
        <v>1729</v>
      </c>
      <c r="Q181" s="142" t="s">
        <v>1730</v>
      </c>
      <c r="R181" s="142"/>
      <c r="S181" s="142"/>
      <c r="T181" s="142" t="s">
        <v>1727</v>
      </c>
    </row>
    <row xmlns:x14ac="http://schemas.microsoft.com/office/spreadsheetml/2009/9/ac" r="182" ht="17" x14ac:dyDescent="0.2">
      <c r="A182" s="135" t="s">
        <v>114</v>
      </c>
      <c r="B182" s="135" t="s">
        <v>2098</v>
      </c>
      <c r="C182" s="135" t="s">
        <v>2098</v>
      </c>
      <c r="D182" s="135" t="s">
        <v>2098</v>
      </c>
      <c r="E182" s="135" t="s">
        <v>2099</v>
      </c>
      <c r="F182" s="139" t="s">
        <v>2100</v>
      </c>
      <c r="L182" s="142" t="s">
        <v>1731</v>
      </c>
      <c r="M182" s="142" t="s">
        <v>1732</v>
      </c>
      <c r="N182" s="142" t="s">
        <v>1732</v>
      </c>
      <c r="O182" s="142" t="s">
        <v>1732</v>
      </c>
      <c r="P182" s="142" t="s">
        <v>1733</v>
      </c>
      <c r="Q182" s="142" t="s">
        <v>1734</v>
      </c>
      <c r="R182" s="142"/>
      <c r="S182" s="142"/>
      <c r="T182" s="142" t="s">
        <v>1731</v>
      </c>
    </row>
    <row xmlns:x14ac="http://schemas.microsoft.com/office/spreadsheetml/2009/9/ac" r="183" x14ac:dyDescent="0.2">
      <c r="L183" s="142" t="s">
        <v>1735</v>
      </c>
      <c r="M183" s="142" t="s">
        <v>2250</v>
      </c>
      <c r="N183" s="142" t="s">
        <v>2251</v>
      </c>
      <c r="O183" s="142" t="s">
        <v>2252</v>
      </c>
      <c r="P183" s="142" t="s">
        <v>2253</v>
      </c>
      <c r="Q183" s="142" t="s">
        <v>2254</v>
      </c>
      <c r="R183" s="142"/>
      <c r="S183" s="142"/>
      <c r="T183" s="142" t="s">
        <v>1735</v>
      </c>
    </row>
    <row xmlns:x14ac="http://schemas.microsoft.com/office/spreadsheetml/2009/9/ac" r="184" x14ac:dyDescent="0.2">
      <c r="L184" s="142" t="s">
        <v>1736</v>
      </c>
      <c r="M184" s="142" t="s">
        <v>1737</v>
      </c>
      <c r="N184" s="142" t="s">
        <v>1738</v>
      </c>
      <c r="O184" s="142" t="s">
        <v>1739</v>
      </c>
      <c r="P184" s="142" t="s">
        <v>1740</v>
      </c>
      <c r="Q184" s="142" t="s">
        <v>1741</v>
      </c>
      <c r="R184" s="142"/>
      <c r="S184" s="142"/>
      <c r="T184" s="142" t="s">
        <v>1736</v>
      </c>
    </row>
    <row xmlns:x14ac="http://schemas.microsoft.com/office/spreadsheetml/2009/9/ac" r="185" x14ac:dyDescent="0.2">
      <c r="L185" s="142" t="s">
        <v>1742</v>
      </c>
      <c r="M185" s="142" t="s">
        <v>1743</v>
      </c>
      <c r="N185" s="142" t="s">
        <v>1743</v>
      </c>
      <c r="O185" s="142" t="s">
        <v>1743</v>
      </c>
      <c r="P185" s="142" t="s">
        <v>1744</v>
      </c>
      <c r="Q185" s="142" t="s">
        <v>1745</v>
      </c>
      <c r="R185" s="142"/>
      <c r="S185" s="142"/>
      <c r="T185" s="142" t="s">
        <v>1742</v>
      </c>
    </row>
    <row xmlns:x14ac="http://schemas.microsoft.com/office/spreadsheetml/2009/9/ac" r="186" x14ac:dyDescent="0.2">
      <c r="L186" s="142" t="s">
        <v>1746</v>
      </c>
      <c r="M186" s="142" t="s">
        <v>1747</v>
      </c>
      <c r="N186" s="142" t="s">
        <v>1747</v>
      </c>
      <c r="O186" s="142" t="s">
        <v>1748</v>
      </c>
      <c r="P186" s="142" t="s">
        <v>1749</v>
      </c>
      <c r="Q186" s="142" t="s">
        <v>1750</v>
      </c>
      <c r="R186" s="142"/>
      <c r="S186" s="142"/>
      <c r="T186" s="142" t="s">
        <v>1746</v>
      </c>
    </row>
    <row xmlns:x14ac="http://schemas.microsoft.com/office/spreadsheetml/2009/9/ac" r="187" x14ac:dyDescent="0.2">
      <c r="L187" s="142" t="s">
        <v>1751</v>
      </c>
      <c r="M187" s="142" t="s">
        <v>1752</v>
      </c>
      <c r="N187" s="142" t="s">
        <v>1753</v>
      </c>
      <c r="O187" s="142" t="s">
        <v>1754</v>
      </c>
      <c r="P187" s="142" t="s">
        <v>1755</v>
      </c>
      <c r="Q187" s="142" t="s">
        <v>1756</v>
      </c>
      <c r="R187" s="142"/>
      <c r="S187" s="142"/>
      <c r="T187" s="142" t="s">
        <v>1751</v>
      </c>
    </row>
    <row xmlns:x14ac="http://schemas.microsoft.com/office/spreadsheetml/2009/9/ac" r="188" x14ac:dyDescent="0.2">
      <c r="L188" s="142" t="s">
        <v>1757</v>
      </c>
      <c r="M188" s="142" t="s">
        <v>1758</v>
      </c>
      <c r="N188" s="142" t="s">
        <v>1759</v>
      </c>
      <c r="O188" s="142" t="s">
        <v>1760</v>
      </c>
      <c r="P188" s="142" t="s">
        <v>1761</v>
      </c>
      <c r="Q188" s="142" t="s">
        <v>1762</v>
      </c>
      <c r="R188" s="142"/>
      <c r="S188" s="142"/>
      <c r="T188" s="142" t="s">
        <v>1757</v>
      </c>
    </row>
    <row xmlns:x14ac="http://schemas.microsoft.com/office/spreadsheetml/2009/9/ac" r="189" x14ac:dyDescent="0.2">
      <c r="L189" s="142" t="s">
        <v>1763</v>
      </c>
      <c r="M189" s="142" t="s">
        <v>1764</v>
      </c>
      <c r="N189" s="142" t="s">
        <v>1764</v>
      </c>
      <c r="O189" s="142" t="s">
        <v>1764</v>
      </c>
      <c r="P189" s="142" t="s">
        <v>1765</v>
      </c>
      <c r="Q189" s="142" t="s">
        <v>1766</v>
      </c>
      <c r="R189" s="142"/>
      <c r="S189" s="142"/>
      <c r="T189" s="142" t="s">
        <v>1763</v>
      </c>
    </row>
    <row xmlns:x14ac="http://schemas.microsoft.com/office/spreadsheetml/2009/9/ac" r="190" x14ac:dyDescent="0.2">
      <c r="L190" s="142" t="s">
        <v>1767</v>
      </c>
      <c r="M190" s="142" t="s">
        <v>1768</v>
      </c>
      <c r="N190" s="142" t="s">
        <v>1769</v>
      </c>
      <c r="O190" s="142" t="s">
        <v>1770</v>
      </c>
      <c r="P190" s="142" t="s">
        <v>1771</v>
      </c>
      <c r="Q190" s="142" t="s">
        <v>1772</v>
      </c>
      <c r="R190" s="142"/>
      <c r="S190" s="142"/>
      <c r="T190" s="142" t="s">
        <v>1767</v>
      </c>
    </row>
    <row xmlns:x14ac="http://schemas.microsoft.com/office/spreadsheetml/2009/9/ac" r="191" x14ac:dyDescent="0.2">
      <c r="L191" s="142" t="s">
        <v>1773</v>
      </c>
      <c r="M191" s="142" t="s">
        <v>1774</v>
      </c>
      <c r="N191" s="142" t="s">
        <v>1775</v>
      </c>
      <c r="O191" s="142" t="s">
        <v>1776</v>
      </c>
      <c r="P191" s="142" t="s">
        <v>1777</v>
      </c>
      <c r="Q191" s="142" t="s">
        <v>1778</v>
      </c>
      <c r="R191" s="142"/>
      <c r="S191" s="142"/>
      <c r="T191" s="142" t="s">
        <v>1773</v>
      </c>
    </row>
    <row xmlns:x14ac="http://schemas.microsoft.com/office/spreadsheetml/2009/9/ac" r="192" x14ac:dyDescent="0.2">
      <c r="L192" s="142" t="s">
        <v>1779</v>
      </c>
      <c r="M192" s="142" t="s">
        <v>1780</v>
      </c>
      <c r="N192" s="142" t="s">
        <v>1781</v>
      </c>
      <c r="O192" s="142" t="s">
        <v>1780</v>
      </c>
      <c r="P192" s="142" t="s">
        <v>1782</v>
      </c>
      <c r="Q192" s="142" t="s">
        <v>1783</v>
      </c>
      <c r="R192" s="142"/>
      <c r="S192" s="142"/>
      <c r="T192" s="142" t="s">
        <v>1779</v>
      </c>
    </row>
    <row xmlns:x14ac="http://schemas.microsoft.com/office/spreadsheetml/2009/9/ac" r="193" x14ac:dyDescent="0.2">
      <c r="L193" s="142" t="s">
        <v>1784</v>
      </c>
      <c r="M193" s="142" t="s">
        <v>1785</v>
      </c>
      <c r="N193" s="142" t="s">
        <v>1786</v>
      </c>
      <c r="O193" s="142" t="s">
        <v>1787</v>
      </c>
      <c r="P193" s="142" t="s">
        <v>1788</v>
      </c>
      <c r="Q193" s="142" t="s">
        <v>1789</v>
      </c>
      <c r="R193" s="142"/>
      <c r="S193" s="142"/>
      <c r="T193" s="142" t="s">
        <v>1784</v>
      </c>
    </row>
    <row xmlns:x14ac="http://schemas.microsoft.com/office/spreadsheetml/2009/9/ac" r="194" x14ac:dyDescent="0.2">
      <c r="L194" s="142" t="s">
        <v>1790</v>
      </c>
      <c r="M194" s="142" t="s">
        <v>1791</v>
      </c>
      <c r="N194" s="142" t="s">
        <v>1792</v>
      </c>
      <c r="O194" s="142" t="s">
        <v>1793</v>
      </c>
      <c r="P194" s="142" t="s">
        <v>1794</v>
      </c>
      <c r="Q194" s="142" t="s">
        <v>1795</v>
      </c>
      <c r="R194" s="142"/>
      <c r="S194" s="142"/>
      <c r="T194" s="142" t="s">
        <v>1790</v>
      </c>
    </row>
    <row xmlns:x14ac="http://schemas.microsoft.com/office/spreadsheetml/2009/9/ac" r="195" x14ac:dyDescent="0.2">
      <c r="L195" s="142" t="s">
        <v>1796</v>
      </c>
      <c r="M195" s="142" t="s">
        <v>1797</v>
      </c>
      <c r="N195" s="142" t="s">
        <v>1798</v>
      </c>
      <c r="O195" s="142" t="s">
        <v>1799</v>
      </c>
      <c r="P195" s="142" t="s">
        <v>1800</v>
      </c>
      <c r="Q195" s="142" t="s">
        <v>1801</v>
      </c>
      <c r="R195" s="142"/>
      <c r="S195" s="142"/>
      <c r="T195" s="142" t="s">
        <v>1796</v>
      </c>
    </row>
    <row xmlns:x14ac="http://schemas.microsoft.com/office/spreadsheetml/2009/9/ac" r="196" x14ac:dyDescent="0.2">
      <c r="L196" s="142" t="s">
        <v>1802</v>
      </c>
      <c r="M196" s="142" t="s">
        <v>1803</v>
      </c>
      <c r="N196" s="142" t="s">
        <v>1804</v>
      </c>
      <c r="O196" s="142" t="s">
        <v>1805</v>
      </c>
      <c r="P196" s="142" t="s">
        <v>1806</v>
      </c>
      <c r="Q196" s="142" t="s">
        <v>1807</v>
      </c>
      <c r="R196" s="142"/>
      <c r="S196" s="142"/>
      <c r="T196" s="142" t="s">
        <v>1802</v>
      </c>
    </row>
    <row xmlns:x14ac="http://schemas.microsoft.com/office/spreadsheetml/2009/9/ac" r="197" x14ac:dyDescent="0.2">
      <c r="L197" s="142" t="s">
        <v>1808</v>
      </c>
      <c r="M197" s="142" t="s">
        <v>1809</v>
      </c>
      <c r="N197" s="142" t="s">
        <v>1810</v>
      </c>
      <c r="O197" s="142" t="s">
        <v>1811</v>
      </c>
      <c r="P197" s="142" t="s">
        <v>1812</v>
      </c>
      <c r="Q197" s="142" t="s">
        <v>1813</v>
      </c>
      <c r="R197" s="142"/>
      <c r="S197" s="142"/>
      <c r="T197" s="142" t="s">
        <v>1808</v>
      </c>
    </row>
    <row xmlns:x14ac="http://schemas.microsoft.com/office/spreadsheetml/2009/9/ac" r="198" x14ac:dyDescent="0.2">
      <c r="L198" s="142" t="s">
        <v>1814</v>
      </c>
      <c r="M198" s="142" t="s">
        <v>1815</v>
      </c>
      <c r="N198" s="142" t="s">
        <v>1815</v>
      </c>
      <c r="O198" s="142" t="s">
        <v>1816</v>
      </c>
      <c r="P198" s="142" t="s">
        <v>1817</v>
      </c>
      <c r="Q198" s="142" t="s">
        <v>1818</v>
      </c>
      <c r="R198" s="142"/>
      <c r="S198" s="142"/>
      <c r="T198" s="142" t="s">
        <v>1814</v>
      </c>
    </row>
    <row xmlns:x14ac="http://schemas.microsoft.com/office/spreadsheetml/2009/9/ac" r="199" x14ac:dyDescent="0.2">
      <c r="L199" s="142" t="s">
        <v>1819</v>
      </c>
      <c r="M199" s="142" t="s">
        <v>1820</v>
      </c>
      <c r="N199" s="142" t="s">
        <v>1820</v>
      </c>
      <c r="O199" s="142" t="s">
        <v>1820</v>
      </c>
      <c r="P199" s="142" t="s">
        <v>1821</v>
      </c>
      <c r="Q199" s="142" t="s">
        <v>1822</v>
      </c>
      <c r="R199" s="142"/>
      <c r="S199" s="142"/>
      <c r="T199" s="142" t="s">
        <v>1819</v>
      </c>
    </row>
    <row xmlns:x14ac="http://schemas.microsoft.com/office/spreadsheetml/2009/9/ac" r="200" x14ac:dyDescent="0.2">
      <c r="L200" s="142" t="s">
        <v>1823</v>
      </c>
      <c r="M200" s="142" t="s">
        <v>1824</v>
      </c>
      <c r="N200" s="142" t="s">
        <v>1825</v>
      </c>
      <c r="O200" s="142" t="s">
        <v>1824</v>
      </c>
      <c r="P200" s="142" t="s">
        <v>1826</v>
      </c>
      <c r="Q200" s="142" t="s">
        <v>1827</v>
      </c>
      <c r="R200" s="142"/>
      <c r="S200" s="142"/>
      <c r="T200" s="142" t="s">
        <v>1823</v>
      </c>
    </row>
    <row xmlns:x14ac="http://schemas.microsoft.com/office/spreadsheetml/2009/9/ac" r="201" x14ac:dyDescent="0.2">
      <c r="L201" s="142" t="s">
        <v>1828</v>
      </c>
      <c r="M201" s="142" t="s">
        <v>1829</v>
      </c>
      <c r="N201" s="142" t="s">
        <v>1830</v>
      </c>
      <c r="O201" s="142" t="s">
        <v>1829</v>
      </c>
      <c r="P201" s="142" t="s">
        <v>1831</v>
      </c>
      <c r="Q201" s="142" t="s">
        <v>1832</v>
      </c>
      <c r="R201" s="142"/>
      <c r="S201" s="142"/>
      <c r="T201" s="142" t="s">
        <v>1828</v>
      </c>
    </row>
    <row xmlns:x14ac="http://schemas.microsoft.com/office/spreadsheetml/2009/9/ac" r="202" x14ac:dyDescent="0.2">
      <c r="L202" s="142" t="s">
        <v>1833</v>
      </c>
      <c r="M202" s="142" t="s">
        <v>1834</v>
      </c>
      <c r="N202" s="142" t="s">
        <v>1835</v>
      </c>
      <c r="O202" s="142" t="s">
        <v>1836</v>
      </c>
      <c r="P202" s="142" t="s">
        <v>1837</v>
      </c>
      <c r="Q202" s="142" t="s">
        <v>1838</v>
      </c>
      <c r="R202" s="142"/>
      <c r="S202" s="142"/>
      <c r="T202" s="142" t="s">
        <v>1833</v>
      </c>
    </row>
    <row xmlns:x14ac="http://schemas.microsoft.com/office/spreadsheetml/2009/9/ac" r="203" x14ac:dyDescent="0.2">
      <c r="L203" s="142" t="s">
        <v>1839</v>
      </c>
      <c r="M203" s="142" t="s">
        <v>1840</v>
      </c>
      <c r="N203" s="142" t="s">
        <v>1841</v>
      </c>
      <c r="O203" s="142" t="s">
        <v>1840</v>
      </c>
      <c r="P203" s="142" t="s">
        <v>1842</v>
      </c>
      <c r="Q203" s="142" t="s">
        <v>1843</v>
      </c>
      <c r="R203" s="142"/>
      <c r="S203" s="142"/>
      <c r="T203" s="142" t="s">
        <v>1839</v>
      </c>
    </row>
    <row xmlns:x14ac="http://schemas.microsoft.com/office/spreadsheetml/2009/9/ac" r="204" x14ac:dyDescent="0.2">
      <c r="L204" s="142" t="s">
        <v>1844</v>
      </c>
      <c r="M204" s="142" t="s">
        <v>1845</v>
      </c>
      <c r="N204" s="142" t="s">
        <v>1846</v>
      </c>
      <c r="O204" s="142" t="s">
        <v>1847</v>
      </c>
      <c r="P204" s="142" t="s">
        <v>1848</v>
      </c>
      <c r="Q204" s="142" t="s">
        <v>1849</v>
      </c>
      <c r="R204" s="142"/>
      <c r="S204" s="142"/>
      <c r="T204" s="142" t="s">
        <v>1844</v>
      </c>
    </row>
    <row xmlns:x14ac="http://schemas.microsoft.com/office/spreadsheetml/2009/9/ac" r="205" x14ac:dyDescent="0.2">
      <c r="L205" s="142" t="s">
        <v>1850</v>
      </c>
      <c r="M205" s="142" t="s">
        <v>1851</v>
      </c>
      <c r="N205" s="142" t="s">
        <v>1852</v>
      </c>
      <c r="O205" s="142" t="s">
        <v>1853</v>
      </c>
      <c r="P205" s="142" t="s">
        <v>1854</v>
      </c>
      <c r="Q205" s="142" t="s">
        <v>1855</v>
      </c>
      <c r="R205" s="142"/>
      <c r="S205" s="142"/>
      <c r="T205" s="142" t="s">
        <v>1850</v>
      </c>
    </row>
    <row xmlns:x14ac="http://schemas.microsoft.com/office/spreadsheetml/2009/9/ac" r="206" x14ac:dyDescent="0.2">
      <c r="L206" s="142" t="s">
        <v>1856</v>
      </c>
      <c r="M206" s="142" t="s">
        <v>1857</v>
      </c>
      <c r="N206" s="142" t="s">
        <v>1857</v>
      </c>
      <c r="O206" s="142" t="s">
        <v>1857</v>
      </c>
      <c r="P206" s="142" t="s">
        <v>1858</v>
      </c>
      <c r="Q206" s="142" t="s">
        <v>1859</v>
      </c>
      <c r="R206" s="142"/>
      <c r="S206" s="142"/>
      <c r="T206" s="142" t="s">
        <v>1856</v>
      </c>
    </row>
    <row xmlns:x14ac="http://schemas.microsoft.com/office/spreadsheetml/2009/9/ac" r="207" x14ac:dyDescent="0.2">
      <c r="L207" s="142" t="s">
        <v>1860</v>
      </c>
      <c r="M207" s="142" t="s">
        <v>1861</v>
      </c>
      <c r="N207" s="142" t="s">
        <v>1862</v>
      </c>
      <c r="O207" s="142" t="s">
        <v>1863</v>
      </c>
      <c r="P207" s="142" t="s">
        <v>1864</v>
      </c>
      <c r="Q207" s="142" t="s">
        <v>1865</v>
      </c>
      <c r="R207" s="142"/>
      <c r="S207" s="142"/>
      <c r="T207" s="142" t="s">
        <v>1860</v>
      </c>
    </row>
    <row xmlns:x14ac="http://schemas.microsoft.com/office/spreadsheetml/2009/9/ac" r="208" x14ac:dyDescent="0.2">
      <c r="L208" s="142" t="s">
        <v>1866</v>
      </c>
      <c r="M208" s="142" t="s">
        <v>1867</v>
      </c>
      <c r="N208" s="142" t="s">
        <v>1868</v>
      </c>
      <c r="O208" s="142" t="s">
        <v>1869</v>
      </c>
      <c r="P208" s="142" t="s">
        <v>1870</v>
      </c>
      <c r="Q208" s="142" t="s">
        <v>1871</v>
      </c>
      <c r="R208" s="142"/>
      <c r="S208" s="142"/>
      <c r="T208" s="142" t="s">
        <v>1866</v>
      </c>
    </row>
    <row xmlns:x14ac="http://schemas.microsoft.com/office/spreadsheetml/2009/9/ac" r="209" x14ac:dyDescent="0.2">
      <c r="L209" s="142" t="s">
        <v>1872</v>
      </c>
      <c r="M209" s="142" t="s">
        <v>1873</v>
      </c>
      <c r="N209" s="142" t="s">
        <v>1874</v>
      </c>
      <c r="O209" s="142" t="s">
        <v>1875</v>
      </c>
      <c r="P209" s="142" t="s">
        <v>1876</v>
      </c>
      <c r="Q209" s="142" t="s">
        <v>1877</v>
      </c>
      <c r="R209" s="142"/>
      <c r="S209" s="142"/>
      <c r="T209" s="142" t="s">
        <v>1872</v>
      </c>
    </row>
    <row xmlns:x14ac="http://schemas.microsoft.com/office/spreadsheetml/2009/9/ac" r="210" x14ac:dyDescent="0.2">
      <c r="L210" s="142" t="s">
        <v>1878</v>
      </c>
      <c r="M210" s="142" t="s">
        <v>1879</v>
      </c>
      <c r="N210" s="142" t="s">
        <v>1879</v>
      </c>
      <c r="O210" s="142" t="s">
        <v>1879</v>
      </c>
      <c r="P210" s="142" t="s">
        <v>1880</v>
      </c>
      <c r="Q210" s="142" t="s">
        <v>1881</v>
      </c>
      <c r="R210" s="142"/>
      <c r="S210" s="142"/>
      <c r="T210" s="142" t="s">
        <v>1878</v>
      </c>
    </row>
    <row xmlns:x14ac="http://schemas.microsoft.com/office/spreadsheetml/2009/9/ac" r="211" x14ac:dyDescent="0.2">
      <c r="L211" s="142" t="s">
        <v>1882</v>
      </c>
      <c r="M211" s="142" t="s">
        <v>1883</v>
      </c>
      <c r="N211" s="142" t="s">
        <v>1884</v>
      </c>
      <c r="O211" s="142" t="s">
        <v>1885</v>
      </c>
      <c r="P211" s="142" t="s">
        <v>1886</v>
      </c>
      <c r="Q211" s="142" t="s">
        <v>1887</v>
      </c>
      <c r="R211" s="142"/>
      <c r="S211" s="142"/>
      <c r="T211" s="142" t="s">
        <v>1882</v>
      </c>
    </row>
    <row xmlns:x14ac="http://schemas.microsoft.com/office/spreadsheetml/2009/9/ac" r="212" x14ac:dyDescent="0.2">
      <c r="L212" s="142" t="s">
        <v>1888</v>
      </c>
      <c r="M212" s="142" t="s">
        <v>1889</v>
      </c>
      <c r="N212" s="142" t="s">
        <v>1889</v>
      </c>
      <c r="O212" s="142" t="s">
        <v>1889</v>
      </c>
      <c r="P212" s="142" t="s">
        <v>1890</v>
      </c>
      <c r="Q212" s="142" t="s">
        <v>1891</v>
      </c>
      <c r="R212" s="142"/>
      <c r="S212" s="142"/>
      <c r="T212" s="142" t="s">
        <v>1888</v>
      </c>
    </row>
    <row xmlns:x14ac="http://schemas.microsoft.com/office/spreadsheetml/2009/9/ac" r="213" x14ac:dyDescent="0.2">
      <c r="L213" s="142" t="s">
        <v>1892</v>
      </c>
      <c r="M213" s="142" t="s">
        <v>1893</v>
      </c>
      <c r="N213" s="142" t="s">
        <v>1894</v>
      </c>
      <c r="O213" s="142" t="s">
        <v>1895</v>
      </c>
      <c r="P213" s="142" t="s">
        <v>1896</v>
      </c>
      <c r="Q213" s="142" t="s">
        <v>1897</v>
      </c>
      <c r="R213" s="142"/>
      <c r="S213" s="142"/>
      <c r="T213" s="142" t="s">
        <v>1892</v>
      </c>
    </row>
    <row xmlns:x14ac="http://schemas.microsoft.com/office/spreadsheetml/2009/9/ac" r="214" x14ac:dyDescent="0.2">
      <c r="L214" s="142" t="s">
        <v>1898</v>
      </c>
      <c r="M214" s="142" t="s">
        <v>1899</v>
      </c>
      <c r="N214" s="142" t="s">
        <v>1900</v>
      </c>
      <c r="O214" s="142" t="s">
        <v>1901</v>
      </c>
      <c r="P214" s="142" t="s">
        <v>1902</v>
      </c>
      <c r="Q214" s="142" t="s">
        <v>1903</v>
      </c>
      <c r="R214" s="142"/>
      <c r="S214" s="142"/>
      <c r="T214" s="142" t="s">
        <v>1898</v>
      </c>
    </row>
    <row xmlns:x14ac="http://schemas.microsoft.com/office/spreadsheetml/2009/9/ac" r="215" x14ac:dyDescent="0.2">
      <c r="L215" s="142" t="s">
        <v>1904</v>
      </c>
      <c r="M215" s="142" t="s">
        <v>1905</v>
      </c>
      <c r="N215" s="142" t="s">
        <v>1906</v>
      </c>
      <c r="O215" s="142" t="s">
        <v>1905</v>
      </c>
      <c r="P215" s="142" t="s">
        <v>1907</v>
      </c>
      <c r="Q215" s="142" t="s">
        <v>1908</v>
      </c>
      <c r="R215" s="142"/>
      <c r="S215" s="142"/>
      <c r="T215" s="142" t="s">
        <v>1904</v>
      </c>
    </row>
    <row xmlns:x14ac="http://schemas.microsoft.com/office/spreadsheetml/2009/9/ac" r="216" x14ac:dyDescent="0.2">
      <c r="L216" s="142" t="s">
        <v>1909</v>
      </c>
      <c r="M216" s="142" t="s">
        <v>1910</v>
      </c>
      <c r="N216" s="142" t="s">
        <v>1910</v>
      </c>
      <c r="O216" s="142" t="s">
        <v>1910</v>
      </c>
      <c r="P216" s="142" t="s">
        <v>1911</v>
      </c>
      <c r="Q216" s="142" t="s">
        <v>1912</v>
      </c>
      <c r="R216" s="142"/>
      <c r="S216" s="142"/>
      <c r="T216" s="142" t="s">
        <v>1909</v>
      </c>
    </row>
    <row xmlns:x14ac="http://schemas.microsoft.com/office/spreadsheetml/2009/9/ac" r="217" x14ac:dyDescent="0.2">
      <c r="L217" s="142" t="s">
        <v>1913</v>
      </c>
      <c r="M217" s="142" t="s">
        <v>1914</v>
      </c>
      <c r="N217" s="142" t="s">
        <v>1915</v>
      </c>
      <c r="O217" s="142" t="s">
        <v>1916</v>
      </c>
      <c r="P217" s="142" t="s">
        <v>1917</v>
      </c>
      <c r="Q217" s="142" t="s">
        <v>1918</v>
      </c>
      <c r="R217" s="142"/>
      <c r="S217" s="142"/>
      <c r="T217" s="142" t="s">
        <v>1913</v>
      </c>
    </row>
    <row xmlns:x14ac="http://schemas.microsoft.com/office/spreadsheetml/2009/9/ac" r="218" x14ac:dyDescent="0.2">
      <c r="L218" s="142" t="s">
        <v>1919</v>
      </c>
      <c r="M218" s="142" t="s">
        <v>1920</v>
      </c>
      <c r="N218" s="142" t="s">
        <v>1921</v>
      </c>
      <c r="O218" s="142" t="s">
        <v>1922</v>
      </c>
      <c r="P218" s="142" t="s">
        <v>1923</v>
      </c>
      <c r="Q218" s="142" t="s">
        <v>1924</v>
      </c>
      <c r="R218" s="142"/>
      <c r="S218" s="142"/>
      <c r="T218" s="142" t="s">
        <v>1919</v>
      </c>
    </row>
    <row xmlns:x14ac="http://schemas.microsoft.com/office/spreadsheetml/2009/9/ac" r="219" x14ac:dyDescent="0.2">
      <c r="L219" s="142" t="s">
        <v>1925</v>
      </c>
      <c r="M219" s="142" t="s">
        <v>1926</v>
      </c>
      <c r="N219" s="142" t="s">
        <v>1927</v>
      </c>
      <c r="O219" s="142" t="s">
        <v>1926</v>
      </c>
      <c r="P219" s="142" t="s">
        <v>1928</v>
      </c>
      <c r="Q219" s="142" t="s">
        <v>1929</v>
      </c>
      <c r="R219" s="142"/>
      <c r="S219" s="142"/>
      <c r="T219" s="142" t="s">
        <v>1925</v>
      </c>
    </row>
    <row xmlns:x14ac="http://schemas.microsoft.com/office/spreadsheetml/2009/9/ac" r="220" x14ac:dyDescent="0.2">
      <c r="L220" s="142" t="s">
        <v>1930</v>
      </c>
      <c r="M220" s="142" t="s">
        <v>1931</v>
      </c>
      <c r="N220" s="142" t="s">
        <v>1932</v>
      </c>
      <c r="O220" s="142" t="s">
        <v>1933</v>
      </c>
      <c r="P220" s="142" t="s">
        <v>1934</v>
      </c>
      <c r="Q220" s="142" t="s">
        <v>1935</v>
      </c>
      <c r="R220" s="142"/>
      <c r="S220" s="142"/>
      <c r="T220" s="142" t="s">
        <v>1930</v>
      </c>
    </row>
    <row xmlns:x14ac="http://schemas.microsoft.com/office/spreadsheetml/2009/9/ac" r="221" x14ac:dyDescent="0.2">
      <c r="L221" s="142" t="s">
        <v>1936</v>
      </c>
      <c r="M221" s="142" t="s">
        <v>1937</v>
      </c>
      <c r="N221" s="142" t="s">
        <v>1937</v>
      </c>
      <c r="O221" s="142" t="s">
        <v>1937</v>
      </c>
      <c r="P221" s="142" t="s">
        <v>1938</v>
      </c>
      <c r="Q221" s="142" t="s">
        <v>1939</v>
      </c>
      <c r="R221" s="142"/>
      <c r="S221" s="142"/>
      <c r="T221" s="142" t="s">
        <v>1936</v>
      </c>
    </row>
    <row xmlns:x14ac="http://schemas.microsoft.com/office/spreadsheetml/2009/9/ac" r="222" x14ac:dyDescent="0.2">
      <c r="L222" s="142" t="s">
        <v>1940</v>
      </c>
      <c r="M222" s="142" t="s">
        <v>1941</v>
      </c>
      <c r="N222" s="142" t="s">
        <v>1941</v>
      </c>
      <c r="O222" s="142" t="s">
        <v>1941</v>
      </c>
      <c r="P222" s="142" t="s">
        <v>1942</v>
      </c>
      <c r="Q222" s="142" t="s">
        <v>1943</v>
      </c>
      <c r="R222" s="142"/>
      <c r="S222" s="142"/>
      <c r="T222" s="142" t="s">
        <v>1940</v>
      </c>
    </row>
    <row xmlns:x14ac="http://schemas.microsoft.com/office/spreadsheetml/2009/9/ac" r="223" x14ac:dyDescent="0.2">
      <c r="L223" s="142" t="s">
        <v>1944</v>
      </c>
      <c r="M223" s="142" t="s">
        <v>1945</v>
      </c>
      <c r="N223" s="142" t="s">
        <v>1946</v>
      </c>
      <c r="O223" s="142" t="s">
        <v>1947</v>
      </c>
      <c r="P223" s="142" t="s">
        <v>1948</v>
      </c>
      <c r="Q223" s="142" t="s">
        <v>1949</v>
      </c>
      <c r="R223" s="142"/>
      <c r="S223" s="142"/>
      <c r="T223" s="142" t="s">
        <v>1944</v>
      </c>
    </row>
    <row xmlns:x14ac="http://schemas.microsoft.com/office/spreadsheetml/2009/9/ac" r="224" x14ac:dyDescent="0.2">
      <c r="L224" s="142" t="s">
        <v>1950</v>
      </c>
      <c r="M224" s="142" t="s">
        <v>1951</v>
      </c>
      <c r="N224" s="142" t="s">
        <v>1952</v>
      </c>
      <c r="O224" s="142" t="s">
        <v>1953</v>
      </c>
      <c r="P224" s="142" t="s">
        <v>1954</v>
      </c>
      <c r="Q224" s="142" t="s">
        <v>1955</v>
      </c>
      <c r="R224" s="142"/>
      <c r="S224" s="142"/>
      <c r="T224" s="142" t="s">
        <v>1950</v>
      </c>
    </row>
    <row xmlns:x14ac="http://schemas.microsoft.com/office/spreadsheetml/2009/9/ac" r="225" x14ac:dyDescent="0.2">
      <c r="L225" s="142" t="s">
        <v>1956</v>
      </c>
      <c r="M225" s="142" t="s">
        <v>1957</v>
      </c>
      <c r="N225" s="142" t="s">
        <v>1958</v>
      </c>
      <c r="O225" s="142" t="s">
        <v>1959</v>
      </c>
      <c r="P225" s="142" t="s">
        <v>1960</v>
      </c>
      <c r="Q225" s="142" t="s">
        <v>1961</v>
      </c>
      <c r="R225" s="142"/>
      <c r="S225" s="142"/>
      <c r="T225" s="142" t="s">
        <v>1956</v>
      </c>
    </row>
    <row xmlns:x14ac="http://schemas.microsoft.com/office/spreadsheetml/2009/9/ac" r="226" x14ac:dyDescent="0.2">
      <c r="L226" s="142" t="s">
        <v>1962</v>
      </c>
      <c r="M226" s="142" t="s">
        <v>1963</v>
      </c>
      <c r="N226" s="142" t="s">
        <v>1963</v>
      </c>
      <c r="O226" s="142" t="s">
        <v>1963</v>
      </c>
      <c r="P226" s="142" t="s">
        <v>1964</v>
      </c>
      <c r="Q226" s="142" t="s">
        <v>1965</v>
      </c>
      <c r="R226" s="142"/>
      <c r="S226" s="142"/>
      <c r="T226" s="142" t="s">
        <v>1962</v>
      </c>
    </row>
    <row xmlns:x14ac="http://schemas.microsoft.com/office/spreadsheetml/2009/9/ac" r="227" x14ac:dyDescent="0.2">
      <c r="L227" s="142" t="s">
        <v>1966</v>
      </c>
      <c r="M227" s="142" t="s">
        <v>1967</v>
      </c>
      <c r="N227" s="142" t="s">
        <v>1968</v>
      </c>
      <c r="O227" s="142" t="s">
        <v>1969</v>
      </c>
      <c r="P227" s="142" t="s">
        <v>1970</v>
      </c>
      <c r="Q227" s="142" t="s">
        <v>1971</v>
      </c>
      <c r="R227" s="142"/>
      <c r="S227" s="142"/>
      <c r="T227" s="142" t="s">
        <v>1966</v>
      </c>
    </row>
    <row xmlns:x14ac="http://schemas.microsoft.com/office/spreadsheetml/2009/9/ac" r="228" x14ac:dyDescent="0.2">
      <c r="L228" s="142" t="s">
        <v>1972</v>
      </c>
      <c r="M228" s="142" t="s">
        <v>1973</v>
      </c>
      <c r="N228" s="142" t="s">
        <v>1974</v>
      </c>
      <c r="O228" s="142" t="s">
        <v>1973</v>
      </c>
      <c r="P228" s="142" t="s">
        <v>1975</v>
      </c>
      <c r="Q228" s="142" t="s">
        <v>1976</v>
      </c>
      <c r="R228" s="142"/>
      <c r="S228" s="142"/>
      <c r="T228" s="142" t="s">
        <v>1972</v>
      </c>
    </row>
    <row xmlns:x14ac="http://schemas.microsoft.com/office/spreadsheetml/2009/9/ac" r="229" x14ac:dyDescent="0.2">
      <c r="L229" s="142" t="s">
        <v>1977</v>
      </c>
      <c r="M229" s="142" t="s">
        <v>1978</v>
      </c>
      <c r="N229" s="142" t="s">
        <v>1978</v>
      </c>
      <c r="O229" s="142" t="s">
        <v>1979</v>
      </c>
      <c r="P229" s="142" t="s">
        <v>1980</v>
      </c>
      <c r="Q229" s="142" t="s">
        <v>1981</v>
      </c>
      <c r="R229" s="142"/>
      <c r="S229" s="142"/>
      <c r="T229" s="142" t="s">
        <v>1977</v>
      </c>
    </row>
    <row xmlns:x14ac="http://schemas.microsoft.com/office/spreadsheetml/2009/9/ac" r="230" x14ac:dyDescent="0.2">
      <c r="L230" s="142" t="s">
        <v>1982</v>
      </c>
      <c r="M230" s="142" t="s">
        <v>1983</v>
      </c>
      <c r="N230" s="142" t="s">
        <v>1984</v>
      </c>
      <c r="O230" s="142" t="s">
        <v>1985</v>
      </c>
      <c r="P230" s="142" t="s">
        <v>1986</v>
      </c>
      <c r="Q230" s="142" t="s">
        <v>1987</v>
      </c>
      <c r="R230" s="142"/>
      <c r="S230" s="142"/>
      <c r="T230" s="142" t="s">
        <v>1982</v>
      </c>
    </row>
    <row xmlns:x14ac="http://schemas.microsoft.com/office/spreadsheetml/2009/9/ac" r="231" x14ac:dyDescent="0.2">
      <c r="L231" s="142" t="s">
        <v>1988</v>
      </c>
      <c r="M231" s="142" t="s">
        <v>1989</v>
      </c>
      <c r="N231" s="142" t="s">
        <v>1989</v>
      </c>
      <c r="O231" s="142" t="s">
        <v>1989</v>
      </c>
      <c r="P231" s="142" t="s">
        <v>1990</v>
      </c>
      <c r="Q231" s="142" t="s">
        <v>1991</v>
      </c>
      <c r="R231" s="142"/>
      <c r="S231" s="142"/>
      <c r="T231" s="142" t="s">
        <v>1988</v>
      </c>
    </row>
    <row xmlns:x14ac="http://schemas.microsoft.com/office/spreadsheetml/2009/9/ac" r="232" x14ac:dyDescent="0.2">
      <c r="L232" s="142" t="s">
        <v>1992</v>
      </c>
      <c r="M232" s="142" t="s">
        <v>1993</v>
      </c>
      <c r="N232" s="142" t="s">
        <v>1994</v>
      </c>
      <c r="O232" s="142" t="s">
        <v>1995</v>
      </c>
      <c r="P232" s="142" t="s">
        <v>1996</v>
      </c>
      <c r="Q232" s="142" t="s">
        <v>1997</v>
      </c>
      <c r="R232" s="142"/>
      <c r="S232" s="142"/>
      <c r="T232" s="142" t="s">
        <v>1992</v>
      </c>
    </row>
    <row xmlns:x14ac="http://schemas.microsoft.com/office/spreadsheetml/2009/9/ac" r="233" x14ac:dyDescent="0.2">
      <c r="L233" s="142" t="s">
        <v>1998</v>
      </c>
      <c r="M233" s="142" t="s">
        <v>1999</v>
      </c>
      <c r="N233" s="142" t="s">
        <v>2000</v>
      </c>
      <c r="O233" s="142" t="s">
        <v>2001</v>
      </c>
      <c r="P233" s="142" t="s">
        <v>2002</v>
      </c>
      <c r="Q233" s="142" t="s">
        <v>2003</v>
      </c>
      <c r="R233" s="142"/>
      <c r="S233" s="142"/>
      <c r="T233" s="142" t="s">
        <v>1998</v>
      </c>
    </row>
    <row xmlns:x14ac="http://schemas.microsoft.com/office/spreadsheetml/2009/9/ac" r="234" x14ac:dyDescent="0.2">
      <c r="L234" s="142" t="s">
        <v>2004</v>
      </c>
      <c r="M234" s="142" t="s">
        <v>2005</v>
      </c>
      <c r="N234" s="142" t="s">
        <v>2006</v>
      </c>
      <c r="O234" s="142" t="s">
        <v>2007</v>
      </c>
      <c r="P234" s="142" t="s">
        <v>2008</v>
      </c>
      <c r="Q234" s="142" t="s">
        <v>2009</v>
      </c>
      <c r="R234" s="142"/>
      <c r="S234" s="142"/>
      <c r="T234" s="142" t="s">
        <v>2004</v>
      </c>
    </row>
    <row xmlns:x14ac="http://schemas.microsoft.com/office/spreadsheetml/2009/9/ac" r="235" x14ac:dyDescent="0.2">
      <c r="L235" s="142" t="s">
        <v>2010</v>
      </c>
      <c r="M235" s="142" t="s">
        <v>2011</v>
      </c>
      <c r="N235" s="142" t="s">
        <v>2012</v>
      </c>
      <c r="O235" s="142" t="s">
        <v>2013</v>
      </c>
      <c r="P235" s="142" t="s">
        <v>2014</v>
      </c>
      <c r="Q235" s="142" t="s">
        <v>2015</v>
      </c>
      <c r="R235" s="142"/>
      <c r="S235" s="142"/>
      <c r="T235" s="142" t="s">
        <v>2010</v>
      </c>
    </row>
    <row xmlns:x14ac="http://schemas.microsoft.com/office/spreadsheetml/2009/9/ac" r="236" x14ac:dyDescent="0.2">
      <c r="L236" s="142" t="s">
        <v>2016</v>
      </c>
      <c r="M236" s="142" t="s">
        <v>2017</v>
      </c>
      <c r="N236" s="142" t="s">
        <v>2018</v>
      </c>
      <c r="O236" s="142" t="s">
        <v>2019</v>
      </c>
      <c r="P236" s="142" t="s">
        <v>2020</v>
      </c>
      <c r="Q236" s="142" t="s">
        <v>2021</v>
      </c>
      <c r="R236" s="142"/>
      <c r="S236" s="142"/>
      <c r="T236" s="142" t="s">
        <v>2016</v>
      </c>
    </row>
    <row xmlns:x14ac="http://schemas.microsoft.com/office/spreadsheetml/2009/9/ac" r="237" x14ac:dyDescent="0.2">
      <c r="L237" s="142" t="s">
        <v>2022</v>
      </c>
      <c r="M237" s="142" t="s">
        <v>2023</v>
      </c>
      <c r="N237" s="142" t="s">
        <v>2024</v>
      </c>
      <c r="O237" s="142" t="s">
        <v>2025</v>
      </c>
      <c r="P237" s="142" t="s">
        <v>2026</v>
      </c>
      <c r="Q237" s="142" t="s">
        <v>2027</v>
      </c>
      <c r="R237" s="142"/>
      <c r="S237" s="142"/>
      <c r="T237" s="142" t="s">
        <v>2022</v>
      </c>
    </row>
    <row xmlns:x14ac="http://schemas.microsoft.com/office/spreadsheetml/2009/9/ac" r="238" x14ac:dyDescent="0.2">
      <c r="L238" s="142" t="s">
        <v>2028</v>
      </c>
      <c r="M238" s="142" t="s">
        <v>2029</v>
      </c>
      <c r="N238" s="142" t="s">
        <v>2030</v>
      </c>
      <c r="O238" s="142" t="s">
        <v>2031</v>
      </c>
      <c r="P238" s="142" t="s">
        <v>2032</v>
      </c>
      <c r="Q238" s="142" t="s">
        <v>2033</v>
      </c>
      <c r="R238" s="142"/>
      <c r="S238" s="142"/>
      <c r="T238" s="142" t="s">
        <v>2028</v>
      </c>
    </row>
    <row xmlns:x14ac="http://schemas.microsoft.com/office/spreadsheetml/2009/9/ac" r="239" x14ac:dyDescent="0.2">
      <c r="L239" s="142" t="s">
        <v>2034</v>
      </c>
      <c r="M239" s="142" t="s">
        <v>2035</v>
      </c>
      <c r="N239" s="142" t="s">
        <v>2035</v>
      </c>
      <c r="O239" s="142" t="s">
        <v>2035</v>
      </c>
      <c r="P239" s="142" t="s">
        <v>2036</v>
      </c>
      <c r="Q239" s="142" t="s">
        <v>2037</v>
      </c>
      <c r="R239" s="142"/>
      <c r="S239" s="142"/>
      <c r="T239" s="142" t="s">
        <v>2034</v>
      </c>
    </row>
    <row xmlns:x14ac="http://schemas.microsoft.com/office/spreadsheetml/2009/9/ac" r="240" x14ac:dyDescent="0.2">
      <c r="L240" s="142" t="s">
        <v>2038</v>
      </c>
      <c r="M240" s="142" t="s">
        <v>2039</v>
      </c>
      <c r="N240" s="142" t="s">
        <v>2039</v>
      </c>
      <c r="O240" s="142" t="s">
        <v>2039</v>
      </c>
      <c r="P240" s="142" t="s">
        <v>2040</v>
      </c>
      <c r="Q240" s="142" t="s">
        <v>2041</v>
      </c>
      <c r="R240" s="142"/>
      <c r="S240" s="142"/>
      <c r="T240" s="142" t="s">
        <v>2038</v>
      </c>
    </row>
    <row xmlns:x14ac="http://schemas.microsoft.com/office/spreadsheetml/2009/9/ac" r="241" x14ac:dyDescent="0.2">
      <c r="L241" s="142" t="s">
        <v>2042</v>
      </c>
      <c r="M241" s="142" t="s">
        <v>2043</v>
      </c>
      <c r="N241" s="142" t="s">
        <v>2044</v>
      </c>
      <c r="O241" s="142" t="s">
        <v>2045</v>
      </c>
      <c r="P241" s="142" t="s">
        <v>2046</v>
      </c>
      <c r="Q241" s="142" t="s">
        <v>2047</v>
      </c>
      <c r="R241" s="142"/>
      <c r="S241" s="142"/>
      <c r="T241" s="142" t="s">
        <v>2042</v>
      </c>
    </row>
    <row xmlns:x14ac="http://schemas.microsoft.com/office/spreadsheetml/2009/9/ac" r="242" x14ac:dyDescent="0.2">
      <c r="L242" s="142" t="s">
        <v>2048</v>
      </c>
      <c r="M242" s="142" t="s">
        <v>2049</v>
      </c>
      <c r="N242" s="142" t="s">
        <v>2049</v>
      </c>
      <c r="O242" s="142" t="s">
        <v>2049</v>
      </c>
      <c r="P242" s="142" t="s">
        <v>2050</v>
      </c>
      <c r="Q242" s="142" t="s">
        <v>2051</v>
      </c>
      <c r="R242" s="142"/>
      <c r="S242" s="142"/>
      <c r="T242" s="142" t="s">
        <v>2048</v>
      </c>
    </row>
    <row xmlns:x14ac="http://schemas.microsoft.com/office/spreadsheetml/2009/9/ac" r="243" x14ac:dyDescent="0.2">
      <c r="L243" s="142" t="s">
        <v>2052</v>
      </c>
      <c r="M243" s="142" t="s">
        <v>2053</v>
      </c>
      <c r="N243" s="142" t="s">
        <v>2054</v>
      </c>
      <c r="O243" s="142" t="s">
        <v>2053</v>
      </c>
      <c r="P243" s="142" t="s">
        <v>2055</v>
      </c>
      <c r="Q243" s="142" t="s">
        <v>2056</v>
      </c>
      <c r="R243" s="142"/>
      <c r="S243" s="142"/>
      <c r="T243" s="142" t="s">
        <v>2052</v>
      </c>
    </row>
    <row xmlns:x14ac="http://schemas.microsoft.com/office/spreadsheetml/2009/9/ac" r="244" x14ac:dyDescent="0.2">
      <c r="L244" s="142" t="s">
        <v>2057</v>
      </c>
      <c r="M244" s="142" t="s">
        <v>2058</v>
      </c>
      <c r="N244" s="142" t="s">
        <v>2059</v>
      </c>
      <c r="O244" s="142" t="s">
        <v>2060</v>
      </c>
      <c r="P244" s="142" t="s">
        <v>2061</v>
      </c>
      <c r="Q244" s="142" t="s">
        <v>2062</v>
      </c>
      <c r="R244" s="142"/>
      <c r="S244" s="142"/>
      <c r="T244" s="142" t="s">
        <v>2057</v>
      </c>
    </row>
    <row xmlns:x14ac="http://schemas.microsoft.com/office/spreadsheetml/2009/9/ac" r="245" x14ac:dyDescent="0.2">
      <c r="L245" s="142" t="s">
        <v>2063</v>
      </c>
      <c r="M245" s="142" t="s">
        <v>2064</v>
      </c>
      <c r="N245" s="142" t="s">
        <v>2065</v>
      </c>
      <c r="O245" s="142" t="s">
        <v>2064</v>
      </c>
      <c r="P245" s="142" t="s">
        <v>2066</v>
      </c>
      <c r="Q245" s="142" t="s">
        <v>2067</v>
      </c>
      <c r="R245" s="142"/>
      <c r="S245" s="142"/>
      <c r="T245" s="142" t="s">
        <v>2063</v>
      </c>
    </row>
    <row xmlns:x14ac="http://schemas.microsoft.com/office/spreadsheetml/2009/9/ac" r="246" x14ac:dyDescent="0.2">
      <c r="L246" s="142" t="s">
        <v>2068</v>
      </c>
      <c r="M246" s="142" t="s">
        <v>2069</v>
      </c>
      <c r="N246" s="142" t="s">
        <v>2069</v>
      </c>
      <c r="O246" s="142" t="s">
        <v>2069</v>
      </c>
      <c r="P246" s="142" t="s">
        <v>2070</v>
      </c>
      <c r="Q246" s="142" t="s">
        <v>2071</v>
      </c>
      <c r="R246" s="142"/>
      <c r="S246" s="142"/>
      <c r="T246" s="142" t="s">
        <v>2068</v>
      </c>
    </row>
    <row xmlns:x14ac="http://schemas.microsoft.com/office/spreadsheetml/2009/9/ac" r="247" x14ac:dyDescent="0.2">
      <c r="L247" s="142" t="s">
        <v>2072</v>
      </c>
      <c r="M247" s="142" t="s">
        <v>2073</v>
      </c>
      <c r="N247" s="142" t="s">
        <v>2073</v>
      </c>
      <c r="O247" s="142" t="s">
        <v>2073</v>
      </c>
      <c r="P247" s="142" t="s">
        <v>2073</v>
      </c>
      <c r="Q247" s="142" t="s">
        <v>2073</v>
      </c>
      <c r="R247" s="142" t="s">
        <v>2073</v>
      </c>
      <c r="S247" s="142" t="s">
        <v>2073</v>
      </c>
      <c r="T247" s="142" t="s">
        <v>2072</v>
      </c>
    </row>
    <row xmlns:x14ac="http://schemas.microsoft.com/office/spreadsheetml/2009/9/ac" r="248" x14ac:dyDescent="0.2">
      <c r="L248" s="174" t="s">
        <v>2117</v>
      </c>
      <c r="M248" s="174" t="s">
        <v>2118</v>
      </c>
      <c r="N248" s="174" t="s">
        <v>2119</v>
      </c>
      <c r="O248" s="174" t="s">
        <v>2120</v>
      </c>
      <c r="P248" s="174" t="s">
        <v>2121</v>
      </c>
      <c r="Q248" s="174" t="s">
        <v>2122</v>
      </c>
      <c r="R248" s="174"/>
      <c r="S248" s="174"/>
      <c r="T248" s="174" t="s">
        <v>2117</v>
      </c>
      <c r="U248" s="174"/>
    </row>
    <row xmlns:x14ac="http://schemas.microsoft.com/office/spreadsheetml/2009/9/ac" r="249" x14ac:dyDescent="0.2">
      <c r="L249" s="143" t="s">
        <v>2243</v>
      </c>
      <c r="M249" s="143" t="s">
        <v>2244</v>
      </c>
      <c r="N249" s="143" t="s">
        <v>2246</v>
      </c>
      <c r="O249" s="143" t="s">
        <v>2245</v>
      </c>
      <c r="P249" s="143" t="s">
        <v>2247</v>
      </c>
      <c r="Q249" s="143" t="s">
        <v>2248</v>
      </c>
      <c r="T249" s="143" t="s">
        <v>2243</v>
      </c>
    </row>
    <row xmlns:x14ac="http://schemas.microsoft.com/office/spreadsheetml/2009/9/ac" r="251" ht="409.5" customHeight="true" x14ac:dyDescent="0.2">
      <c r="V251" s="135" t="s">
        <v>105</v>
      </c>
      <c r="Y251" s="99"/>
    </row>
    <row xmlns:x14ac="http://schemas.microsoft.com/office/spreadsheetml/2009/9/ac" r="252" ht="409.5" customHeight="true" x14ac:dyDescent="0.2">
      <c r="V252" s="135" t="s">
        <v>194</v>
      </c>
    </row>
    <row xmlns:x14ac="http://schemas.microsoft.com/office/spreadsheetml/2009/9/ac" r="253" ht="409.5" customHeight="true" x14ac:dyDescent="0.2">
      <c r="V253" s="135" t="s">
        <v>195</v>
      </c>
    </row>
    <row xmlns:x14ac="http://schemas.microsoft.com/office/spreadsheetml/2009/9/ac" r="254" ht="409.5" customHeight="true" x14ac:dyDescent="0.2">
      <c r="V254" s="135" t="s">
        <v>197</v>
      </c>
    </row>
    <row xmlns:x14ac="http://schemas.microsoft.com/office/spreadsheetml/2009/9/ac" r="255" ht="409.5" customHeight="true" x14ac:dyDescent="0.2">
      <c r="V255" s="135" t="s">
        <v>196</v>
      </c>
    </row>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2C1114-E5BF-8B4C-AD0A-03A9DF9DBB67}">
  <sheetPr codeName="Sheet11"/>
  <dimension ref="A1:G17"/>
  <sheetViews>
    <sheetView workbookViewId="0"/>
  </sheetViews>
  <sheetFormatPr xmlns:x14ac="http://schemas.microsoft.com/office/spreadsheetml/2009/9/ac" baseColWidth="10" defaultColWidth="11.5703125" defaultRowHeight="16" x14ac:dyDescent="0.2"/>
  <cols>
    <col min="1" max="1" width="10.7109375"/>
    <col min="2" max="2" width="90.140625" bestFit="true" customWidth="true"/>
    <col min="3" max="4" width="14.140625" customWidth="true"/>
    <col min="5" max="5" width="11.140625" customWidth="true"/>
    <col min="6" max="7" width="16.140625" bestFit="true" customWidth="true"/>
  </cols>
  <sheetData>
    <row xmlns:x14ac="http://schemas.microsoft.com/office/spreadsheetml/2009/9/ac" r="1" x14ac:dyDescent="0.2">
      <c r="A1" s="6" t="s">
        <v>113</v>
      </c>
      <c r="B1" s="6" t="s">
        <v>108</v>
      </c>
      <c r="C1" s="6" t="s">
        <v>2240</v>
      </c>
      <c r="D1" s="6" t="s">
        <v>2239</v>
      </c>
      <c r="E1" s="6" t="s">
        <v>109</v>
      </c>
      <c r="F1" s="6" t="s">
        <v>2241</v>
      </c>
      <c r="G1" s="6" t="s">
        <v>2242</v>
      </c>
    </row>
    <row xmlns:x14ac="http://schemas.microsoft.com/office/spreadsheetml/2009/9/ac" r="2" x14ac:dyDescent="0.2">
      <c r="A2" s="6" t="s">
        <v>81</v>
      </c>
      <c r="B2" s="6" t="s">
        <v>90</v>
      </c>
      <c r="C2" s="173">
        <f>v6_</f>
        <v>0</v>
      </c>
      <c r="D2" s="173">
        <f>'A- Generated'!D12</f>
        <v>0</v>
      </c>
      <c r="E2" s="173">
        <f>'_Data inputs (all)'!F7</f>
        <v>0</v>
      </c>
      <c r="F2" s="182">
        <f>IF(E2=0,1,ROUND(D2/E2,10))</f>
        <v>1</v>
      </c>
      <c r="G2" s="182">
        <f>IF(D2=0,1,ROUND(C2/D2,10))</f>
        <v>1</v>
      </c>
    </row>
    <row xmlns:x14ac="http://schemas.microsoft.com/office/spreadsheetml/2009/9/ac" r="3" x14ac:dyDescent="0.2">
      <c r="A3" s="6" t="s">
        <v>81</v>
      </c>
      <c r="B3" s="6" t="s">
        <v>87</v>
      </c>
      <c r="C3" s="173">
        <f>v8_</f>
        <v>0</v>
      </c>
      <c r="D3" s="173">
        <f>'A- Generated'!D15</f>
        <v>0</v>
      </c>
      <c r="E3" s="173">
        <f>'_Data inputs (all)'!F9</f>
        <v>0</v>
      </c>
      <c r="F3" s="182">
        <f t="shared" ref="F3:F17" si="0">IF(E3=0,1,ROUND(D3/E3,10))</f>
        <v>1</v>
      </c>
      <c r="G3" s="182">
        <f t="shared" ref="G3:G17" si="1">IF(D3=0,1,ROUND(C3/D3,10))</f>
        <v>1</v>
      </c>
    </row>
    <row xmlns:x14ac="http://schemas.microsoft.com/office/spreadsheetml/2009/9/ac" r="4" x14ac:dyDescent="0.2">
      <c r="A4" s="6" t="s">
        <v>114</v>
      </c>
      <c r="B4" s="6" t="s">
        <v>2226</v>
      </c>
      <c r="C4" s="173">
        <f>v8_</f>
        <v>0</v>
      </c>
      <c r="D4" s="173">
        <f>'B- Generated by facility type'!F10</f>
        <v>0</v>
      </c>
      <c r="E4" s="173"/>
      <c r="F4" s="182">
        <f t="shared" si="0"/>
        <v>1</v>
      </c>
      <c r="G4" s="182">
        <f t="shared" si="1"/>
        <v>1</v>
      </c>
    </row>
    <row xmlns:x14ac="http://schemas.microsoft.com/office/spreadsheetml/2009/9/ac" r="5" x14ac:dyDescent="0.2">
      <c r="A5" s="6" t="s">
        <v>114</v>
      </c>
      <c r="B5" t="s">
        <v>111</v>
      </c>
      <c r="C5" s="173">
        <f>v14_</f>
        <v>0</v>
      </c>
      <c r="D5" s="173">
        <f>'B- Generated by facility type'!F5</f>
        <v>0</v>
      </c>
      <c r="E5" s="173">
        <f>'_Data inputs (all)'!F15</f>
        <v>0</v>
      </c>
      <c r="F5" s="182">
        <f t="shared" si="0"/>
        <v>1</v>
      </c>
      <c r="G5" s="182">
        <f t="shared" si="1"/>
        <v>1</v>
      </c>
    </row>
    <row xmlns:x14ac="http://schemas.microsoft.com/office/spreadsheetml/2009/9/ac" r="6" x14ac:dyDescent="0.2">
      <c r="A6" s="6" t="s">
        <v>114</v>
      </c>
      <c r="B6" t="s">
        <v>112</v>
      </c>
      <c r="C6" s="173">
        <f>v15_</f>
        <v>0</v>
      </c>
      <c r="D6" s="173">
        <f>'B- Generated by facility type'!F6</f>
        <v>0</v>
      </c>
      <c r="E6" s="173">
        <f>'_Data inputs (all)'!F16</f>
        <v>0</v>
      </c>
      <c r="F6" s="182">
        <f t="shared" si="0"/>
        <v>1</v>
      </c>
      <c r="G6" s="182">
        <f t="shared" si="1"/>
        <v>1</v>
      </c>
    </row>
    <row xmlns:x14ac="http://schemas.microsoft.com/office/spreadsheetml/2009/9/ac" r="7" x14ac:dyDescent="0.2">
      <c r="A7" s="6" t="s">
        <v>114</v>
      </c>
      <c r="B7" t="s">
        <v>1</v>
      </c>
      <c r="C7" s="173">
        <f>v16_</f>
        <v>0</v>
      </c>
      <c r="D7" s="173">
        <f>'B- Generated by facility type'!F7</f>
        <v>0</v>
      </c>
      <c r="E7" s="173">
        <f>'_Data inputs (all)'!F17</f>
        <v>0</v>
      </c>
      <c r="F7" s="182">
        <f t="shared" si="0"/>
        <v>1</v>
      </c>
      <c r="G7" s="182">
        <f t="shared" si="1"/>
        <v>1</v>
      </c>
    </row>
    <row xmlns:x14ac="http://schemas.microsoft.com/office/spreadsheetml/2009/9/ac" r="8" x14ac:dyDescent="0.2">
      <c r="A8" s="6" t="s">
        <v>114</v>
      </c>
      <c r="B8" t="s">
        <v>2</v>
      </c>
      <c r="C8" s="173">
        <f>v17_</f>
        <v>0</v>
      </c>
      <c r="D8" s="173">
        <f>'B- Generated by facility type'!F8</f>
        <v>0</v>
      </c>
      <c r="E8" s="173">
        <f>'_Data inputs (all)'!F18</f>
        <v>0</v>
      </c>
      <c r="F8" s="182">
        <f t="shared" si="0"/>
        <v>1</v>
      </c>
      <c r="G8" s="182">
        <f t="shared" si="1"/>
        <v>1</v>
      </c>
    </row>
    <row xmlns:x14ac="http://schemas.microsoft.com/office/spreadsheetml/2009/9/ac" r="9" x14ac:dyDescent="0.2">
      <c r="A9" s="6" t="s">
        <v>114</v>
      </c>
      <c r="B9" t="s">
        <v>3</v>
      </c>
      <c r="C9" s="173">
        <f>v18_</f>
        <v>0</v>
      </c>
      <c r="D9" s="173">
        <f>'B- Generated by facility type'!F9</f>
        <v>0</v>
      </c>
      <c r="E9" s="173">
        <f>'_Data inputs (all)'!F19</f>
        <v>0</v>
      </c>
      <c r="F9" s="182">
        <f t="shared" si="0"/>
        <v>1</v>
      </c>
      <c r="G9" s="182">
        <f t="shared" si="1"/>
        <v>1</v>
      </c>
    </row>
    <row xmlns:x14ac="http://schemas.microsoft.com/office/spreadsheetml/2009/9/ac" r="10" x14ac:dyDescent="0.2">
      <c r="A10" s="6" t="s">
        <v>115</v>
      </c>
      <c r="B10" s="6" t="s">
        <v>2134</v>
      </c>
      <c r="C10" s="173">
        <f>v29_</f>
        <v>0</v>
      </c>
      <c r="D10" s="173">
        <f>'D- Delivered'!B4</f>
        <v>0</v>
      </c>
      <c r="E10" s="173">
        <f>'_Data inputs (all)'!F30</f>
        <v>0</v>
      </c>
      <c r="F10" s="182">
        <f t="shared" si="0"/>
        <v>1</v>
      </c>
      <c r="G10" s="182">
        <f t="shared" si="1"/>
        <v>1</v>
      </c>
    </row>
    <row xmlns:x14ac="http://schemas.microsoft.com/office/spreadsheetml/2009/9/ac" r="11" x14ac:dyDescent="0.2">
      <c r="A11" s="6" t="s">
        <v>115</v>
      </c>
      <c r="B11" s="6" t="s">
        <v>2135</v>
      </c>
      <c r="C11" s="173">
        <f>v30_</f>
        <v>0</v>
      </c>
      <c r="D11" s="173">
        <f>'D- Delivered'!B5</f>
        <v>0</v>
      </c>
      <c r="E11" s="173">
        <f>'_Data inputs (all)'!F31</f>
        <v>0</v>
      </c>
      <c r="F11" s="182">
        <f t="shared" si="0"/>
        <v>1</v>
      </c>
      <c r="G11" s="182">
        <f t="shared" si="1"/>
        <v>1</v>
      </c>
    </row>
    <row xmlns:x14ac="http://schemas.microsoft.com/office/spreadsheetml/2009/9/ac" r="12" x14ac:dyDescent="0.2">
      <c r="A12" s="6" t="s">
        <v>115</v>
      </c>
      <c r="B12" s="6" t="s">
        <v>2136</v>
      </c>
      <c r="C12" s="173">
        <f>v31_</f>
        <v>0</v>
      </c>
      <c r="D12" s="173">
        <f>'D- Delivered'!B6</f>
        <v>0</v>
      </c>
      <c r="E12" s="173">
        <f>'_Data inputs (all)'!F32</f>
        <v>0</v>
      </c>
      <c r="F12" s="182">
        <f t="shared" si="0"/>
        <v>1</v>
      </c>
      <c r="G12" s="182">
        <f t="shared" si="1"/>
        <v>1</v>
      </c>
    </row>
    <row xmlns:x14ac="http://schemas.microsoft.com/office/spreadsheetml/2009/9/ac" r="13" x14ac:dyDescent="0.2">
      <c r="A13" s="6" t="s">
        <v>115</v>
      </c>
      <c r="B13" s="6" t="s">
        <v>2137</v>
      </c>
      <c r="C13" s="173">
        <f>v32_</f>
        <v>0</v>
      </c>
      <c r="D13" s="173">
        <f>'D- Delivered'!B7</f>
        <v>0</v>
      </c>
      <c r="E13" s="173">
        <f>'_Data inputs (all)'!F33</f>
        <v>0</v>
      </c>
      <c r="F13" s="182">
        <f t="shared" si="0"/>
        <v>1</v>
      </c>
      <c r="G13" s="182">
        <f t="shared" si="1"/>
        <v>1</v>
      </c>
    </row>
    <row xmlns:x14ac="http://schemas.microsoft.com/office/spreadsheetml/2009/9/ac" r="14" x14ac:dyDescent="0.2">
      <c r="A14" s="6" t="s">
        <v>193</v>
      </c>
      <c r="B14" s="6" t="s">
        <v>116</v>
      </c>
      <c r="C14" s="173">
        <f>v33_</f>
        <v>0</v>
      </c>
      <c r="D14" s="173">
        <f>'E- Safely treated'!B4</f>
        <v>0</v>
      </c>
      <c r="E14" s="173">
        <f>'_Data inputs (all)'!F34</f>
        <v>0</v>
      </c>
      <c r="F14" s="182">
        <f t="shared" si="0"/>
        <v>1</v>
      </c>
      <c r="G14" s="182">
        <f t="shared" si="1"/>
        <v>1</v>
      </c>
    </row>
    <row xmlns:x14ac="http://schemas.microsoft.com/office/spreadsheetml/2009/9/ac" r="15" x14ac:dyDescent="0.2">
      <c r="A15" s="6" t="s">
        <v>193</v>
      </c>
      <c r="B15" s="6" t="s">
        <v>716</v>
      </c>
      <c r="C15" s="173">
        <f>v34_</f>
        <v>0</v>
      </c>
      <c r="D15" s="173">
        <f>'E- Safely treated'!B5</f>
        <v>0</v>
      </c>
      <c r="E15" s="173">
        <f>'_Data inputs (all)'!F35</f>
        <v>0</v>
      </c>
      <c r="F15" s="182">
        <f t="shared" si="0"/>
        <v>1</v>
      </c>
      <c r="G15" s="182">
        <f t="shared" si="1"/>
        <v>1</v>
      </c>
    </row>
    <row xmlns:x14ac="http://schemas.microsoft.com/office/spreadsheetml/2009/9/ac" r="16" x14ac:dyDescent="0.2">
      <c r="A16" s="6" t="s">
        <v>193</v>
      </c>
      <c r="B16" s="6" t="s">
        <v>720</v>
      </c>
      <c r="C16" s="173">
        <f>v35_</f>
        <v>0</v>
      </c>
      <c r="D16" s="173">
        <f>'E- Safely treated'!B6</f>
        <v>0</v>
      </c>
      <c r="E16" s="173">
        <f>'_Data inputs (all)'!F36</f>
        <v>0</v>
      </c>
      <c r="F16" s="182">
        <f t="shared" si="0"/>
        <v>1</v>
      </c>
      <c r="G16" s="182">
        <f t="shared" si="1"/>
        <v>1</v>
      </c>
    </row>
    <row xmlns:x14ac="http://schemas.microsoft.com/office/spreadsheetml/2009/9/ac" r="17" x14ac:dyDescent="0.2">
      <c r="A17" s="6" t="s">
        <v>193</v>
      </c>
      <c r="B17" t="s">
        <v>55</v>
      </c>
      <c r="C17" s="173">
        <f>v36_</f>
        <v>0</v>
      </c>
      <c r="D17" s="173">
        <f>'E- Safely treated'!B7</f>
        <v>0</v>
      </c>
      <c r="E17" s="173">
        <f>'_Data inputs (all)'!F37</f>
        <v>0</v>
      </c>
      <c r="F17" s="182">
        <f t="shared" si="0"/>
        <v>1</v>
      </c>
      <c r="G17" s="182">
        <f t="shared" si="1"/>
        <v>1</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true"/>
  </sheetPr>
  <dimension ref="A1:A3"/>
  <sheetViews>
    <sheetView showGridLines="false" zoomScaleNormal="100" workbookViewId="0">
      <selection activeCell="B1" sqref="B1"/>
    </sheetView>
  </sheetViews>
  <sheetFormatPr xmlns:x14ac="http://schemas.microsoft.com/office/spreadsheetml/2009/9/ac" baseColWidth="10" defaultColWidth="8.7109375" defaultRowHeight="18" x14ac:dyDescent="0.2"/>
  <cols>
    <col min="1" max="1" width="151.7109375" style="99" customWidth="true"/>
    <col min="2" max="8" width="8.7109375" style="99"/>
    <col min="9" max="9" width="8.140625" style="99" customWidth="true"/>
    <col min="10" max="16384" width="8.7109375" style="99"/>
  </cols>
  <sheetData>
    <row xmlns:x14ac="http://schemas.microsoft.com/office/spreadsheetml/2009/9/ac" r="1" ht="409.5" customHeight="true" x14ac:dyDescent="0.2"/>
    <row xmlns:x14ac="http://schemas.microsoft.com/office/spreadsheetml/2009/9/ac" r="2" ht="409.5" customHeight="true" x14ac:dyDescent="0.2">
      <c r="A2" s="99" cm="1">
        <f t="array" ref="A2">Guidance1</f>
        <v>0</v>
      </c>
    </row>
    <row xmlns:x14ac="http://schemas.microsoft.com/office/spreadsheetml/2009/9/ac" r="3" ht="409.5" customHeight="true" x14ac:dyDescent="0.2"/>
  </sheetData>
  <sheetProtection sheet="true" objects="true" scenarios="true"/>
  <pageMargins left="0.7" right="0.7" top="0.75" bottom="0.75" header="0.3" footer="0.3"/>
  <pageSetup paperSize="9" orientation="portrait" horizontalDpi="300" verticalDpi="300" r:id="rId1"/>
  <headerFooter scaleWithDoc="false" alignWithMargins="false">
    <oddHeader>&amp;CPRELIMINARY COUNTRY FILE</oddHeader>
    <oddFooter>&amp;LTAB: &amp;A&amp;RLast update: September 2018</oddFooter>
  </headerFooter>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8F7EDA-573A-4209-91EE-30D66514E659}">
  <sheetPr codeName="Sheet12">
    <pageSetUpPr fitToPage="true"/>
  </sheetPr>
  <dimension ref="A1:M41"/>
  <sheetViews>
    <sheetView zoomScaleNormal="100" workbookViewId="0">
      <pane ySplit="1" topLeftCell="A2" activePane="bottomLeft" state="frozen"/>
      <selection activeCell="F5" sqref="F5"/>
      <selection pane="bottomLeft"/>
    </sheetView>
  </sheetViews>
  <sheetFormatPr xmlns:x14ac="http://schemas.microsoft.com/office/spreadsheetml/2009/9/ac" baseColWidth="10" defaultColWidth="8.7109375" defaultRowHeight="16" x14ac:dyDescent="0.2"/>
  <cols>
    <col min="1" max="1" width="50.7109375" style="105" customWidth="true"/>
    <col min="2" max="2" width="15.7109375" style="1" customWidth="true"/>
    <col min="3" max="3" width="10.7109375" style="1" customWidth="true"/>
    <col min="4" max="4" width="100.7109375" customWidth="true"/>
    <col min="5" max="5" width="30.7109375" style="1" customWidth="true"/>
    <col min="6" max="6" width="18" customWidth="true"/>
    <col min="7" max="7" width="15.7109375" customWidth="true"/>
    <col min="8" max="10" width="10.7109375" style="1" customWidth="true"/>
    <col min="11" max="11" width="75.7109375" style="105" customWidth="true"/>
    <col min="12" max="12" width="20.7109375" customWidth="true"/>
    <col min="13" max="13" width="75.7109375" style="105" customWidth="true"/>
  </cols>
  <sheetData>
    <row xmlns:x14ac="http://schemas.microsoft.com/office/spreadsheetml/2009/9/ac" r="1" s="149" customFormat="true" x14ac:dyDescent="0.2">
      <c r="A1" s="149" t="str">
        <f>HLOOKUP(Introduction!$A$2,nametranslations,18,FALSE)</f>
        <v>Country/territory name</v>
      </c>
      <c r="B1" s="149" t="str">
        <f>HLOOKUP(Introduction!$A$2,nametranslations,19,FALSE)</f>
        <v>Country ID (iso3)</v>
      </c>
      <c r="C1" s="149" t="str">
        <f>HLOOKUP(Introduction!$A$2,nametranslations,20,FALSE)</f>
        <v>Variable ID</v>
      </c>
      <c r="D1" s="149" t="str">
        <f>HLOOKUP(Introduction!$A$2,nametranslations,21,FALSE)</f>
        <v>Variable name</v>
      </c>
      <c r="E1" s="149" t="str">
        <f>HLOOKUP(Introduction!$A$2,nametranslations,22,FALSE)</f>
        <v>Variable code</v>
      </c>
      <c r="F1" s="149" t="str">
        <f>HLOOKUP(Introduction!$A$2,nametranslations,23,FALSE)</f>
        <v>Value</v>
      </c>
      <c r="G1" s="149" t="str">
        <f>HLOOKUP(Introduction!$A$2,nametranslations,24,FALSE)</f>
        <v>Units</v>
      </c>
      <c r="H1" s="149" t="str">
        <f>HLOOKUP(Introduction!$A$2,nametranslations,25,FALSE)</f>
        <v>Data type</v>
      </c>
      <c r="I1" s="149" t="str">
        <f>HLOOKUP(Introduction!$A$2,nametranslations,26,FALSE)</f>
        <v>Year</v>
      </c>
      <c r="J1" s="149" t="str">
        <f>HLOOKUP(Introduction!$A$2,nametranslations,27,FALSE)</f>
        <v>Used</v>
      </c>
      <c r="K1" s="149" t="str">
        <f>HLOOKUP(Introduction!$A$2,nametranslations,29,FALSE)</f>
        <v>Data source</v>
      </c>
      <c r="L1" s="149" t="str">
        <f>HLOOKUP(Introduction!$A$2,nametranslations,30,FALSE)</f>
        <v>Source ID</v>
      </c>
      <c r="M1" s="149" t="str">
        <f>HLOOKUP(Introduction!$A$2,nametranslations,31,FALSE)</f>
        <v>Notes</v>
      </c>
    </row>
    <row xmlns:x14ac="http://schemas.microsoft.com/office/spreadsheetml/2009/9/ac" r="2" x14ac:dyDescent="0.2">
      <c r="A2" s="105" t="str">
        <f>IF(ISTEXT(VLOOKUP('_Data inputs (all)'!B2,countryname,2,FALSE)),IF(Introduction!$A$2="English",VLOOKUP('_Data inputs (all)'!B2,countryname,2,FALSE),IF(Introduction!$A$2="French",VLOOKUP('_Data inputs (all)'!B2,countryname,3,FALSE),IF(Introduction!$A$2="Spanish",VLOOKUP('_Data inputs (all)'!B2,countryname,4,FALSE),IF(Introduction!$A$2="Russian",VLOOKUP('_Data inputs (all)'!B2,countryname,5,FALSE),IF(Introduction!$A$2="Arabic",VLOOKUP('_Data inputs (all)'!B2,countryname,6,FALSE),IF(Introduction!$A$2="Chinese",VLOOKUP('_Data inputs (all)'!B2,countryname,7,FALSE),IF(Introduction!$A$2="Other",VLOOKUP('_Data inputs (all)'!B2,countryname,8,FALSE)))))))),"")</f>
        <v/>
      </c>
      <c r="B2" s="42">
        <f>'_Data inputs (all)'!B2</f>
        <v>0</v>
      </c>
      <c r="C2" s="110">
        <f>'_Data inputs (all)'!C2</f>
        <v>0</v>
      </c>
      <c r="D2" s="6" t="e">
        <f>IF(Introduction!$A$2="English",VLOOKUP('_Data inputs (all)'!D2,nametranslations,1,FALSE),IF(Introduction!$A$2="Spanish",VLOOKUP('_Data inputs (all)'!D2,nametranslations,2,FALSE),IF(Introduction!$A$2="French",VLOOKUP('_Data inputs (all)'!D2,nametranslations,3,FALSE),IF(Introduction!$A$2="Arabic",VLOOKUP('_Data inputs (all)'!D2,nametranslations,4,FALSE),IF(Introduction!$A$2="Russian",VLOOKUP('_Data inputs (all)'!D2,nametranslations,5,FALSE),IF(Introduction!$A$2="Chinese",VLOOKUP('_Data inputs (all)'!D2,nametranslations,6,FALSE),IF(Introduction!$A$2="Other",VLOOKUP('_Data inputs (all)'!D2,nametranslations,7,FALSE))))))))</f>
        <v>#N/A</v>
      </c>
      <c r="E2" s="110">
        <f>'_Data inputs (all)'!E2</f>
        <v>0</v>
      </c>
      <c r="F2" s="183">
        <f>'_Data inputs (all)'!F2</f>
        <v>0</v>
      </c>
      <c r="G2" s="6" t="e">
        <f>IF(Introduction!$A$2="English",VLOOKUP('_Data inputs (all)'!G2,nametranslations,1,FALSE),IF(Introduction!$A$2="Spanish",VLOOKUP('_Data inputs (all)'!G2,nametranslations,2,FALSE),IF(Introduction!$A$2="French",VLOOKUP('_Data inputs (all)'!G2,nametranslations,3,FALSE),IF(Introduction!$A$2="Arabic",VLOOKUP('_Data inputs (all)'!G2,nametranslations,4,FALSE),IF(Introduction!$A$2="Russian",VLOOKUP('_Data inputs (all)'!G2,nametranslations,5,FALSE),IF(Introduction!$A$2="Chinese",VLOOKUP('_Data inputs (all)'!G2,nametranslations,6,FALSE),IF(Introduction!$A$2="Other",VLOOKUP('_Data inputs (all)'!G2,nametranslations,7,FALSE))))))))</f>
        <v>#N/A</v>
      </c>
      <c r="H2" s="186">
        <f>'_Data inputs (all)'!H2</f>
        <v>0</v>
      </c>
      <c r="I2" s="187" t="str">
        <f>IF(ISNUMBER('_Data inputs (all)'!I2),'_Data inputs (all)'!I2,"")</f>
        <v/>
      </c>
      <c r="J2" s="187" t="str">
        <f>IF(ISTEXT('_Data inputs (all)'!J2),'_Data inputs (all)'!J2,"")</f>
        <v/>
      </c>
      <c r="K2" s="188" t="str">
        <f>IF(ISTEXT('_Data inputs (all)'!K2),'_Data inputs (all)'!K2,"")</f>
        <v/>
      </c>
      <c r="L2" s="186" t="str">
        <f>IF(ISTEXT('_Data inputs (all)'!L2),'_Data inputs (all)'!L2,"")</f>
        <v/>
      </c>
      <c r="M2" s="188" t="str">
        <f>IF(ISTEXT('_Data inputs (all)'!M2),'_Data inputs (all)'!M2,"")</f>
        <v/>
      </c>
    </row>
    <row xmlns:x14ac="http://schemas.microsoft.com/office/spreadsheetml/2009/9/ac" r="3" x14ac:dyDescent="0.2">
      <c r="A3" s="105" t="str">
        <f>IF(ISTEXT(VLOOKUP('_Data inputs (all)'!B3,countryname,2,FALSE)),IF(Introduction!$A$2="English",VLOOKUP('_Data inputs (all)'!B3,countryname,2,FALSE),IF(Introduction!$A$2="French",VLOOKUP('_Data inputs (all)'!B3,countryname,3,FALSE),IF(Introduction!$A$2="Spanish",VLOOKUP('_Data inputs (all)'!B3,countryname,4,FALSE),IF(Introduction!$A$2="Russian",VLOOKUP('_Data inputs (all)'!B3,countryname,5,FALSE),IF(Introduction!$A$2="Arabic",VLOOKUP('_Data inputs (all)'!B3,countryname,6,FALSE),IF(Introduction!$A$2="Chinese",VLOOKUP('_Data inputs (all)'!B3,countryname,7,FALSE),IF(Introduction!$A$2="Other",VLOOKUP('_Data inputs (all)'!B3,countryname,8,FALSE)))))))),"")</f>
        <v/>
      </c>
      <c r="B3" s="42">
        <f>'_Data inputs (all)'!B3</f>
        <v>0</v>
      </c>
      <c r="C3" s="110">
        <f>'_Data inputs (all)'!C3</f>
        <v>0</v>
      </c>
      <c r="D3" s="6" t="e">
        <f>IF(Introduction!$A$2="English",VLOOKUP('_Data inputs (all)'!D3,nametranslations,1,FALSE),IF(Introduction!$A$2="Spanish",VLOOKUP('_Data inputs (all)'!D3,nametranslations,2,FALSE),IF(Introduction!$A$2="French",VLOOKUP('_Data inputs (all)'!D3,nametranslations,3,FALSE),IF(Introduction!$A$2="Arabic",VLOOKUP('_Data inputs (all)'!D3,nametranslations,4,FALSE),IF(Introduction!$A$2="Russian",VLOOKUP('_Data inputs (all)'!D3,nametranslations,5,FALSE),IF(Introduction!$A$2="Chinese",VLOOKUP('_Data inputs (all)'!D3,nametranslations,6,FALSE),IF(Introduction!$A$2="Other",VLOOKUP('_Data inputs (all)'!D3,nametranslations,7,FALSE))))))))</f>
        <v>#N/A</v>
      </c>
      <c r="E3" s="110">
        <f>'_Data inputs (all)'!E3</f>
        <v>0</v>
      </c>
      <c r="F3" s="183">
        <f>'_Data inputs (all)'!F3</f>
        <v>0</v>
      </c>
      <c r="G3" s="6" t="e">
        <f>IF(Introduction!$A$2="English",VLOOKUP('_Data inputs (all)'!G3,nametranslations,1,FALSE),IF(Introduction!$A$2="Spanish",VLOOKUP('_Data inputs (all)'!G3,nametranslations,2,FALSE),IF(Introduction!$A$2="French",VLOOKUP('_Data inputs (all)'!G3,nametranslations,3,FALSE),IF(Introduction!$A$2="Arabic",VLOOKUP('_Data inputs (all)'!G3,nametranslations,4,FALSE),IF(Introduction!$A$2="Russian",VLOOKUP('_Data inputs (all)'!G3,nametranslations,5,FALSE),IF(Introduction!$A$2="Chinese",VLOOKUP('_Data inputs (all)'!G3,nametranslations,6,FALSE),IF(Introduction!$A$2="Other",VLOOKUP('_Data inputs (all)'!G3,nametranslations,7,FALSE))))))))</f>
        <v>#N/A</v>
      </c>
      <c r="H3" s="186">
        <f>'_Data inputs (all)'!H3</f>
        <v>0</v>
      </c>
      <c r="I3" s="187" t="str">
        <f>IF(ISNUMBER('_Data inputs (all)'!I3),'_Data inputs (all)'!I3,"")</f>
        <v/>
      </c>
      <c r="J3" s="187" t="str">
        <f>IF(ISTEXT('_Data inputs (all)'!J3),'_Data inputs (all)'!J3,"")</f>
        <v/>
      </c>
      <c r="K3" s="188" t="str">
        <f>IF(ISTEXT('_Data inputs (all)'!K3),'_Data inputs (all)'!K3,"")</f>
        <v/>
      </c>
      <c r="L3" s="186" t="str">
        <f>IF(ISTEXT('_Data inputs (all)'!L3),'_Data inputs (all)'!L3,"")</f>
        <v/>
      </c>
      <c r="M3" s="188" t="str">
        <f>IF(ISTEXT('_Data inputs (all)'!M3),'_Data inputs (all)'!M3,"")</f>
        <v/>
      </c>
    </row>
    <row xmlns:x14ac="http://schemas.microsoft.com/office/spreadsheetml/2009/9/ac" r="4" x14ac:dyDescent="0.2">
      <c r="A4" s="105" t="str">
        <f>IF(ISTEXT(VLOOKUP('_Data inputs (all)'!B4,countryname,2,FALSE)),IF(Introduction!$A$2="English",VLOOKUP('_Data inputs (all)'!B4,countryname,2,FALSE),IF(Introduction!$A$2="French",VLOOKUP('_Data inputs (all)'!B4,countryname,3,FALSE),IF(Introduction!$A$2="Spanish",VLOOKUP('_Data inputs (all)'!B4,countryname,4,FALSE),IF(Introduction!$A$2="Russian",VLOOKUP('_Data inputs (all)'!B4,countryname,5,FALSE),IF(Introduction!$A$2="Arabic",VLOOKUP('_Data inputs (all)'!B4,countryname,6,FALSE),IF(Introduction!$A$2="Chinese",VLOOKUP('_Data inputs (all)'!B4,countryname,7,FALSE),IF(Introduction!$A$2="Other",VLOOKUP('_Data inputs (all)'!B4,countryname,8,FALSE)))))))),"")</f>
        <v/>
      </c>
      <c r="B4" s="42">
        <f>'_Data inputs (all)'!B4</f>
        <v>0</v>
      </c>
      <c r="C4" s="110">
        <f>'_Data inputs (all)'!C4</f>
        <v>0</v>
      </c>
      <c r="D4" s="6" t="e">
        <f>IF(Introduction!$A$2="English",VLOOKUP('_Data inputs (all)'!D4,nametranslations,1,FALSE),IF(Introduction!$A$2="Spanish",VLOOKUP('_Data inputs (all)'!D4,nametranslations,2,FALSE),IF(Introduction!$A$2="French",VLOOKUP('_Data inputs (all)'!D4,nametranslations,3,FALSE),IF(Introduction!$A$2="Arabic",VLOOKUP('_Data inputs (all)'!D4,nametranslations,4,FALSE),IF(Introduction!$A$2="Russian",VLOOKUP('_Data inputs (all)'!D4,nametranslations,5,FALSE),IF(Introduction!$A$2="Chinese",VLOOKUP('_Data inputs (all)'!D4,nametranslations,6,FALSE),IF(Introduction!$A$2="Other",VLOOKUP('_Data inputs (all)'!D4,nametranslations,7,FALSE))))))))</f>
        <v>#N/A</v>
      </c>
      <c r="E4" s="110">
        <f>'_Data inputs (all)'!E4</f>
        <v>0</v>
      </c>
      <c r="F4" s="183">
        <f>'_Data inputs (all)'!F4</f>
        <v>0</v>
      </c>
      <c r="G4" s="6" t="e">
        <f>IF(Introduction!$A$2="English",VLOOKUP('_Data inputs (all)'!G4,nametranslations,1,FALSE),IF(Introduction!$A$2="Spanish",VLOOKUP('_Data inputs (all)'!G4,nametranslations,2,FALSE),IF(Introduction!$A$2="French",VLOOKUP('_Data inputs (all)'!G4,nametranslations,3,FALSE),IF(Introduction!$A$2="Arabic",VLOOKUP('_Data inputs (all)'!G4,nametranslations,4,FALSE),IF(Introduction!$A$2="Russian",VLOOKUP('_Data inputs (all)'!G4,nametranslations,5,FALSE),IF(Introduction!$A$2="Chinese",VLOOKUP('_Data inputs (all)'!G4,nametranslations,6,FALSE),IF(Introduction!$A$2="Other",VLOOKUP('_Data inputs (all)'!G4,nametranslations,7,FALSE))))))))</f>
        <v>#N/A</v>
      </c>
      <c r="H4" s="186">
        <f>'_Data inputs (all)'!H4</f>
        <v>0</v>
      </c>
      <c r="I4" s="187" t="str">
        <f>IF(ISNUMBER('_Data inputs (all)'!I4),'_Data inputs (all)'!I4,"")</f>
        <v/>
      </c>
      <c r="J4" s="187" t="str">
        <f>IF(ISTEXT('_Data inputs (all)'!J4),'_Data inputs (all)'!J4,"")</f>
        <v/>
      </c>
      <c r="K4" s="188" t="str">
        <f>IF(ISTEXT('_Data inputs (all)'!K4),'_Data inputs (all)'!K4,"")</f>
        <v/>
      </c>
      <c r="L4" s="186" t="str">
        <f>IF(ISTEXT('_Data inputs (all)'!L4),'_Data inputs (all)'!L4,"")</f>
        <v/>
      </c>
      <c r="M4" s="188" t="str">
        <f>IF(ISTEXT('_Data inputs (all)'!M4),'_Data inputs (all)'!M4,"")</f>
        <v/>
      </c>
    </row>
    <row xmlns:x14ac="http://schemas.microsoft.com/office/spreadsheetml/2009/9/ac" r="5" x14ac:dyDescent="0.2">
      <c r="A5" s="105" t="str">
        <f>IF(ISTEXT(VLOOKUP('_Data inputs (all)'!B5,countryname,2,FALSE)),IF(Introduction!$A$2="English",VLOOKUP('_Data inputs (all)'!B5,countryname,2,FALSE),IF(Introduction!$A$2="French",VLOOKUP('_Data inputs (all)'!B5,countryname,3,FALSE),IF(Introduction!$A$2="Spanish",VLOOKUP('_Data inputs (all)'!B5,countryname,4,FALSE),IF(Introduction!$A$2="Russian",VLOOKUP('_Data inputs (all)'!B5,countryname,5,FALSE),IF(Introduction!$A$2="Arabic",VLOOKUP('_Data inputs (all)'!B5,countryname,6,FALSE),IF(Introduction!$A$2="Chinese",VLOOKUP('_Data inputs (all)'!B5,countryname,7,FALSE),IF(Introduction!$A$2="Other",VLOOKUP('_Data inputs (all)'!B5,countryname,8,FALSE)))))))),"")</f>
        <v/>
      </c>
      <c r="B5" s="42">
        <f>'_Data inputs (all)'!B5</f>
        <v>0</v>
      </c>
      <c r="C5" s="110">
        <f>'_Data inputs (all)'!C5</f>
        <v>0</v>
      </c>
      <c r="D5" s="6" t="e">
        <f>IF(Introduction!$A$2="English",VLOOKUP('_Data inputs (all)'!D5,nametranslations,1,FALSE),IF(Introduction!$A$2="Spanish",VLOOKUP('_Data inputs (all)'!D5,nametranslations,2,FALSE),IF(Introduction!$A$2="French",VLOOKUP('_Data inputs (all)'!D5,nametranslations,3,FALSE),IF(Introduction!$A$2="Arabic",VLOOKUP('_Data inputs (all)'!D5,nametranslations,4,FALSE),IF(Introduction!$A$2="Russian",VLOOKUP('_Data inputs (all)'!D5,nametranslations,5,FALSE),IF(Introduction!$A$2="Chinese",VLOOKUP('_Data inputs (all)'!D5,nametranslations,6,FALSE),IF(Introduction!$A$2="Other",VLOOKUP('_Data inputs (all)'!D5,nametranslations,7,FALSE))))))))</f>
        <v>#N/A</v>
      </c>
      <c r="E5" s="110">
        <f>'_Data inputs (all)'!E5</f>
        <v>0</v>
      </c>
      <c r="F5" s="185">
        <f>'_Data inputs (all)'!F5</f>
        <v>0</v>
      </c>
      <c r="G5" s="6" t="e">
        <f>IF(Introduction!$A$2="English",VLOOKUP('_Data inputs (all)'!G5,nametranslations,1,FALSE),IF(Introduction!$A$2="Spanish",VLOOKUP('_Data inputs (all)'!G5,nametranslations,2,FALSE),IF(Introduction!$A$2="French",VLOOKUP('_Data inputs (all)'!G5,nametranslations,3,FALSE),IF(Introduction!$A$2="Arabic",VLOOKUP('_Data inputs (all)'!G5,nametranslations,4,FALSE),IF(Introduction!$A$2="Russian",VLOOKUP('_Data inputs (all)'!G5,nametranslations,5,FALSE),IF(Introduction!$A$2="Chinese",VLOOKUP('_Data inputs (all)'!G5,nametranslations,6,FALSE),IF(Introduction!$A$2="Other",VLOOKUP('_Data inputs (all)'!G5,nametranslations,7,FALSE))))))))</f>
        <v>#N/A</v>
      </c>
      <c r="H5" s="186">
        <f>'_Data inputs (all)'!H5</f>
        <v>0</v>
      </c>
      <c r="I5" s="187" t="str">
        <f>IF(ISNUMBER('_Data inputs (all)'!I5),'_Data inputs (all)'!I5,"")</f>
        <v/>
      </c>
      <c r="J5" s="187" t="str">
        <f>IF(ISTEXT('_Data inputs (all)'!J5),'_Data inputs (all)'!J5,"")</f>
        <v/>
      </c>
      <c r="K5" s="188" t="str">
        <f>IF(ISTEXT('_Data inputs (all)'!K5),'_Data inputs (all)'!K5,"")</f>
        <v/>
      </c>
      <c r="L5" s="186" t="str">
        <f>IF(ISTEXT('_Data inputs (all)'!L5),'_Data inputs (all)'!L5,"")</f>
        <v/>
      </c>
      <c r="M5" s="188" t="str">
        <f>IF(ISTEXT('_Data inputs (all)'!M5),'_Data inputs (all)'!M5,"")</f>
        <v/>
      </c>
    </row>
    <row xmlns:x14ac="http://schemas.microsoft.com/office/spreadsheetml/2009/9/ac" r="6" x14ac:dyDescent="0.2">
      <c r="A6" s="105" t="str">
        <f>IF(ISTEXT(VLOOKUP('_Data inputs (all)'!B6,countryname,2,FALSE)),IF(Introduction!$A$2="English",VLOOKUP('_Data inputs (all)'!B6,countryname,2,FALSE),IF(Introduction!$A$2="French",VLOOKUP('_Data inputs (all)'!B6,countryname,3,FALSE),IF(Introduction!$A$2="Spanish",VLOOKUP('_Data inputs (all)'!B6,countryname,4,FALSE),IF(Introduction!$A$2="Russian",VLOOKUP('_Data inputs (all)'!B6,countryname,5,FALSE),IF(Introduction!$A$2="Arabic",VLOOKUP('_Data inputs (all)'!B6,countryname,6,FALSE),IF(Introduction!$A$2="Chinese",VLOOKUP('_Data inputs (all)'!B6,countryname,7,FALSE),IF(Introduction!$A$2="Other",VLOOKUP('_Data inputs (all)'!B6,countryname,8,FALSE)))))))),"")</f>
        <v/>
      </c>
      <c r="B6" s="42">
        <f>'_Data inputs (all)'!B6</f>
        <v>0</v>
      </c>
      <c r="C6" s="110">
        <f>'_Data inputs (all)'!C6</f>
        <v>0</v>
      </c>
      <c r="D6" s="6" t="e">
        <f>IF(Introduction!$A$2="English",VLOOKUP('_Data inputs (all)'!D6,nametranslations,1,FALSE),IF(Introduction!$A$2="Spanish",VLOOKUP('_Data inputs (all)'!D6,nametranslations,2,FALSE),IF(Introduction!$A$2="French",VLOOKUP('_Data inputs (all)'!D6,nametranslations,3,FALSE),IF(Introduction!$A$2="Arabic",VLOOKUP('_Data inputs (all)'!D6,nametranslations,4,FALSE),IF(Introduction!$A$2="Russian",VLOOKUP('_Data inputs (all)'!D6,nametranslations,5,FALSE),IF(Introduction!$A$2="Chinese",VLOOKUP('_Data inputs (all)'!D6,nametranslations,6,FALSE),IF(Introduction!$A$2="Other",VLOOKUP('_Data inputs (all)'!D6,nametranslations,7,FALSE))))))))</f>
        <v>#N/A</v>
      </c>
      <c r="E6" s="110">
        <f>'_Data inputs (all)'!E6</f>
        <v>0</v>
      </c>
      <c r="F6" s="185">
        <f>'_Data inputs (all)'!F6</f>
        <v>0</v>
      </c>
      <c r="G6" s="6" t="e">
        <f>IF(Introduction!$A$2="English",VLOOKUP('_Data inputs (all)'!G6,nametranslations,1,FALSE),IF(Introduction!$A$2="Spanish",VLOOKUP('_Data inputs (all)'!G6,nametranslations,2,FALSE),IF(Introduction!$A$2="French",VLOOKUP('_Data inputs (all)'!G6,nametranslations,3,FALSE),IF(Introduction!$A$2="Arabic",VLOOKUP('_Data inputs (all)'!G6,nametranslations,4,FALSE),IF(Introduction!$A$2="Russian",VLOOKUP('_Data inputs (all)'!G6,nametranslations,5,FALSE),IF(Introduction!$A$2="Chinese",VLOOKUP('_Data inputs (all)'!G6,nametranslations,6,FALSE),IF(Introduction!$A$2="Other",VLOOKUP('_Data inputs (all)'!G6,nametranslations,7,FALSE))))))))</f>
        <v>#N/A</v>
      </c>
      <c r="H6" s="186">
        <f>'_Data inputs (all)'!H6</f>
        <v>0</v>
      </c>
      <c r="I6" s="187" t="str">
        <f>IF(ISNUMBER('_Data inputs (all)'!I6),'_Data inputs (all)'!I6,"")</f>
        <v/>
      </c>
      <c r="J6" s="187" t="str">
        <f>IF(ISTEXT('_Data inputs (all)'!J6),'_Data inputs (all)'!J6,"")</f>
        <v/>
      </c>
      <c r="K6" s="188" t="str">
        <f>IF(ISTEXT('_Data inputs (all)'!K6),'_Data inputs (all)'!K6,"")</f>
        <v/>
      </c>
      <c r="L6" s="186" t="str">
        <f>IF(ISTEXT('_Data inputs (all)'!L6),'_Data inputs (all)'!L6,"")</f>
        <v/>
      </c>
      <c r="M6" s="188" t="str">
        <f>IF(ISTEXT('_Data inputs (all)'!M6),'_Data inputs (all)'!M6,"")</f>
        <v/>
      </c>
    </row>
    <row xmlns:x14ac="http://schemas.microsoft.com/office/spreadsheetml/2009/9/ac" r="7" x14ac:dyDescent="0.2">
      <c r="A7" s="105" t="str">
        <f>IF(ISTEXT(VLOOKUP('_Data inputs (all)'!B7,countryname,2,FALSE)),IF(Introduction!$A$2="English",VLOOKUP('_Data inputs (all)'!B7,countryname,2,FALSE),IF(Introduction!$A$2="French",VLOOKUP('_Data inputs (all)'!B7,countryname,3,FALSE),IF(Introduction!$A$2="Spanish",VLOOKUP('_Data inputs (all)'!B7,countryname,4,FALSE),IF(Introduction!$A$2="Russian",VLOOKUP('_Data inputs (all)'!B7,countryname,5,FALSE),IF(Introduction!$A$2="Arabic",VLOOKUP('_Data inputs (all)'!B7,countryname,6,FALSE),IF(Introduction!$A$2="Chinese",VLOOKUP('_Data inputs (all)'!B7,countryname,7,FALSE),IF(Introduction!$A$2="Other",VLOOKUP('_Data inputs (all)'!B7,countryname,8,FALSE)))))))),"")</f>
        <v/>
      </c>
      <c r="B7" s="42">
        <f>'_Data inputs (all)'!B7</f>
        <v>0</v>
      </c>
      <c r="C7" s="110">
        <f>'_Data inputs (all)'!C7</f>
        <v>0</v>
      </c>
      <c r="D7" s="6" t="e">
        <f>IF(Introduction!$A$2="English",VLOOKUP('_Data inputs (all)'!D7,nametranslations,1,FALSE),IF(Introduction!$A$2="Spanish",VLOOKUP('_Data inputs (all)'!D7,nametranslations,2,FALSE),IF(Introduction!$A$2="French",VLOOKUP('_Data inputs (all)'!D7,nametranslations,3,FALSE),IF(Introduction!$A$2="Arabic",VLOOKUP('_Data inputs (all)'!D7,nametranslations,4,FALSE),IF(Introduction!$A$2="Russian",VLOOKUP('_Data inputs (all)'!D7,nametranslations,5,FALSE),IF(Introduction!$A$2="Chinese",VLOOKUP('_Data inputs (all)'!D7,nametranslations,6,FALSE),IF(Introduction!$A$2="Other",VLOOKUP('_Data inputs (all)'!D7,nametranslations,7,FALSE))))))))</f>
        <v>#N/A</v>
      </c>
      <c r="E7" s="110">
        <f>'_Data inputs (all)'!E7</f>
        <v>0</v>
      </c>
      <c r="F7" s="151">
        <f>'A- Generated'!D12</f>
        <v>0</v>
      </c>
      <c r="G7" s="6" t="e">
        <f>IF(Introduction!$A$2="English",VLOOKUP('_Data inputs (all)'!G7,nametranslations,1,FALSE),IF(Introduction!$A$2="Spanish",VLOOKUP('_Data inputs (all)'!G7,nametranslations,2,FALSE),IF(Introduction!$A$2="French",VLOOKUP('_Data inputs (all)'!G7,nametranslations,3,FALSE),IF(Introduction!$A$2="Arabic",VLOOKUP('_Data inputs (all)'!G7,nametranslations,4,FALSE),IF(Introduction!$A$2="Russian",VLOOKUP('_Data inputs (all)'!G7,nametranslations,5,FALSE),IF(Introduction!$A$2="Chinese",VLOOKUP('_Data inputs (all)'!G7,nametranslations,6,FALSE),IF(Introduction!$A$2="Other",VLOOKUP('_Data inputs (all)'!G7,nametranslations,7,FALSE))))))))</f>
        <v>#N/A</v>
      </c>
      <c r="H7" s="186">
        <f>'_Data inputs (all)'!H7</f>
        <v>0</v>
      </c>
      <c r="I7" s="187" t="str">
        <f>IF(ISNUMBER('_Data inputs (all)'!I7),'_Data inputs (all)'!I7,"")</f>
        <v/>
      </c>
      <c r="J7" s="187" t="str">
        <f>IF(ISTEXT('_Data inputs (all)'!J7),'_Data inputs (all)'!J7,"")</f>
        <v/>
      </c>
      <c r="K7" s="188" t="str">
        <f>IF(ISTEXT('_Data inputs (all)'!K7),'_Data inputs (all)'!K7,"")</f>
        <v/>
      </c>
      <c r="L7" s="186" t="str">
        <f>IF(ISTEXT('_Data inputs (all)'!L7),'_Data inputs (all)'!L7,"")</f>
        <v/>
      </c>
      <c r="M7" s="188" t="str">
        <f>IF(ISTEXT('_Data inputs (all)'!M7),'_Data inputs (all)'!M7,"")</f>
        <v/>
      </c>
    </row>
    <row xmlns:x14ac="http://schemas.microsoft.com/office/spreadsheetml/2009/9/ac" r="8" x14ac:dyDescent="0.2">
      <c r="A8" s="105" t="str">
        <f>IF(ISTEXT(VLOOKUP('_Data inputs (all)'!B8,countryname,2,FALSE)),IF(Introduction!$A$2="English",VLOOKUP('_Data inputs (all)'!B8,countryname,2,FALSE),IF(Introduction!$A$2="French",VLOOKUP('_Data inputs (all)'!B8,countryname,3,FALSE),IF(Introduction!$A$2="Spanish",VLOOKUP('_Data inputs (all)'!B8,countryname,4,FALSE),IF(Introduction!$A$2="Russian",VLOOKUP('_Data inputs (all)'!B8,countryname,5,FALSE),IF(Introduction!$A$2="Arabic",VLOOKUP('_Data inputs (all)'!B8,countryname,6,FALSE),IF(Introduction!$A$2="Chinese",VLOOKUP('_Data inputs (all)'!B8,countryname,7,FALSE),IF(Introduction!$A$2="Other",VLOOKUP('_Data inputs (all)'!B8,countryname,8,FALSE)))))))),"")</f>
        <v/>
      </c>
      <c r="B8" s="42">
        <f>'_Data inputs (all)'!B8</f>
        <v>0</v>
      </c>
      <c r="C8" s="110">
        <f>'_Data inputs (all)'!C8</f>
        <v>0</v>
      </c>
      <c r="D8" s="6" t="e">
        <f>IF(Introduction!$A$2="English",VLOOKUP('_Data inputs (all)'!D8,nametranslations,1,FALSE),IF(Introduction!$A$2="Spanish",VLOOKUP('_Data inputs (all)'!D8,nametranslations,2,FALSE),IF(Introduction!$A$2="French",VLOOKUP('_Data inputs (all)'!D8,nametranslations,3,FALSE),IF(Introduction!$A$2="Arabic",VLOOKUP('_Data inputs (all)'!D8,nametranslations,4,FALSE),IF(Introduction!$A$2="Russian",VLOOKUP('_Data inputs (all)'!D8,nametranslations,5,FALSE),IF(Introduction!$A$2="Chinese",VLOOKUP('_Data inputs (all)'!D8,nametranslations,6,FALSE),IF(Introduction!$A$2="Other",VLOOKUP('_Data inputs (all)'!D8,nametranslations,7,FALSE))))))))</f>
        <v>#N/A</v>
      </c>
      <c r="E8" s="110">
        <f>'_Data inputs (all)'!E8</f>
        <v>0</v>
      </c>
      <c r="F8" s="183">
        <f>'_Data inputs (all)'!F8</f>
        <v>0</v>
      </c>
      <c r="G8" s="6" t="e">
        <f>IF(Introduction!$A$2="English",VLOOKUP('_Data inputs (all)'!G8,nametranslations,1,FALSE),IF(Introduction!$A$2="Spanish",VLOOKUP('_Data inputs (all)'!G8,nametranslations,2,FALSE),IF(Introduction!$A$2="French",VLOOKUP('_Data inputs (all)'!G8,nametranslations,3,FALSE),IF(Introduction!$A$2="Arabic",VLOOKUP('_Data inputs (all)'!G8,nametranslations,4,FALSE),IF(Introduction!$A$2="Russian",VLOOKUP('_Data inputs (all)'!G8,nametranslations,5,FALSE),IF(Introduction!$A$2="Chinese",VLOOKUP('_Data inputs (all)'!G8,nametranslations,6,FALSE),IF(Introduction!$A$2="Other",VLOOKUP('_Data inputs (all)'!G8,nametranslations,7,FALSE))))))))</f>
        <v>#N/A</v>
      </c>
      <c r="H8" s="186">
        <f>'_Data inputs (all)'!H8</f>
        <v>0</v>
      </c>
      <c r="I8" s="187" t="str">
        <f>IF(ISNUMBER('_Data inputs (all)'!I8),'_Data inputs (all)'!I8,"")</f>
        <v/>
      </c>
      <c r="J8" s="187" t="str">
        <f>IF(ISTEXT('_Data inputs (all)'!J8),'_Data inputs (all)'!J8,"")</f>
        <v/>
      </c>
      <c r="K8" s="188" t="str">
        <f>IF(ISTEXT('_Data inputs (all)'!K8),'_Data inputs (all)'!K8,"")</f>
        <v/>
      </c>
      <c r="L8" s="186" t="str">
        <f>IF(ISTEXT('_Data inputs (all)'!L8),'_Data inputs (all)'!L8,"")</f>
        <v/>
      </c>
      <c r="M8" s="188" t="str">
        <f>IF(ISTEXT('_Data inputs (all)'!M8),'_Data inputs (all)'!M8,"")</f>
        <v/>
      </c>
    </row>
    <row xmlns:x14ac="http://schemas.microsoft.com/office/spreadsheetml/2009/9/ac" r="9" x14ac:dyDescent="0.2">
      <c r="A9" s="105" t="str">
        <f>IF(ISTEXT(VLOOKUP('_Data inputs (all)'!B9,countryname,2,FALSE)),IF(Introduction!$A$2="English",VLOOKUP('_Data inputs (all)'!B9,countryname,2,FALSE),IF(Introduction!$A$2="French",VLOOKUP('_Data inputs (all)'!B9,countryname,3,FALSE),IF(Introduction!$A$2="Spanish",VLOOKUP('_Data inputs (all)'!B9,countryname,4,FALSE),IF(Introduction!$A$2="Russian",VLOOKUP('_Data inputs (all)'!B9,countryname,5,FALSE),IF(Introduction!$A$2="Arabic",VLOOKUP('_Data inputs (all)'!B9,countryname,6,FALSE),IF(Introduction!$A$2="Chinese",VLOOKUP('_Data inputs (all)'!B9,countryname,7,FALSE),IF(Introduction!$A$2="Other",VLOOKUP('_Data inputs (all)'!B9,countryname,8,FALSE)))))))),"")</f>
        <v/>
      </c>
      <c r="B9" s="42">
        <f>'_Data inputs (all)'!B9</f>
        <v>0</v>
      </c>
      <c r="C9" s="110">
        <f>'_Data inputs (all)'!C9</f>
        <v>0</v>
      </c>
      <c r="D9" s="6" t="e">
        <f>IF(Introduction!$A$2="English",VLOOKUP('_Data inputs (all)'!D9,nametranslations,1,FALSE),IF(Introduction!$A$2="Spanish",VLOOKUP('_Data inputs (all)'!D9,nametranslations,2,FALSE),IF(Introduction!$A$2="French",VLOOKUP('_Data inputs (all)'!D9,nametranslations,3,FALSE),IF(Introduction!$A$2="Arabic",VLOOKUP('_Data inputs (all)'!D9,nametranslations,4,FALSE),IF(Introduction!$A$2="Russian",VLOOKUP('_Data inputs (all)'!D9,nametranslations,5,FALSE),IF(Introduction!$A$2="Chinese",VLOOKUP('_Data inputs (all)'!D9,nametranslations,6,FALSE),IF(Introduction!$A$2="Other",VLOOKUP('_Data inputs (all)'!D9,nametranslations,7,FALSE))))))))</f>
        <v>#N/A</v>
      </c>
      <c r="E9" s="110">
        <f>'_Data inputs (all)'!E9</f>
        <v>0</v>
      </c>
      <c r="F9" s="184">
        <f>IF(H9="R",'_Data inputs (all)'!F9,'A- Generated'!D15)</f>
        <v>0</v>
      </c>
      <c r="G9" s="6" t="e">
        <f>IF(Introduction!$A$2="English",VLOOKUP('_Data inputs (all)'!G9,nametranslations,1,FALSE),IF(Introduction!$A$2="Spanish",VLOOKUP('_Data inputs (all)'!G9,nametranslations,2,FALSE),IF(Introduction!$A$2="French",VLOOKUP('_Data inputs (all)'!G9,nametranslations,3,FALSE),IF(Introduction!$A$2="Arabic",VLOOKUP('_Data inputs (all)'!G9,nametranslations,4,FALSE),IF(Introduction!$A$2="Russian",VLOOKUP('_Data inputs (all)'!G9,nametranslations,5,FALSE),IF(Introduction!$A$2="Chinese",VLOOKUP('_Data inputs (all)'!G9,nametranslations,6,FALSE),IF(Introduction!$A$2="Other",VLOOKUP('_Data inputs (all)'!G9,nametranslations,7,FALSE))))))))</f>
        <v>#N/A</v>
      </c>
      <c r="H9" s="186">
        <f>'_Data inputs (all)'!H9</f>
        <v>0</v>
      </c>
      <c r="I9" s="187" t="str">
        <f>IF(ISNUMBER('_Data inputs (all)'!I9),'_Data inputs (all)'!I9,"")</f>
        <v/>
      </c>
      <c r="J9" s="187" t="str">
        <f>IF(ISTEXT('_Data inputs (all)'!J9),'_Data inputs (all)'!J9,"")</f>
        <v/>
      </c>
      <c r="K9" s="188" t="str">
        <f>IF(ISTEXT('_Data inputs (all)'!K9),'_Data inputs (all)'!K9,"")</f>
        <v/>
      </c>
      <c r="L9" s="186" t="str">
        <f>IF(ISTEXT('_Data inputs (all)'!L9),'_Data inputs (all)'!L9,"")</f>
        <v/>
      </c>
      <c r="M9" s="188" t="str">
        <f>IF(ISTEXT('_Data inputs (all)'!M9),'_Data inputs (all)'!M9,"")</f>
        <v/>
      </c>
    </row>
    <row xmlns:x14ac="http://schemas.microsoft.com/office/spreadsheetml/2009/9/ac" r="10" x14ac:dyDescent="0.2">
      <c r="A10" s="105" t="str">
        <f>IF(ISTEXT(VLOOKUP('_Data inputs (all)'!B10,countryname,2,FALSE)),IF(Introduction!$A$2="English",VLOOKUP('_Data inputs (all)'!B10,countryname,2,FALSE),IF(Introduction!$A$2="French",VLOOKUP('_Data inputs (all)'!B10,countryname,3,FALSE),IF(Introduction!$A$2="Spanish",VLOOKUP('_Data inputs (all)'!B10,countryname,4,FALSE),IF(Introduction!$A$2="Russian",VLOOKUP('_Data inputs (all)'!B10,countryname,5,FALSE),IF(Introduction!$A$2="Arabic",VLOOKUP('_Data inputs (all)'!B10,countryname,6,FALSE),IF(Introduction!$A$2="Chinese",VLOOKUP('_Data inputs (all)'!B10,countryname,7,FALSE),IF(Introduction!$A$2="Other",VLOOKUP('_Data inputs (all)'!B10,countryname,8,FALSE)))))))),"")</f>
        <v/>
      </c>
      <c r="B10" s="42">
        <f>'_Data inputs (all)'!B10</f>
        <v>0</v>
      </c>
      <c r="C10" s="110">
        <f>'_Data inputs (all)'!C10</f>
        <v>0</v>
      </c>
      <c r="D10" s="6" t="e">
        <f>IF(Introduction!$A$2="English",VLOOKUP('_Data inputs (all)'!D10,nametranslations,1,FALSE),IF(Introduction!$A$2="Spanish",VLOOKUP('_Data inputs (all)'!D10,nametranslations,2,FALSE),IF(Introduction!$A$2="French",VLOOKUP('_Data inputs (all)'!D10,nametranslations,3,FALSE),IF(Introduction!$A$2="Arabic",VLOOKUP('_Data inputs (all)'!D10,nametranslations,4,FALSE),IF(Introduction!$A$2="Russian",VLOOKUP('_Data inputs (all)'!D10,nametranslations,5,FALSE),IF(Introduction!$A$2="Chinese",VLOOKUP('_Data inputs (all)'!D10,nametranslations,6,FALSE),IF(Introduction!$A$2="Other",VLOOKUP('_Data inputs (all)'!D10,nametranslations,7,FALSE))))))))</f>
        <v>#N/A</v>
      </c>
      <c r="E10" s="110">
        <f>'_Data inputs (all)'!E10</f>
        <v>0</v>
      </c>
      <c r="F10" s="183">
        <f>'_Data inputs (all)'!F10</f>
        <v>0</v>
      </c>
      <c r="G10" s="6" t="e">
        <f>IF(Introduction!$A$2="English",VLOOKUP('_Data inputs (all)'!G10,nametranslations,1,FALSE),IF(Introduction!$A$2="Spanish",VLOOKUP('_Data inputs (all)'!G10,nametranslations,2,FALSE),IF(Introduction!$A$2="French",VLOOKUP('_Data inputs (all)'!G10,nametranslations,3,FALSE),IF(Introduction!$A$2="Arabic",VLOOKUP('_Data inputs (all)'!G10,nametranslations,4,FALSE),IF(Introduction!$A$2="Russian",VLOOKUP('_Data inputs (all)'!G10,nametranslations,5,FALSE),IF(Introduction!$A$2="Chinese",VLOOKUP('_Data inputs (all)'!G10,nametranslations,6,FALSE),IF(Introduction!$A$2="Other",VLOOKUP('_Data inputs (all)'!G10,nametranslations,7,FALSE))))))))</f>
        <v>#N/A</v>
      </c>
      <c r="H10" s="186">
        <f>'_Data inputs (all)'!H10</f>
        <v>0</v>
      </c>
      <c r="I10" s="187" t="str">
        <f>IF(ISNUMBER('_Data inputs (all)'!I10),'_Data inputs (all)'!I10,"")</f>
        <v/>
      </c>
      <c r="J10" s="187" t="str">
        <f>IF(ISTEXT('_Data inputs (all)'!J10),'_Data inputs (all)'!J10,"")</f>
        <v/>
      </c>
      <c r="K10" s="188" t="str">
        <f>IF(ISTEXT('_Data inputs (all)'!K10),'_Data inputs (all)'!K10,"")</f>
        <v/>
      </c>
      <c r="L10" s="186" t="str">
        <f>IF(ISTEXT('_Data inputs (all)'!L10),'_Data inputs (all)'!L10,"")</f>
        <v/>
      </c>
      <c r="M10" s="188" t="str">
        <f>IF(ISTEXT('_Data inputs (all)'!M10),'_Data inputs (all)'!M10,"")</f>
        <v/>
      </c>
    </row>
    <row xmlns:x14ac="http://schemas.microsoft.com/office/spreadsheetml/2009/9/ac" r="11" x14ac:dyDescent="0.2">
      <c r="A11" s="105" t="str">
        <f>IF(ISTEXT(VLOOKUP('_Data inputs (all)'!B11,countryname,2,FALSE)),IF(Introduction!$A$2="English",VLOOKUP('_Data inputs (all)'!B11,countryname,2,FALSE),IF(Introduction!$A$2="French",VLOOKUP('_Data inputs (all)'!B11,countryname,3,FALSE),IF(Introduction!$A$2="Spanish",VLOOKUP('_Data inputs (all)'!B11,countryname,4,FALSE),IF(Introduction!$A$2="Russian",VLOOKUP('_Data inputs (all)'!B11,countryname,5,FALSE),IF(Introduction!$A$2="Arabic",VLOOKUP('_Data inputs (all)'!B11,countryname,6,FALSE),IF(Introduction!$A$2="Chinese",VLOOKUP('_Data inputs (all)'!B11,countryname,7,FALSE),IF(Introduction!$A$2="Other",VLOOKUP('_Data inputs (all)'!B11,countryname,8,FALSE)))))))),"")</f>
        <v/>
      </c>
      <c r="B11" s="42">
        <f>'_Data inputs (all)'!B11</f>
        <v>0</v>
      </c>
      <c r="C11" s="110">
        <f>'_Data inputs (all)'!C11</f>
        <v>0</v>
      </c>
      <c r="D11" s="6" t="e">
        <f>IF(Introduction!$A$2="English",VLOOKUP('_Data inputs (all)'!D11,nametranslations,1,FALSE),IF(Introduction!$A$2="Spanish",VLOOKUP('_Data inputs (all)'!D11,nametranslations,2,FALSE),IF(Introduction!$A$2="French",VLOOKUP('_Data inputs (all)'!D11,nametranslations,3,FALSE),IF(Introduction!$A$2="Arabic",VLOOKUP('_Data inputs (all)'!D11,nametranslations,4,FALSE),IF(Introduction!$A$2="Russian",VLOOKUP('_Data inputs (all)'!D11,nametranslations,5,FALSE),IF(Introduction!$A$2="Chinese",VLOOKUP('_Data inputs (all)'!D11,nametranslations,6,FALSE),IF(Introduction!$A$2="Other",VLOOKUP('_Data inputs (all)'!D11,nametranslations,7,FALSE))))))))</f>
        <v>#N/A</v>
      </c>
      <c r="E11" s="110">
        <f>'_Data inputs (all)'!E11</f>
        <v>0</v>
      </c>
      <c r="F11" s="183">
        <f>'_Data inputs (all)'!F11</f>
        <v>0</v>
      </c>
      <c r="G11" s="6" t="e">
        <f>IF(Introduction!$A$2="English",VLOOKUP('_Data inputs (all)'!G11,nametranslations,1,FALSE),IF(Introduction!$A$2="Spanish",VLOOKUP('_Data inputs (all)'!G11,nametranslations,2,FALSE),IF(Introduction!$A$2="French",VLOOKUP('_Data inputs (all)'!G11,nametranslations,3,FALSE),IF(Introduction!$A$2="Arabic",VLOOKUP('_Data inputs (all)'!G11,nametranslations,4,FALSE),IF(Introduction!$A$2="Russian",VLOOKUP('_Data inputs (all)'!G11,nametranslations,5,FALSE),IF(Introduction!$A$2="Chinese",VLOOKUP('_Data inputs (all)'!G11,nametranslations,6,FALSE),IF(Introduction!$A$2="Other",VLOOKUP('_Data inputs (all)'!G11,nametranslations,7,FALSE))))))))</f>
        <v>#N/A</v>
      </c>
      <c r="H11" s="186">
        <f>'_Data inputs (all)'!H11</f>
        <v>0</v>
      </c>
      <c r="I11" s="187" t="str">
        <f>IF(ISNUMBER('_Data inputs (all)'!I11),'_Data inputs (all)'!I11,"")</f>
        <v/>
      </c>
      <c r="J11" s="187" t="str">
        <f>IF(ISTEXT('_Data inputs (all)'!J11),'_Data inputs (all)'!J11,"")</f>
        <v/>
      </c>
      <c r="K11" s="188" t="str">
        <f>IF(ISTEXT('_Data inputs (all)'!K11),'_Data inputs (all)'!K11,"")</f>
        <v/>
      </c>
      <c r="L11" s="186" t="str">
        <f>IF(ISTEXT('_Data inputs (all)'!L11),'_Data inputs (all)'!L11,"")</f>
        <v/>
      </c>
      <c r="M11" s="188" t="str">
        <f>IF(ISTEXT('_Data inputs (all)'!M11),'_Data inputs (all)'!M11,"")</f>
        <v/>
      </c>
    </row>
    <row xmlns:x14ac="http://schemas.microsoft.com/office/spreadsheetml/2009/9/ac" r="12" x14ac:dyDescent="0.2">
      <c r="A12" s="105" t="str">
        <f>IF(ISTEXT(VLOOKUP('_Data inputs (all)'!B12,countryname,2,FALSE)),IF(Introduction!$A$2="English",VLOOKUP('_Data inputs (all)'!B12,countryname,2,FALSE),IF(Introduction!$A$2="French",VLOOKUP('_Data inputs (all)'!B12,countryname,3,FALSE),IF(Introduction!$A$2="Spanish",VLOOKUP('_Data inputs (all)'!B12,countryname,4,FALSE),IF(Introduction!$A$2="Russian",VLOOKUP('_Data inputs (all)'!B12,countryname,5,FALSE),IF(Introduction!$A$2="Arabic",VLOOKUP('_Data inputs (all)'!B12,countryname,6,FALSE),IF(Introduction!$A$2="Chinese",VLOOKUP('_Data inputs (all)'!B12,countryname,7,FALSE),IF(Introduction!$A$2="Other",VLOOKUP('_Data inputs (all)'!B12,countryname,8,FALSE)))))))),"")</f>
        <v/>
      </c>
      <c r="B12" s="42">
        <f>'_Data inputs (all)'!B12</f>
        <v>0</v>
      </c>
      <c r="C12" s="110">
        <f>'_Data inputs (all)'!C12</f>
        <v>0</v>
      </c>
      <c r="D12" s="6" t="e">
        <f>IF(Introduction!$A$2="English",VLOOKUP('_Data inputs (all)'!D12,nametranslations,1,FALSE),IF(Introduction!$A$2="Spanish",VLOOKUP('_Data inputs (all)'!D12,nametranslations,2,FALSE),IF(Introduction!$A$2="French",VLOOKUP('_Data inputs (all)'!D12,nametranslations,3,FALSE),IF(Introduction!$A$2="Arabic",VLOOKUP('_Data inputs (all)'!D12,nametranslations,4,FALSE),IF(Introduction!$A$2="Russian",VLOOKUP('_Data inputs (all)'!D12,nametranslations,5,FALSE),IF(Introduction!$A$2="Chinese",VLOOKUP('_Data inputs (all)'!D12,nametranslations,6,FALSE),IF(Introduction!$A$2="Other",VLOOKUP('_Data inputs (all)'!D12,nametranslations,7,FALSE))))))))</f>
        <v>#N/A</v>
      </c>
      <c r="E12" s="110">
        <f>'_Data inputs (all)'!E12</f>
        <v>0</v>
      </c>
      <c r="F12" s="183">
        <f>'_Data inputs (all)'!F12</f>
        <v>0</v>
      </c>
      <c r="G12" s="6" t="e">
        <f>IF(Introduction!$A$2="English",VLOOKUP('_Data inputs (all)'!G12,nametranslations,1,FALSE),IF(Introduction!$A$2="Spanish",VLOOKUP('_Data inputs (all)'!G12,nametranslations,2,FALSE),IF(Introduction!$A$2="French",VLOOKUP('_Data inputs (all)'!G12,nametranslations,3,FALSE),IF(Introduction!$A$2="Arabic",VLOOKUP('_Data inputs (all)'!G12,nametranslations,4,FALSE),IF(Introduction!$A$2="Russian",VLOOKUP('_Data inputs (all)'!G12,nametranslations,5,FALSE),IF(Introduction!$A$2="Chinese",VLOOKUP('_Data inputs (all)'!G12,nametranslations,6,FALSE),IF(Introduction!$A$2="Other",VLOOKUP('_Data inputs (all)'!G12,nametranslations,7,FALSE))))))))</f>
        <v>#N/A</v>
      </c>
      <c r="H12" s="186">
        <f>'_Data inputs (all)'!H12</f>
        <v>0</v>
      </c>
      <c r="I12" s="187" t="str">
        <f>IF(ISNUMBER('_Data inputs (all)'!I12),'_Data inputs (all)'!I12,"")</f>
        <v/>
      </c>
      <c r="J12" s="187" t="str">
        <f>IF(ISTEXT('_Data inputs (all)'!J12),'_Data inputs (all)'!J12,"")</f>
        <v/>
      </c>
      <c r="K12" s="188" t="str">
        <f>IF(ISTEXT('_Data inputs (all)'!K12),'_Data inputs (all)'!K12,"")</f>
        <v/>
      </c>
      <c r="L12" s="186" t="str">
        <f>IF(ISTEXT('_Data inputs (all)'!L12),'_Data inputs (all)'!L12,"")</f>
        <v/>
      </c>
      <c r="M12" s="188" t="str">
        <f>IF(ISTEXT('_Data inputs (all)'!M12),'_Data inputs (all)'!M12,"")</f>
        <v/>
      </c>
    </row>
    <row xmlns:x14ac="http://schemas.microsoft.com/office/spreadsheetml/2009/9/ac" r="13" x14ac:dyDescent="0.2">
      <c r="A13" s="105" t="str">
        <f>IF(ISTEXT(VLOOKUP('_Data inputs (all)'!B13,countryname,2,FALSE)),IF(Introduction!$A$2="English",VLOOKUP('_Data inputs (all)'!B13,countryname,2,FALSE),IF(Introduction!$A$2="French",VLOOKUP('_Data inputs (all)'!B13,countryname,3,FALSE),IF(Introduction!$A$2="Spanish",VLOOKUP('_Data inputs (all)'!B13,countryname,4,FALSE),IF(Introduction!$A$2="Russian",VLOOKUP('_Data inputs (all)'!B13,countryname,5,FALSE),IF(Introduction!$A$2="Arabic",VLOOKUP('_Data inputs (all)'!B13,countryname,6,FALSE),IF(Introduction!$A$2="Chinese",VLOOKUP('_Data inputs (all)'!B13,countryname,7,FALSE),IF(Introduction!$A$2="Other",VLOOKUP('_Data inputs (all)'!B13,countryname,8,FALSE)))))))),"")</f>
        <v/>
      </c>
      <c r="B13" s="42">
        <f>'_Data inputs (all)'!B13</f>
        <v>0</v>
      </c>
      <c r="C13" s="110">
        <f>'_Data inputs (all)'!C13</f>
        <v>0</v>
      </c>
      <c r="D13" s="6" t="e">
        <f>IF(Introduction!$A$2="English",VLOOKUP('_Data inputs (all)'!D13,nametranslations,1,FALSE),IF(Introduction!$A$2="Spanish",VLOOKUP('_Data inputs (all)'!D13,nametranslations,2,FALSE),IF(Introduction!$A$2="French",VLOOKUP('_Data inputs (all)'!D13,nametranslations,3,FALSE),IF(Introduction!$A$2="Arabic",VLOOKUP('_Data inputs (all)'!D13,nametranslations,4,FALSE),IF(Introduction!$A$2="Russian",VLOOKUP('_Data inputs (all)'!D13,nametranslations,5,FALSE),IF(Introduction!$A$2="Chinese",VLOOKUP('_Data inputs (all)'!D13,nametranslations,6,FALSE),IF(Introduction!$A$2="Other",VLOOKUP('_Data inputs (all)'!D13,nametranslations,7,FALSE))))))))</f>
        <v>#N/A</v>
      </c>
      <c r="E13" s="110">
        <f>'_Data inputs (all)'!E13</f>
        <v>0</v>
      </c>
      <c r="F13" s="183">
        <f>'_Data inputs (all)'!F13</f>
        <v>0</v>
      </c>
      <c r="G13" s="6" t="e">
        <f>IF(Introduction!$A$2="English",VLOOKUP('_Data inputs (all)'!G13,nametranslations,1,FALSE),IF(Introduction!$A$2="Spanish",VLOOKUP('_Data inputs (all)'!G13,nametranslations,2,FALSE),IF(Introduction!$A$2="French",VLOOKUP('_Data inputs (all)'!G13,nametranslations,3,FALSE),IF(Introduction!$A$2="Arabic",VLOOKUP('_Data inputs (all)'!G13,nametranslations,4,FALSE),IF(Introduction!$A$2="Russian",VLOOKUP('_Data inputs (all)'!G13,nametranslations,5,FALSE),IF(Introduction!$A$2="Chinese",VLOOKUP('_Data inputs (all)'!G13,nametranslations,6,FALSE),IF(Introduction!$A$2="Other",VLOOKUP('_Data inputs (all)'!G13,nametranslations,7,FALSE))))))))</f>
        <v>#N/A</v>
      </c>
      <c r="H13" s="186">
        <f>'_Data inputs (all)'!H13</f>
        <v>0</v>
      </c>
      <c r="I13" s="187" t="str">
        <f>IF(ISNUMBER('_Data inputs (all)'!I13),'_Data inputs (all)'!I13,"")</f>
        <v/>
      </c>
      <c r="J13" s="187" t="str">
        <f>IF(ISTEXT('_Data inputs (all)'!J13),'_Data inputs (all)'!J13,"")</f>
        <v/>
      </c>
      <c r="K13" s="188" t="str">
        <f>IF(ISTEXT('_Data inputs (all)'!K13),'_Data inputs (all)'!K13,"")</f>
        <v/>
      </c>
      <c r="L13" s="186" t="str">
        <f>IF(ISTEXT('_Data inputs (all)'!L13),'_Data inputs (all)'!L13,"")</f>
        <v/>
      </c>
      <c r="M13" s="188" t="str">
        <f>IF(ISTEXT('_Data inputs (all)'!M13),'_Data inputs (all)'!M13,"")</f>
        <v/>
      </c>
    </row>
    <row xmlns:x14ac="http://schemas.microsoft.com/office/spreadsheetml/2009/9/ac" r="14" x14ac:dyDescent="0.2">
      <c r="A14" s="105" t="str">
        <f>IF(ISTEXT(VLOOKUP('_Data inputs (all)'!B14,countryname,2,FALSE)),IF(Introduction!$A$2="English",VLOOKUP('_Data inputs (all)'!B14,countryname,2,FALSE),IF(Introduction!$A$2="French",VLOOKUP('_Data inputs (all)'!B14,countryname,3,FALSE),IF(Introduction!$A$2="Spanish",VLOOKUP('_Data inputs (all)'!B14,countryname,4,FALSE),IF(Introduction!$A$2="Russian",VLOOKUP('_Data inputs (all)'!B14,countryname,5,FALSE),IF(Introduction!$A$2="Arabic",VLOOKUP('_Data inputs (all)'!B14,countryname,6,FALSE),IF(Introduction!$A$2="Chinese",VLOOKUP('_Data inputs (all)'!B14,countryname,7,FALSE),IF(Introduction!$A$2="Other",VLOOKUP('_Data inputs (all)'!B14,countryname,8,FALSE)))))))),"")</f>
        <v/>
      </c>
      <c r="B14" s="42">
        <f>'_Data inputs (all)'!B14</f>
        <v>0</v>
      </c>
      <c r="C14" s="110">
        <f>'_Data inputs (all)'!C14</f>
        <v>0</v>
      </c>
      <c r="D14" s="6" t="e">
        <f>IF(Introduction!$A$2="English",VLOOKUP('_Data inputs (all)'!D14,nametranslations,1,FALSE),IF(Introduction!$A$2="Spanish",VLOOKUP('_Data inputs (all)'!D14,nametranslations,2,FALSE),IF(Introduction!$A$2="French",VLOOKUP('_Data inputs (all)'!D14,nametranslations,3,FALSE),IF(Introduction!$A$2="Arabic",VLOOKUP('_Data inputs (all)'!D14,nametranslations,4,FALSE),IF(Introduction!$A$2="Russian",VLOOKUP('_Data inputs (all)'!D14,nametranslations,5,FALSE),IF(Introduction!$A$2="Chinese",VLOOKUP('_Data inputs (all)'!D14,nametranslations,6,FALSE),IF(Introduction!$A$2="Other",VLOOKUP('_Data inputs (all)'!D14,nametranslations,7,FALSE))))))))</f>
        <v>#N/A</v>
      </c>
      <c r="E14" s="110">
        <f>'_Data inputs (all)'!E14</f>
        <v>0</v>
      </c>
      <c r="F14" s="183">
        <f>'_Data inputs (all)'!F14</f>
        <v>0</v>
      </c>
      <c r="G14" s="6" t="e">
        <f>IF(Introduction!$A$2="English",VLOOKUP('_Data inputs (all)'!G14,nametranslations,1,FALSE),IF(Introduction!$A$2="Spanish",VLOOKUP('_Data inputs (all)'!G14,nametranslations,2,FALSE),IF(Introduction!$A$2="French",VLOOKUP('_Data inputs (all)'!G14,nametranslations,3,FALSE),IF(Introduction!$A$2="Arabic",VLOOKUP('_Data inputs (all)'!G14,nametranslations,4,FALSE),IF(Introduction!$A$2="Russian",VLOOKUP('_Data inputs (all)'!G14,nametranslations,5,FALSE),IF(Introduction!$A$2="Chinese",VLOOKUP('_Data inputs (all)'!G14,nametranslations,6,FALSE),IF(Introduction!$A$2="Other",VLOOKUP('_Data inputs (all)'!G14,nametranslations,7,FALSE))))))))</f>
        <v>#N/A</v>
      </c>
      <c r="H14" s="186">
        <f>'_Data inputs (all)'!H14</f>
        <v>0</v>
      </c>
      <c r="I14" s="187" t="str">
        <f>IF(ISNUMBER('_Data inputs (all)'!I14),'_Data inputs (all)'!I14,"")</f>
        <v/>
      </c>
      <c r="J14" s="187" t="str">
        <f>IF(ISTEXT('_Data inputs (all)'!J14),'_Data inputs (all)'!J14,"")</f>
        <v/>
      </c>
      <c r="K14" s="188" t="str">
        <f>IF(ISTEXT('_Data inputs (all)'!K14),'_Data inputs (all)'!K14,"")</f>
        <v/>
      </c>
      <c r="L14" s="186" t="str">
        <f>IF(ISTEXT('_Data inputs (all)'!L14),'_Data inputs (all)'!L14,"")</f>
        <v/>
      </c>
      <c r="M14" s="188" t="str">
        <f>IF(ISTEXT('_Data inputs (all)'!M14),'_Data inputs (all)'!M14,"")</f>
        <v/>
      </c>
    </row>
    <row xmlns:x14ac="http://schemas.microsoft.com/office/spreadsheetml/2009/9/ac" r="15" x14ac:dyDescent="0.2">
      <c r="A15" s="105" t="str">
        <f>IF(ISTEXT(VLOOKUP('_Data inputs (all)'!B15,countryname,2,FALSE)),IF(Introduction!$A$2="English",VLOOKUP('_Data inputs (all)'!B15,countryname,2,FALSE),IF(Introduction!$A$2="French",VLOOKUP('_Data inputs (all)'!B15,countryname,3,FALSE),IF(Introduction!$A$2="Spanish",VLOOKUP('_Data inputs (all)'!B15,countryname,4,FALSE),IF(Introduction!$A$2="Russian",VLOOKUP('_Data inputs (all)'!B15,countryname,5,FALSE),IF(Introduction!$A$2="Arabic",VLOOKUP('_Data inputs (all)'!B15,countryname,6,FALSE),IF(Introduction!$A$2="Chinese",VLOOKUP('_Data inputs (all)'!B15,countryname,7,FALSE),IF(Introduction!$A$2="Other",VLOOKUP('_Data inputs (all)'!B15,countryname,8,FALSE)))))))),"")</f>
        <v/>
      </c>
      <c r="B15" s="42">
        <f>'_Data inputs (all)'!B15</f>
        <v>0</v>
      </c>
      <c r="C15" s="110">
        <f>'_Data inputs (all)'!C15</f>
        <v>0</v>
      </c>
      <c r="D15" s="6" t="e">
        <f>IF(Introduction!$A$2="English",VLOOKUP('_Data inputs (all)'!D15,nametranslations,1,FALSE),IF(Introduction!$A$2="Spanish",VLOOKUP('_Data inputs (all)'!D15,nametranslations,2,FALSE),IF(Introduction!$A$2="French",VLOOKUP('_Data inputs (all)'!D15,nametranslations,3,FALSE),IF(Introduction!$A$2="Arabic",VLOOKUP('_Data inputs (all)'!D15,nametranslations,4,FALSE),IF(Introduction!$A$2="Russian",VLOOKUP('_Data inputs (all)'!D15,nametranslations,5,FALSE),IF(Introduction!$A$2="Chinese",VLOOKUP('_Data inputs (all)'!D15,nametranslations,6,FALSE),IF(Introduction!$A$2="Other",VLOOKUP('_Data inputs (all)'!D15,nametranslations,7,FALSE))))))))</f>
        <v>#N/A</v>
      </c>
      <c r="E15" s="110">
        <f>'_Data inputs (all)'!E15</f>
        <v>0</v>
      </c>
      <c r="F15" s="151">
        <f>'B- Generated by facility type'!F5</f>
        <v>0</v>
      </c>
      <c r="G15" s="6" t="e">
        <f>IF(Introduction!$A$2="English",VLOOKUP('_Data inputs (all)'!G15,nametranslations,1,FALSE),IF(Introduction!$A$2="Spanish",VLOOKUP('_Data inputs (all)'!G15,nametranslations,2,FALSE),IF(Introduction!$A$2="French",VLOOKUP('_Data inputs (all)'!G15,nametranslations,3,FALSE),IF(Introduction!$A$2="Arabic",VLOOKUP('_Data inputs (all)'!G15,nametranslations,4,FALSE),IF(Introduction!$A$2="Russian",VLOOKUP('_Data inputs (all)'!G15,nametranslations,5,FALSE),IF(Introduction!$A$2="Chinese",VLOOKUP('_Data inputs (all)'!G15,nametranslations,6,FALSE),IF(Introduction!$A$2="Other",VLOOKUP('_Data inputs (all)'!G15,nametranslations,7,FALSE))))))))</f>
        <v>#N/A</v>
      </c>
      <c r="H15" s="186">
        <f>'_Data inputs (all)'!H15</f>
        <v>0</v>
      </c>
      <c r="I15" s="187" t="str">
        <f>IF(ISNUMBER('_Data inputs (all)'!I15),'_Data inputs (all)'!I15,"")</f>
        <v/>
      </c>
      <c r="J15" s="187" t="str">
        <f>IF(ISTEXT('_Data inputs (all)'!J15),'_Data inputs (all)'!J15,"")</f>
        <v/>
      </c>
      <c r="K15" s="188" t="str">
        <f>IF(ISTEXT('_Data inputs (all)'!K15),'_Data inputs (all)'!K15,"")</f>
        <v/>
      </c>
      <c r="L15" s="186" t="str">
        <f>IF(ISTEXT('_Data inputs (all)'!L15),'_Data inputs (all)'!L15,"")</f>
        <v/>
      </c>
      <c r="M15" s="188" t="str">
        <f>IF(ISTEXT('_Data inputs (all)'!M15),'_Data inputs (all)'!M15,"")</f>
        <v/>
      </c>
    </row>
    <row xmlns:x14ac="http://schemas.microsoft.com/office/spreadsheetml/2009/9/ac" r="16" x14ac:dyDescent="0.2">
      <c r="A16" s="105" t="str">
        <f>IF(ISTEXT(VLOOKUP('_Data inputs (all)'!B16,countryname,2,FALSE)),IF(Introduction!$A$2="English",VLOOKUP('_Data inputs (all)'!B16,countryname,2,FALSE),IF(Introduction!$A$2="French",VLOOKUP('_Data inputs (all)'!B16,countryname,3,FALSE),IF(Introduction!$A$2="Spanish",VLOOKUP('_Data inputs (all)'!B16,countryname,4,FALSE),IF(Introduction!$A$2="Russian",VLOOKUP('_Data inputs (all)'!B16,countryname,5,FALSE),IF(Introduction!$A$2="Arabic",VLOOKUP('_Data inputs (all)'!B16,countryname,6,FALSE),IF(Introduction!$A$2="Chinese",VLOOKUP('_Data inputs (all)'!B16,countryname,7,FALSE),IF(Introduction!$A$2="Other",VLOOKUP('_Data inputs (all)'!B16,countryname,8,FALSE)))))))),"")</f>
        <v/>
      </c>
      <c r="B16" s="42">
        <f>'_Data inputs (all)'!B16</f>
        <v>0</v>
      </c>
      <c r="C16" s="110">
        <f>'_Data inputs (all)'!C16</f>
        <v>0</v>
      </c>
      <c r="D16" s="6" t="e">
        <f>IF(Introduction!$A$2="English",VLOOKUP('_Data inputs (all)'!D16,nametranslations,1,FALSE),IF(Introduction!$A$2="Spanish",VLOOKUP('_Data inputs (all)'!D16,nametranslations,2,FALSE),IF(Introduction!$A$2="French",VLOOKUP('_Data inputs (all)'!D16,nametranslations,3,FALSE),IF(Introduction!$A$2="Arabic",VLOOKUP('_Data inputs (all)'!D16,nametranslations,4,FALSE),IF(Introduction!$A$2="Russian",VLOOKUP('_Data inputs (all)'!D16,nametranslations,5,FALSE),IF(Introduction!$A$2="Chinese",VLOOKUP('_Data inputs (all)'!D16,nametranslations,6,FALSE),IF(Introduction!$A$2="Other",VLOOKUP('_Data inputs (all)'!D16,nametranslations,7,FALSE))))))))</f>
        <v>#N/A</v>
      </c>
      <c r="E16" s="110">
        <f>'_Data inputs (all)'!E16</f>
        <v>0</v>
      </c>
      <c r="F16" s="151">
        <f>'B- Generated by facility type'!F6</f>
        <v>0</v>
      </c>
      <c r="G16" s="6" t="e">
        <f>IF(Introduction!$A$2="English",VLOOKUP('_Data inputs (all)'!G16,nametranslations,1,FALSE),IF(Introduction!$A$2="Spanish",VLOOKUP('_Data inputs (all)'!G16,nametranslations,2,FALSE),IF(Introduction!$A$2="French",VLOOKUP('_Data inputs (all)'!G16,nametranslations,3,FALSE),IF(Introduction!$A$2="Arabic",VLOOKUP('_Data inputs (all)'!G16,nametranslations,4,FALSE),IF(Introduction!$A$2="Russian",VLOOKUP('_Data inputs (all)'!G16,nametranslations,5,FALSE),IF(Introduction!$A$2="Chinese",VLOOKUP('_Data inputs (all)'!G16,nametranslations,6,FALSE),IF(Introduction!$A$2="Other",VLOOKUP('_Data inputs (all)'!G16,nametranslations,7,FALSE))))))))</f>
        <v>#N/A</v>
      </c>
      <c r="H16" s="186">
        <f>'_Data inputs (all)'!H16</f>
        <v>0</v>
      </c>
      <c r="I16" s="187" t="str">
        <f>IF(ISNUMBER('_Data inputs (all)'!I16),'_Data inputs (all)'!I16,"")</f>
        <v/>
      </c>
      <c r="J16" s="187" t="str">
        <f>IF(ISTEXT('_Data inputs (all)'!J16),'_Data inputs (all)'!J16,"")</f>
        <v/>
      </c>
      <c r="K16" s="188" t="str">
        <f>IF(ISTEXT('_Data inputs (all)'!K16),'_Data inputs (all)'!K16,"")</f>
        <v/>
      </c>
      <c r="L16" s="186" t="str">
        <f>IF(ISTEXT('_Data inputs (all)'!L16),'_Data inputs (all)'!L16,"")</f>
        <v/>
      </c>
      <c r="M16" s="188" t="str">
        <f>IF(ISTEXT('_Data inputs (all)'!M16),'_Data inputs (all)'!M16,"")</f>
        <v/>
      </c>
    </row>
    <row xmlns:x14ac="http://schemas.microsoft.com/office/spreadsheetml/2009/9/ac" r="17" x14ac:dyDescent="0.2">
      <c r="A17" s="105" t="str">
        <f>IF(ISTEXT(VLOOKUP('_Data inputs (all)'!B17,countryname,2,FALSE)),IF(Introduction!$A$2="English",VLOOKUP('_Data inputs (all)'!B17,countryname,2,FALSE),IF(Introduction!$A$2="French",VLOOKUP('_Data inputs (all)'!B17,countryname,3,FALSE),IF(Introduction!$A$2="Spanish",VLOOKUP('_Data inputs (all)'!B17,countryname,4,FALSE),IF(Introduction!$A$2="Russian",VLOOKUP('_Data inputs (all)'!B17,countryname,5,FALSE),IF(Introduction!$A$2="Arabic",VLOOKUP('_Data inputs (all)'!B17,countryname,6,FALSE),IF(Introduction!$A$2="Chinese",VLOOKUP('_Data inputs (all)'!B17,countryname,7,FALSE),IF(Introduction!$A$2="Other",VLOOKUP('_Data inputs (all)'!B17,countryname,8,FALSE)))))))),"")</f>
        <v/>
      </c>
      <c r="B17" s="42">
        <f>'_Data inputs (all)'!B17</f>
        <v>0</v>
      </c>
      <c r="C17" s="110">
        <f>'_Data inputs (all)'!C17</f>
        <v>0</v>
      </c>
      <c r="D17" s="6" t="e">
        <f>IF(Introduction!$A$2="English",VLOOKUP('_Data inputs (all)'!D17,nametranslations,1,FALSE),IF(Introduction!$A$2="Spanish",VLOOKUP('_Data inputs (all)'!D17,nametranslations,2,FALSE),IF(Introduction!$A$2="French",VLOOKUP('_Data inputs (all)'!D17,nametranslations,3,FALSE),IF(Introduction!$A$2="Arabic",VLOOKUP('_Data inputs (all)'!D17,nametranslations,4,FALSE),IF(Introduction!$A$2="Russian",VLOOKUP('_Data inputs (all)'!D17,nametranslations,5,FALSE),IF(Introduction!$A$2="Chinese",VLOOKUP('_Data inputs (all)'!D17,nametranslations,6,FALSE),IF(Introduction!$A$2="Other",VLOOKUP('_Data inputs (all)'!D17,nametranslations,7,FALSE))))))))</f>
        <v>#N/A</v>
      </c>
      <c r="E17" s="110">
        <f>'_Data inputs (all)'!E17</f>
        <v>0</v>
      </c>
      <c r="F17" s="151">
        <f>'B- Generated by facility type'!F7</f>
        <v>0</v>
      </c>
      <c r="G17" s="6" t="e">
        <f>IF(Introduction!$A$2="English",VLOOKUP('_Data inputs (all)'!G17,nametranslations,1,FALSE),IF(Introduction!$A$2="Spanish",VLOOKUP('_Data inputs (all)'!G17,nametranslations,2,FALSE),IF(Introduction!$A$2="French",VLOOKUP('_Data inputs (all)'!G17,nametranslations,3,FALSE),IF(Introduction!$A$2="Arabic",VLOOKUP('_Data inputs (all)'!G17,nametranslations,4,FALSE),IF(Introduction!$A$2="Russian",VLOOKUP('_Data inputs (all)'!G17,nametranslations,5,FALSE),IF(Introduction!$A$2="Chinese",VLOOKUP('_Data inputs (all)'!G17,nametranslations,6,FALSE),IF(Introduction!$A$2="Other",VLOOKUP('_Data inputs (all)'!G17,nametranslations,7,FALSE))))))))</f>
        <v>#N/A</v>
      </c>
      <c r="H17" s="186">
        <f>'_Data inputs (all)'!H17</f>
        <v>0</v>
      </c>
      <c r="I17" s="187" t="str">
        <f>IF(ISNUMBER('_Data inputs (all)'!I17),'_Data inputs (all)'!I17,"")</f>
        <v/>
      </c>
      <c r="J17" s="187" t="str">
        <f>IF(ISTEXT('_Data inputs (all)'!J17),'_Data inputs (all)'!J17,"")</f>
        <v/>
      </c>
      <c r="K17" s="188" t="str">
        <f>IF(ISTEXT('_Data inputs (all)'!K17),'_Data inputs (all)'!K17,"")</f>
        <v/>
      </c>
      <c r="L17" s="186" t="str">
        <f>IF(ISTEXT('_Data inputs (all)'!L17),'_Data inputs (all)'!L17,"")</f>
        <v/>
      </c>
      <c r="M17" s="188" t="str">
        <f>IF(ISTEXT('_Data inputs (all)'!M17),'_Data inputs (all)'!M17,"")</f>
        <v/>
      </c>
    </row>
    <row xmlns:x14ac="http://schemas.microsoft.com/office/spreadsheetml/2009/9/ac" r="18" x14ac:dyDescent="0.2">
      <c r="A18" s="105" t="str">
        <f>IF(ISTEXT(VLOOKUP('_Data inputs (all)'!B18,countryname,2,FALSE)),IF(Introduction!$A$2="English",VLOOKUP('_Data inputs (all)'!B18,countryname,2,FALSE),IF(Introduction!$A$2="French",VLOOKUP('_Data inputs (all)'!B18,countryname,3,FALSE),IF(Introduction!$A$2="Spanish",VLOOKUP('_Data inputs (all)'!B18,countryname,4,FALSE),IF(Introduction!$A$2="Russian",VLOOKUP('_Data inputs (all)'!B18,countryname,5,FALSE),IF(Introduction!$A$2="Arabic",VLOOKUP('_Data inputs (all)'!B18,countryname,6,FALSE),IF(Introduction!$A$2="Chinese",VLOOKUP('_Data inputs (all)'!B18,countryname,7,FALSE),IF(Introduction!$A$2="Other",VLOOKUP('_Data inputs (all)'!B18,countryname,8,FALSE)))))))),"")</f>
        <v/>
      </c>
      <c r="B18" s="42">
        <f>'_Data inputs (all)'!B18</f>
        <v>0</v>
      </c>
      <c r="C18" s="110">
        <f>'_Data inputs (all)'!C18</f>
        <v>0</v>
      </c>
      <c r="D18" s="6" t="e">
        <f>IF(Introduction!$A$2="English",VLOOKUP('_Data inputs (all)'!D18,nametranslations,1,FALSE),IF(Introduction!$A$2="Spanish",VLOOKUP('_Data inputs (all)'!D18,nametranslations,2,FALSE),IF(Introduction!$A$2="French",VLOOKUP('_Data inputs (all)'!D18,nametranslations,3,FALSE),IF(Introduction!$A$2="Arabic",VLOOKUP('_Data inputs (all)'!D18,nametranslations,4,FALSE),IF(Introduction!$A$2="Russian",VLOOKUP('_Data inputs (all)'!D18,nametranslations,5,FALSE),IF(Introduction!$A$2="Chinese",VLOOKUP('_Data inputs (all)'!D18,nametranslations,6,FALSE),IF(Introduction!$A$2="Other",VLOOKUP('_Data inputs (all)'!D18,nametranslations,7,FALSE))))))))</f>
        <v>#N/A</v>
      </c>
      <c r="E18" s="110">
        <f>'_Data inputs (all)'!E18</f>
        <v>0</v>
      </c>
      <c r="F18" s="151">
        <f>'B- Generated by facility type'!F8</f>
        <v>0</v>
      </c>
      <c r="G18" s="6" t="e">
        <f>IF(Introduction!$A$2="English",VLOOKUP('_Data inputs (all)'!G18,nametranslations,1,FALSE),IF(Introduction!$A$2="Spanish",VLOOKUP('_Data inputs (all)'!G18,nametranslations,2,FALSE),IF(Introduction!$A$2="French",VLOOKUP('_Data inputs (all)'!G18,nametranslations,3,FALSE),IF(Introduction!$A$2="Arabic",VLOOKUP('_Data inputs (all)'!G18,nametranslations,4,FALSE),IF(Introduction!$A$2="Russian",VLOOKUP('_Data inputs (all)'!G18,nametranslations,5,FALSE),IF(Introduction!$A$2="Chinese",VLOOKUP('_Data inputs (all)'!G18,nametranslations,6,FALSE),IF(Introduction!$A$2="Other",VLOOKUP('_Data inputs (all)'!G18,nametranslations,7,FALSE))))))))</f>
        <v>#N/A</v>
      </c>
      <c r="H18" s="186">
        <f>'_Data inputs (all)'!H18</f>
        <v>0</v>
      </c>
      <c r="I18" s="187" t="str">
        <f>IF(ISNUMBER('_Data inputs (all)'!I18),'_Data inputs (all)'!I18,"")</f>
        <v/>
      </c>
      <c r="J18" s="187" t="str">
        <f>IF(ISTEXT('_Data inputs (all)'!J18),'_Data inputs (all)'!J18,"")</f>
        <v/>
      </c>
      <c r="K18" s="188" t="str">
        <f>IF(ISTEXT('_Data inputs (all)'!K18),'_Data inputs (all)'!K18,"")</f>
        <v/>
      </c>
      <c r="L18" s="186" t="str">
        <f>IF(ISTEXT('_Data inputs (all)'!L18),'_Data inputs (all)'!L18,"")</f>
        <v/>
      </c>
      <c r="M18" s="188" t="str">
        <f>IF(ISTEXT('_Data inputs (all)'!M18),'_Data inputs (all)'!M18,"")</f>
        <v/>
      </c>
    </row>
    <row xmlns:x14ac="http://schemas.microsoft.com/office/spreadsheetml/2009/9/ac" r="19" x14ac:dyDescent="0.2">
      <c r="A19" s="105" t="str">
        <f>IF(ISTEXT(VLOOKUP('_Data inputs (all)'!B19,countryname,2,FALSE)),IF(Introduction!$A$2="English",VLOOKUP('_Data inputs (all)'!B19,countryname,2,FALSE),IF(Introduction!$A$2="French",VLOOKUP('_Data inputs (all)'!B19,countryname,3,FALSE),IF(Introduction!$A$2="Spanish",VLOOKUP('_Data inputs (all)'!B19,countryname,4,FALSE),IF(Introduction!$A$2="Russian",VLOOKUP('_Data inputs (all)'!B19,countryname,5,FALSE),IF(Introduction!$A$2="Arabic",VLOOKUP('_Data inputs (all)'!B19,countryname,6,FALSE),IF(Introduction!$A$2="Chinese",VLOOKUP('_Data inputs (all)'!B19,countryname,7,FALSE),IF(Introduction!$A$2="Other",VLOOKUP('_Data inputs (all)'!B19,countryname,8,FALSE)))))))),"")</f>
        <v/>
      </c>
      <c r="B19" s="42">
        <f>'_Data inputs (all)'!B19</f>
        <v>0</v>
      </c>
      <c r="C19" s="110">
        <f>'_Data inputs (all)'!C19</f>
        <v>0</v>
      </c>
      <c r="D19" s="6" t="e">
        <f>IF(Introduction!$A$2="English",VLOOKUP('_Data inputs (all)'!D19,nametranslations,1,FALSE),IF(Introduction!$A$2="Spanish",VLOOKUP('_Data inputs (all)'!D19,nametranslations,2,FALSE),IF(Introduction!$A$2="French",VLOOKUP('_Data inputs (all)'!D19,nametranslations,3,FALSE),IF(Introduction!$A$2="Arabic",VLOOKUP('_Data inputs (all)'!D19,nametranslations,4,FALSE),IF(Introduction!$A$2="Russian",VLOOKUP('_Data inputs (all)'!D19,nametranslations,5,FALSE),IF(Introduction!$A$2="Chinese",VLOOKUP('_Data inputs (all)'!D19,nametranslations,6,FALSE),IF(Introduction!$A$2="Other",VLOOKUP('_Data inputs (all)'!D19,nametranslations,7,FALSE))))))))</f>
        <v>#N/A</v>
      </c>
      <c r="E19" s="110">
        <f>'_Data inputs (all)'!E19</f>
        <v>0</v>
      </c>
      <c r="F19" s="151">
        <f>'B- Generated by facility type'!F9</f>
        <v>0</v>
      </c>
      <c r="G19" s="6" t="e">
        <f>IF(Introduction!$A$2="English",VLOOKUP('_Data inputs (all)'!G19,nametranslations,1,FALSE),IF(Introduction!$A$2="Spanish",VLOOKUP('_Data inputs (all)'!G19,nametranslations,2,FALSE),IF(Introduction!$A$2="French",VLOOKUP('_Data inputs (all)'!G19,nametranslations,3,FALSE),IF(Introduction!$A$2="Arabic",VLOOKUP('_Data inputs (all)'!G19,nametranslations,4,FALSE),IF(Introduction!$A$2="Russian",VLOOKUP('_Data inputs (all)'!G19,nametranslations,5,FALSE),IF(Introduction!$A$2="Chinese",VLOOKUP('_Data inputs (all)'!G19,nametranslations,6,FALSE),IF(Introduction!$A$2="Other",VLOOKUP('_Data inputs (all)'!G19,nametranslations,7,FALSE))))))))</f>
        <v>#N/A</v>
      </c>
      <c r="H19" s="186">
        <f>'_Data inputs (all)'!H19</f>
        <v>0</v>
      </c>
      <c r="I19" s="187" t="str">
        <f>IF(ISNUMBER('_Data inputs (all)'!I19),'_Data inputs (all)'!I19,"")</f>
        <v/>
      </c>
      <c r="J19" s="187" t="str">
        <f>IF(ISTEXT('_Data inputs (all)'!J19),'_Data inputs (all)'!J19,"")</f>
        <v/>
      </c>
      <c r="K19" s="188" t="str">
        <f>IF(ISTEXT('_Data inputs (all)'!K19),'_Data inputs (all)'!K19,"")</f>
        <v/>
      </c>
      <c r="L19" s="186" t="str">
        <f>IF(ISTEXT('_Data inputs (all)'!L19),'_Data inputs (all)'!L19,"")</f>
        <v/>
      </c>
      <c r="M19" s="188" t="str">
        <f>IF(ISTEXT('_Data inputs (all)'!M19),'_Data inputs (all)'!M19,"")</f>
        <v/>
      </c>
    </row>
    <row xmlns:x14ac="http://schemas.microsoft.com/office/spreadsheetml/2009/9/ac" r="20" x14ac:dyDescent="0.2">
      <c r="A20" s="105" t="str">
        <f>IF(ISTEXT(VLOOKUP('_Data inputs (all)'!B20,countryname,2,FALSE)),IF(Introduction!$A$2="English",VLOOKUP('_Data inputs (all)'!B20,countryname,2,FALSE),IF(Introduction!$A$2="French",VLOOKUP('_Data inputs (all)'!B20,countryname,3,FALSE),IF(Introduction!$A$2="Spanish",VLOOKUP('_Data inputs (all)'!B20,countryname,4,FALSE),IF(Introduction!$A$2="Russian",VLOOKUP('_Data inputs (all)'!B20,countryname,5,FALSE),IF(Introduction!$A$2="Arabic",VLOOKUP('_Data inputs (all)'!B20,countryname,6,FALSE),IF(Introduction!$A$2="Chinese",VLOOKUP('_Data inputs (all)'!B20,countryname,7,FALSE),IF(Introduction!$A$2="Other",VLOOKUP('_Data inputs (all)'!B20,countryname,8,FALSE)))))))),"")</f>
        <v/>
      </c>
      <c r="B20" s="42">
        <f>'_Data inputs (all)'!B20</f>
        <v>0</v>
      </c>
      <c r="C20" s="110">
        <f>'_Data inputs (all)'!C20</f>
        <v>0</v>
      </c>
      <c r="D20" s="6" t="e">
        <f>IF(Introduction!$A$2="English",VLOOKUP('_Data inputs (all)'!D20,nametranslations,1,FALSE),IF(Introduction!$A$2="Spanish",VLOOKUP('_Data inputs (all)'!D20,nametranslations,2,FALSE),IF(Introduction!$A$2="French",VLOOKUP('_Data inputs (all)'!D20,nametranslations,3,FALSE),IF(Introduction!$A$2="Arabic",VLOOKUP('_Data inputs (all)'!D20,nametranslations,4,FALSE),IF(Introduction!$A$2="Russian",VLOOKUP('_Data inputs (all)'!D20,nametranslations,5,FALSE),IF(Introduction!$A$2="Chinese",VLOOKUP('_Data inputs (all)'!D20,nametranslations,6,FALSE),IF(Introduction!$A$2="Other",VLOOKUP('_Data inputs (all)'!D20,nametranslations,7,FALSE))))))))</f>
        <v>#N/A</v>
      </c>
      <c r="E20" s="110">
        <f>'_Data inputs (all)'!E20</f>
        <v>0</v>
      </c>
      <c r="F20" s="183">
        <f>'_Data inputs (all)'!F20</f>
        <v>0</v>
      </c>
      <c r="G20" s="6" t="e">
        <f>IF(Introduction!$A$2="English",VLOOKUP('_Data inputs (all)'!G20,nametranslations,1,FALSE),IF(Introduction!$A$2="Spanish",VLOOKUP('_Data inputs (all)'!G20,nametranslations,2,FALSE),IF(Introduction!$A$2="French",VLOOKUP('_Data inputs (all)'!G20,nametranslations,3,FALSE),IF(Introduction!$A$2="Arabic",VLOOKUP('_Data inputs (all)'!G20,nametranslations,4,FALSE),IF(Introduction!$A$2="Russian",VLOOKUP('_Data inputs (all)'!G20,nametranslations,5,FALSE),IF(Introduction!$A$2="Chinese",VLOOKUP('_Data inputs (all)'!G20,nametranslations,6,FALSE),IF(Introduction!$A$2="Other",VLOOKUP('_Data inputs (all)'!G20,nametranslations,7,FALSE))))))))</f>
        <v>#N/A</v>
      </c>
      <c r="H20" s="186">
        <f>'_Data inputs (all)'!H20</f>
        <v>0</v>
      </c>
      <c r="I20" s="187" t="str">
        <f>IF(ISNUMBER('_Data inputs (all)'!I20),'_Data inputs (all)'!I20,"")</f>
        <v/>
      </c>
      <c r="J20" s="187" t="str">
        <f>IF(ISTEXT('_Data inputs (all)'!J20),'_Data inputs (all)'!J20,"")</f>
        <v/>
      </c>
      <c r="K20" s="188" t="str">
        <f>IF(ISTEXT('_Data inputs (all)'!K20),'_Data inputs (all)'!K20,"")</f>
        <v/>
      </c>
      <c r="L20" s="186" t="str">
        <f>IF(ISTEXT('_Data inputs (all)'!L20),'_Data inputs (all)'!L20,"")</f>
        <v/>
      </c>
      <c r="M20" s="188" t="str">
        <f>IF(ISTEXT('_Data inputs (all)'!M20),'_Data inputs (all)'!M20,"")</f>
        <v/>
      </c>
    </row>
    <row xmlns:x14ac="http://schemas.microsoft.com/office/spreadsheetml/2009/9/ac" r="21" x14ac:dyDescent="0.2">
      <c r="A21" s="105" t="str">
        <f>IF(ISTEXT(VLOOKUP('_Data inputs (all)'!B21,countryname,2,FALSE)),IF(Introduction!$A$2="English",VLOOKUP('_Data inputs (all)'!B21,countryname,2,FALSE),IF(Introduction!$A$2="French",VLOOKUP('_Data inputs (all)'!B21,countryname,3,FALSE),IF(Introduction!$A$2="Spanish",VLOOKUP('_Data inputs (all)'!B21,countryname,4,FALSE),IF(Introduction!$A$2="Russian",VLOOKUP('_Data inputs (all)'!B21,countryname,5,FALSE),IF(Introduction!$A$2="Arabic",VLOOKUP('_Data inputs (all)'!B21,countryname,6,FALSE),IF(Introduction!$A$2="Chinese",VLOOKUP('_Data inputs (all)'!B21,countryname,7,FALSE),IF(Introduction!$A$2="Other",VLOOKUP('_Data inputs (all)'!B21,countryname,8,FALSE)))))))),"")</f>
        <v/>
      </c>
      <c r="B21" s="42">
        <f>'_Data inputs (all)'!B21</f>
        <v>0</v>
      </c>
      <c r="C21" s="110">
        <f>'_Data inputs (all)'!C21</f>
        <v>0</v>
      </c>
      <c r="D21" s="6" t="e">
        <f>IF(Introduction!$A$2="English",VLOOKUP('_Data inputs (all)'!D21,nametranslations,1,FALSE),IF(Introduction!$A$2="Spanish",VLOOKUP('_Data inputs (all)'!D21,nametranslations,2,FALSE),IF(Introduction!$A$2="French",VLOOKUP('_Data inputs (all)'!D21,nametranslations,3,FALSE),IF(Introduction!$A$2="Arabic",VLOOKUP('_Data inputs (all)'!D21,nametranslations,4,FALSE),IF(Introduction!$A$2="Russian",VLOOKUP('_Data inputs (all)'!D21,nametranslations,5,FALSE),IF(Introduction!$A$2="Chinese",VLOOKUP('_Data inputs (all)'!D21,nametranslations,6,FALSE),IF(Introduction!$A$2="Other",VLOOKUP('_Data inputs (all)'!D21,nametranslations,7,FALSE))))))))</f>
        <v>#N/A</v>
      </c>
      <c r="E21" s="110">
        <f>'_Data inputs (all)'!E21</f>
        <v>0</v>
      </c>
      <c r="F21" s="183">
        <f>IF('_Data inputs (all)'!$H$21="R",'_Data inputs (all)'!F21,IF('_Data inputs (all)'!$H$22="R","",'_Data inputs (all)'!F21))</f>
        <v>0</v>
      </c>
      <c r="G21" s="183" t="e">
        <f>IF('_Data inputs (all)'!$H$21="R",IF(Introduction!$A$2="English",VLOOKUP('_Data inputs (all)'!G21,nametranslations,1,FALSE),IF(Introduction!$A$2="Spanish",VLOOKUP('_Data inputs (all)'!G21,nametranslations,2,FALSE),IF(Introduction!$A$2="French",VLOOKUP('_Data inputs (all)'!G21,nametranslations,3,FALSE),IF(Introduction!$A$2="Arabic",VLOOKUP('_Data inputs (all)'!G21,nametranslations,4,FALSE),IF(Introduction!$A$2="Russian",VLOOKUP('_Data inputs (all)'!G21,nametranslations,5,FALSE),IF(Introduction!$A$2="Chinese",VLOOKUP('_Data inputs (all)'!G21,nametranslations,6,FALSE),IF(Introduction!$A$2="Other",VLOOKUP('_Data inputs (all)'!G21,nametranslations,7,FALSE)))))))),IF('_Data inputs (all)'!$H$22="R","",IF(Introduction!$A$2="English",VLOOKUP('_Data inputs (all)'!G21,nametranslations,1,FALSE),IF(Introduction!$A$2="Spanish",VLOOKUP('_Data inputs (all)'!G21,nametranslations,2,FALSE),IF(Introduction!$A$2="French",VLOOKUP('_Data inputs (all)'!G21,nametranslations,3,FALSE),IF(Introduction!$A$2="Arabic",VLOOKUP('_Data inputs (all)'!G21,nametranslations,4,FALSE),IF(Introduction!$A$2="Russian",VLOOKUP('_Data inputs (all)'!G21,nametranslations,5,FALSE),IF(Introduction!$A$2="Chinese",VLOOKUP('_Data inputs (all)'!G21,nametranslations,6,FALSE),IF(Introduction!$A$2="Other",VLOOKUP('_Data inputs (all)'!G21,nametranslations,7,FALSE))))))))))</f>
        <v>#N/A</v>
      </c>
      <c r="H21" s="186">
        <f>IF('_Data inputs (all)'!$H$21="R",'_Data inputs (all)'!H21,IF('_Data inputs (all)'!$H$22="R","",'_Data inputs (all)'!H21))</f>
        <v>0</v>
      </c>
      <c r="I21" s="187" t="str">
        <f>IF('_Data inputs (all)'!$H$21="R",IF(ISNUMBER('_Data inputs (all)'!I21),'_Data inputs (all)'!I21,""),IF('_Data inputs (all)'!$H$22="R","",IF(ISNUMBER('_Data inputs (all)'!I21),'_Data inputs (all)'!I21,"")))</f>
        <v/>
      </c>
      <c r="J21" s="190" t="str">
        <f>IF('_Data inputs (all)'!$H$21="R",IF(ISTEXT('_Data inputs (all)'!J21),'_Data inputs (all)'!J21,""),IF('_Data inputs (all)'!$H$22="R","",IF(ISTEXT('_Data inputs (all)'!J21),'_Data inputs (all)'!J21,"")))</f>
        <v/>
      </c>
      <c r="K21" s="183" t="str">
        <f>IF('_Data inputs (all)'!$H$21="R",IF(ISTEXT('_Data inputs (all)'!K21),'_Data inputs (all)'!K21,""),IF('_Data inputs (all)'!$H$22="R","",IF(ISTEXT('_Data inputs (all)'!K21),'_Data inputs (all)'!K21,"")))</f>
        <v/>
      </c>
      <c r="L21" s="190" t="str">
        <f>IF('_Data inputs (all)'!$H$21="R",IF(ISTEXT('_Data inputs (all)'!L21),'_Data inputs (all)'!L21,""),IF('_Data inputs (all)'!$H$22="R","",IF(ISTEXT('_Data inputs (all)'!L21),'_Data inputs (all)'!L21,"")))</f>
        <v/>
      </c>
      <c r="M21" s="183" t="str">
        <f>IF('_Data inputs (all)'!$H$21="R",IF(ISTEXT('_Data inputs (all)'!M21),'_Data inputs (all)'!M21,""),IF('_Data inputs (all)'!$H$22="R","",IF(ISTEXT('_Data inputs (all)'!M21),'_Data inputs (all)'!M21,"")))</f>
        <v/>
      </c>
    </row>
    <row xmlns:x14ac="http://schemas.microsoft.com/office/spreadsheetml/2009/9/ac" r="22" x14ac:dyDescent="0.2">
      <c r="A22" s="105" t="str">
        <f>IF(ISTEXT(VLOOKUP('_Data inputs (all)'!B22,countryname,2,FALSE)),IF(Introduction!$A$2="English",VLOOKUP('_Data inputs (all)'!B22,countryname,2,FALSE),IF(Introduction!$A$2="French",VLOOKUP('_Data inputs (all)'!B22,countryname,3,FALSE),IF(Introduction!$A$2="Spanish",VLOOKUP('_Data inputs (all)'!B22,countryname,4,FALSE),IF(Introduction!$A$2="Russian",VLOOKUP('_Data inputs (all)'!B22,countryname,5,FALSE),IF(Introduction!$A$2="Arabic",VLOOKUP('_Data inputs (all)'!B22,countryname,6,FALSE),IF(Introduction!$A$2="Chinese",VLOOKUP('_Data inputs (all)'!B22,countryname,7,FALSE),IF(Introduction!$A$2="Other",VLOOKUP('_Data inputs (all)'!B22,countryname,8,FALSE)))))))),"")</f>
        <v/>
      </c>
      <c r="B22" s="42">
        <f>'_Data inputs (all)'!B22</f>
        <v>0</v>
      </c>
      <c r="C22" s="110">
        <f>'_Data inputs (all)'!C22</f>
        <v>0</v>
      </c>
      <c r="D22" s="6" t="e">
        <f>IF(Introduction!$A$2="English",VLOOKUP('_Data inputs (all)'!D22,nametranslations,1,FALSE),IF(Introduction!$A$2="Spanish",VLOOKUP('_Data inputs (all)'!D22,nametranslations,2,FALSE),IF(Introduction!$A$2="French",VLOOKUP('_Data inputs (all)'!D22,nametranslations,3,FALSE),IF(Introduction!$A$2="Arabic",VLOOKUP('_Data inputs (all)'!D22,nametranslations,4,FALSE),IF(Introduction!$A$2="Russian",VLOOKUP('_Data inputs (all)'!D22,nametranslations,5,FALSE),IF(Introduction!$A$2="Chinese",VLOOKUP('_Data inputs (all)'!D22,nametranslations,6,FALSE),IF(Introduction!$A$2="Other",VLOOKUP('_Data inputs (all)'!D22,nametranslations,7,FALSE))))))))</f>
        <v>#N/A</v>
      </c>
      <c r="E22" s="110">
        <f>'_Data inputs (all)'!E22</f>
        <v>0</v>
      </c>
      <c r="F22" s="183" t="str">
        <f>IF('_Data inputs (all)'!$H$22="R",IF('_Data inputs (all)'!$J$22="Yes",'_Data inputs (all)'!F22,""),"")</f>
        <v/>
      </c>
      <c r="G22" s="183" t="str">
        <f>IF('_Data inputs (all)'!$H$22="R",IF('_Data inputs (all)'!$J$22="Yes",IF(Introduction!$A$2="English",VLOOKUP('_Data inputs (all)'!G22,nametranslations,1,FALSE),IF(Introduction!$A$2="Spanish",VLOOKUP('_Data inputs (all)'!G22,nametranslations,2,FALSE),IF(Introduction!$A$2="French",VLOOKUP('_Data inputs (all)'!G22,nametranslations,3,FALSE),IF(Introduction!$A$2="Arabic",VLOOKUP('_Data inputs (all)'!G22,nametranslations,4,FALSE),IF(Introduction!$A$2="Russian",VLOOKUP('_Data inputs (all)'!G20,nametranslations,5,FALSE),IF(Introduction!$A$2="Chinese",VLOOKUP('_Data inputs (all)'!G22,nametranslations,6,FALSE),IF(Introduction!$A$2="Other",VLOOKUP('_Data inputs (all)'!G22,nametranslations,7,FALSE)))))))),""),"")</f>
        <v/>
      </c>
      <c r="H22" s="190" t="str">
        <f>IF('_Data inputs (all)'!$H$22="R",IF('_Data inputs (all)'!$J$22="Yes",'_Data inputs (all)'!H22,""),"")</f>
        <v/>
      </c>
      <c r="I22" s="187" t="str">
        <f>IF('_Data inputs (all)'!$H$22="R",IF('_Data inputs (all)'!$J$22="Yes",IF(ISNUMBER('_Data inputs (all)'!I22),'_Data inputs (all)'!I22,""),""),"")</f>
        <v/>
      </c>
      <c r="J22" s="190" t="str">
        <f>IF('_Data inputs (all)'!$H$22="R",IF('_Data inputs (all)'!$J$22="Yes",IF(ISTEXT('_Data inputs (all)'!J22),'_Data inputs (all)'!J22,""),""),"")</f>
        <v/>
      </c>
      <c r="K22" s="183" t="str">
        <f>IF('_Data inputs (all)'!$H$22="R",IF('_Data inputs (all)'!$J$22="Yes",IF(ISTEXT('_Data inputs (all)'!K22),'_Data inputs (all)'!K22,""),""),"")</f>
        <v/>
      </c>
      <c r="L22" s="190" t="str">
        <f>IF('_Data inputs (all)'!$H$22="R",IF('_Data inputs (all)'!$J$22="Yes",IF(ISTEXT('_Data inputs (all)'!L22),'_Data inputs (all)'!L22,""),""),"")</f>
        <v/>
      </c>
      <c r="M22" s="183" t="str">
        <f>IF('_Data inputs (all)'!$H$22="R",IF('_Data inputs (all)'!$J$22="Yes",IF(ISTEXT('_Data inputs (all)'!M22),'_Data inputs (all)'!M22,""),""),"")</f>
        <v/>
      </c>
    </row>
    <row xmlns:x14ac="http://schemas.microsoft.com/office/spreadsheetml/2009/9/ac" r="23" x14ac:dyDescent="0.2">
      <c r="A23" s="105" t="str">
        <f>IF(ISTEXT(VLOOKUP('_Data inputs (all)'!B23,countryname,2,FALSE)),IF(Introduction!$A$2="English",VLOOKUP('_Data inputs (all)'!B23,countryname,2,FALSE),IF(Introduction!$A$2="French",VLOOKUP('_Data inputs (all)'!B23,countryname,3,FALSE),IF(Introduction!$A$2="Spanish",VLOOKUP('_Data inputs (all)'!B23,countryname,4,FALSE),IF(Introduction!$A$2="Russian",VLOOKUP('_Data inputs (all)'!B23,countryname,5,FALSE),IF(Introduction!$A$2="Arabic",VLOOKUP('_Data inputs (all)'!B23,countryname,6,FALSE),IF(Introduction!$A$2="Chinese",VLOOKUP('_Data inputs (all)'!B23,countryname,7,FALSE),IF(Introduction!$A$2="Other",VLOOKUP('_Data inputs (all)'!B23,countryname,8,FALSE)))))))),"")</f>
        <v/>
      </c>
      <c r="B23" s="42">
        <f>'_Data inputs (all)'!B23</f>
        <v>0</v>
      </c>
      <c r="C23" s="110">
        <f>'_Data inputs (all)'!C23</f>
        <v>0</v>
      </c>
      <c r="D23" s="6" t="e">
        <f>IF(Introduction!$A$2="English",VLOOKUP('_Data inputs (all)'!D23,nametranslations,1,FALSE),IF(Introduction!$A$2="Spanish",VLOOKUP('_Data inputs (all)'!D23,nametranslations,2,FALSE),IF(Introduction!$A$2="French",VLOOKUP('_Data inputs (all)'!D23,nametranslations,3,FALSE),IF(Introduction!$A$2="Arabic",VLOOKUP('_Data inputs (all)'!D23,nametranslations,4,FALSE),IF(Introduction!$A$2="Russian",VLOOKUP('_Data inputs (all)'!D23,nametranslations,5,FALSE),IF(Introduction!$A$2="Chinese",VLOOKUP('_Data inputs (all)'!D23,nametranslations,6,FALSE),IF(Introduction!$A$2="Other",VLOOKUP('_Data inputs (all)'!D23,nametranslations,7,FALSE))))))))</f>
        <v>#N/A</v>
      </c>
      <c r="E23" s="110">
        <f>'_Data inputs (all)'!E23</f>
        <v>0</v>
      </c>
      <c r="F23" s="183">
        <f>'_Data inputs (all)'!F23</f>
        <v>0</v>
      </c>
      <c r="G23" s="6" t="e">
        <f>IF(Introduction!$A$2="English",VLOOKUP('_Data inputs (all)'!G23,nametranslations,1,FALSE),IF(Introduction!$A$2="Spanish",VLOOKUP('_Data inputs (all)'!G23,nametranslations,2,FALSE),IF(Introduction!$A$2="French",VLOOKUP('_Data inputs (all)'!G23,nametranslations,3,FALSE),IF(Introduction!$A$2="Arabic",VLOOKUP('_Data inputs (all)'!G23,nametranslations,4,FALSE),IF(Introduction!$A$2="Russian",VLOOKUP('_Data inputs (all)'!G23,nametranslations,5,FALSE),IF(Introduction!$A$2="Chinese",VLOOKUP('_Data inputs (all)'!G23,nametranslations,6,FALSE),IF(Introduction!$A$2="Other",VLOOKUP('_Data inputs (all)'!G23,nametranslations,7,FALSE))))))))</f>
        <v>#N/A</v>
      </c>
      <c r="H23" s="186">
        <f>'_Data inputs (all)'!H23</f>
        <v>0</v>
      </c>
      <c r="I23" s="187" t="str">
        <f>IF(ISNUMBER('_Data inputs (all)'!I23),'_Data inputs (all)'!I23,"")</f>
        <v/>
      </c>
      <c r="J23" s="187" t="str">
        <f>IF(ISTEXT('_Data inputs (all)'!J23),'_Data inputs (all)'!J23,"")</f>
        <v/>
      </c>
      <c r="K23" s="188" t="str">
        <f>IF(ISTEXT('_Data inputs (all)'!K23),'_Data inputs (all)'!K23,"")</f>
        <v/>
      </c>
      <c r="L23" s="186" t="str">
        <f>IF(ISTEXT('_Data inputs (all)'!L23),'_Data inputs (all)'!L23,"")</f>
        <v/>
      </c>
      <c r="M23" s="188" t="str">
        <f>IF(ISTEXT('_Data inputs (all)'!M23),'_Data inputs (all)'!M23,"")</f>
        <v/>
      </c>
    </row>
    <row xmlns:x14ac="http://schemas.microsoft.com/office/spreadsheetml/2009/9/ac" r="24" x14ac:dyDescent="0.2">
      <c r="A24" s="105" t="str">
        <f>IF(ISTEXT(VLOOKUP('_Data inputs (all)'!B24,countryname,2,FALSE)),IF(Introduction!$A$2="English",VLOOKUP('_Data inputs (all)'!B24,countryname,2,FALSE),IF(Introduction!$A$2="French",VLOOKUP('_Data inputs (all)'!B24,countryname,3,FALSE),IF(Introduction!$A$2="Spanish",VLOOKUP('_Data inputs (all)'!B24,countryname,4,FALSE),IF(Introduction!$A$2="Russian",VLOOKUP('_Data inputs (all)'!B24,countryname,5,FALSE),IF(Introduction!$A$2="Arabic",VLOOKUP('_Data inputs (all)'!B24,countryname,6,FALSE),IF(Introduction!$A$2="Chinese",VLOOKUP('_Data inputs (all)'!B24,countryname,7,FALSE),IF(Introduction!$A$2="Other",VLOOKUP('_Data inputs (all)'!B24,countryname,8,FALSE)))))))),"")</f>
        <v/>
      </c>
      <c r="B24" s="42">
        <f>'_Data inputs (all)'!B24</f>
        <v>0</v>
      </c>
      <c r="C24" s="110">
        <f>'_Data inputs (all)'!C24</f>
        <v>0</v>
      </c>
      <c r="D24" s="6" t="e">
        <f>IF(Introduction!$A$2="English",VLOOKUP('_Data inputs (all)'!D24,nametranslations,1,FALSE),IF(Introduction!$A$2="Spanish",VLOOKUP('_Data inputs (all)'!D24,nametranslations,2,FALSE),IF(Introduction!$A$2="French",VLOOKUP('_Data inputs (all)'!D24,nametranslations,3,FALSE),IF(Introduction!$A$2="Arabic",VLOOKUP('_Data inputs (all)'!D24,nametranslations,4,FALSE),IF(Introduction!$A$2="Russian",VLOOKUP('_Data inputs (all)'!D24,nametranslations,5,FALSE),IF(Introduction!$A$2="Chinese",VLOOKUP('_Data inputs (all)'!D24,nametranslations,6,FALSE),IF(Introduction!$A$2="Other",VLOOKUP('_Data inputs (all)'!D24,nametranslations,7,FALSE))))))))</f>
        <v>#N/A</v>
      </c>
      <c r="E24" s="110">
        <f>'_Data inputs (all)'!E24</f>
        <v>0</v>
      </c>
      <c r="F24" s="183">
        <f>'_Data inputs (all)'!F24</f>
        <v>0</v>
      </c>
      <c r="G24" s="6" t="e">
        <f>IF(Introduction!$A$2="English",VLOOKUP('_Data inputs (all)'!G24,nametranslations,1,FALSE),IF(Introduction!$A$2="Spanish",VLOOKUP('_Data inputs (all)'!G24,nametranslations,2,FALSE),IF(Introduction!$A$2="French",VLOOKUP('_Data inputs (all)'!G24,nametranslations,3,FALSE),IF(Introduction!$A$2="Arabic",VLOOKUP('_Data inputs (all)'!G24,nametranslations,4,FALSE),IF(Introduction!$A$2="Russian",VLOOKUP('_Data inputs (all)'!G24,nametranslations,5,FALSE),IF(Introduction!$A$2="Chinese",VLOOKUP('_Data inputs (all)'!G24,nametranslations,6,FALSE),IF(Introduction!$A$2="Other",VLOOKUP('_Data inputs (all)'!G24,nametranslations,7,FALSE))))))))</f>
        <v>#N/A</v>
      </c>
      <c r="H24" s="186">
        <f>'_Data inputs (all)'!H24</f>
        <v>0</v>
      </c>
      <c r="I24" s="187" t="str">
        <f>IF(ISNUMBER('_Data inputs (all)'!I24),'_Data inputs (all)'!I24,"")</f>
        <v/>
      </c>
      <c r="J24" s="187" t="str">
        <f>IF(ISTEXT('_Data inputs (all)'!J24),'_Data inputs (all)'!J24,"")</f>
        <v/>
      </c>
      <c r="K24" s="188" t="str">
        <f>IF(ISTEXT('_Data inputs (all)'!K24),'_Data inputs (all)'!K24,"")</f>
        <v/>
      </c>
      <c r="L24" s="186" t="str">
        <f>IF(ISTEXT('_Data inputs (all)'!L24),'_Data inputs (all)'!L24,"")</f>
        <v/>
      </c>
      <c r="M24" s="188" t="str">
        <f>IF(ISTEXT('_Data inputs (all)'!M24),'_Data inputs (all)'!M24,"")</f>
        <v/>
      </c>
    </row>
    <row xmlns:x14ac="http://schemas.microsoft.com/office/spreadsheetml/2009/9/ac" r="25" x14ac:dyDescent="0.2">
      <c r="A25" s="105" t="str">
        <f>IF(ISTEXT(VLOOKUP('_Data inputs (all)'!B25,countryname,2,FALSE)),IF(Introduction!$A$2="English",VLOOKUP('_Data inputs (all)'!B25,countryname,2,FALSE),IF(Introduction!$A$2="French",VLOOKUP('_Data inputs (all)'!B25,countryname,3,FALSE),IF(Introduction!$A$2="Spanish",VLOOKUP('_Data inputs (all)'!B25,countryname,4,FALSE),IF(Introduction!$A$2="Russian",VLOOKUP('_Data inputs (all)'!B25,countryname,5,FALSE),IF(Introduction!$A$2="Arabic",VLOOKUP('_Data inputs (all)'!B25,countryname,6,FALSE),IF(Introduction!$A$2="Chinese",VLOOKUP('_Data inputs (all)'!B25,countryname,7,FALSE),IF(Introduction!$A$2="Other",VLOOKUP('_Data inputs (all)'!B25,countryname,8,FALSE)))))))),"")</f>
        <v/>
      </c>
      <c r="B25" s="42">
        <f>'_Data inputs (all)'!B25</f>
        <v>0</v>
      </c>
      <c r="C25" s="110">
        <f>'_Data inputs (all)'!C25</f>
        <v>0</v>
      </c>
      <c r="D25" s="6" t="e">
        <f>IF(Introduction!$A$2="English",VLOOKUP('_Data inputs (all)'!D25,nametranslations,1,FALSE),IF(Introduction!$A$2="Spanish",VLOOKUP('_Data inputs (all)'!D25,nametranslations,2,FALSE),IF(Introduction!$A$2="French",VLOOKUP('_Data inputs (all)'!D25,nametranslations,3,FALSE),IF(Introduction!$A$2="Arabic",VLOOKUP('_Data inputs (all)'!D25,nametranslations,4,FALSE),IF(Introduction!$A$2="Russian",VLOOKUP('_Data inputs (all)'!D25,nametranslations,5,FALSE),IF(Introduction!$A$2="Chinese",VLOOKUP('_Data inputs (all)'!D25,nametranslations,6,FALSE),IF(Introduction!$A$2="Other",VLOOKUP('_Data inputs (all)'!D25,nametranslations,7,FALSE))))))))</f>
        <v>#N/A</v>
      </c>
      <c r="E25" s="110">
        <f>'_Data inputs (all)'!E25</f>
        <v>0</v>
      </c>
      <c r="F25" s="183">
        <f>'_Data inputs (all)'!F25</f>
        <v>0</v>
      </c>
      <c r="G25" s="6" t="e">
        <f>IF(Introduction!$A$2="English",VLOOKUP('_Data inputs (all)'!G25,nametranslations,1,FALSE),IF(Introduction!$A$2="Spanish",VLOOKUP('_Data inputs (all)'!G25,nametranslations,2,FALSE),IF(Introduction!$A$2="French",VLOOKUP('_Data inputs (all)'!G25,nametranslations,3,FALSE),IF(Introduction!$A$2="Arabic",VLOOKUP('_Data inputs (all)'!G25,nametranslations,4,FALSE),IF(Introduction!$A$2="Russian",VLOOKUP('_Data inputs (all)'!G25,nametranslations,5,FALSE),IF(Introduction!$A$2="Chinese",VLOOKUP('_Data inputs (all)'!G25,nametranslations,6,FALSE),IF(Introduction!$A$2="Other",VLOOKUP('_Data inputs (all)'!G25,nametranslations,7,FALSE))))))))</f>
        <v>#N/A</v>
      </c>
      <c r="H25" s="186">
        <f>'_Data inputs (all)'!H25</f>
        <v>0</v>
      </c>
      <c r="I25" s="187" t="str">
        <f>IF(ISNUMBER('_Data inputs (all)'!I25),'_Data inputs (all)'!I25,"")</f>
        <v/>
      </c>
      <c r="J25" s="187" t="str">
        <f>IF(ISTEXT('_Data inputs (all)'!J25),'_Data inputs (all)'!J25,"")</f>
        <v/>
      </c>
      <c r="K25" s="188" t="str">
        <f>IF(ISTEXT('_Data inputs (all)'!K25),'_Data inputs (all)'!K25,"")</f>
        <v/>
      </c>
      <c r="L25" s="186" t="str">
        <f>IF(ISTEXT('_Data inputs (all)'!L25),'_Data inputs (all)'!L25,"")</f>
        <v/>
      </c>
      <c r="M25" s="188" t="str">
        <f>IF(ISTEXT('_Data inputs (all)'!M25),'_Data inputs (all)'!M25,"")</f>
        <v/>
      </c>
    </row>
    <row xmlns:x14ac="http://schemas.microsoft.com/office/spreadsheetml/2009/9/ac" r="26" x14ac:dyDescent="0.2">
      <c r="A26" s="105" t="str">
        <f>IF(ISTEXT(VLOOKUP('_Data inputs (all)'!B26,countryname,2,FALSE)),IF(Introduction!$A$2="English",VLOOKUP('_Data inputs (all)'!B26,countryname,2,FALSE),IF(Introduction!$A$2="French",VLOOKUP('_Data inputs (all)'!B26,countryname,3,FALSE),IF(Introduction!$A$2="Spanish",VLOOKUP('_Data inputs (all)'!B26,countryname,4,FALSE),IF(Introduction!$A$2="Russian",VLOOKUP('_Data inputs (all)'!B26,countryname,5,FALSE),IF(Introduction!$A$2="Arabic",VLOOKUP('_Data inputs (all)'!B26,countryname,6,FALSE),IF(Introduction!$A$2="Chinese",VLOOKUP('_Data inputs (all)'!B26,countryname,7,FALSE),IF(Introduction!$A$2="Other",VLOOKUP('_Data inputs (all)'!B26,countryname,8,FALSE)))))))),"")</f>
        <v/>
      </c>
      <c r="B26" s="42">
        <f>'_Data inputs (all)'!B26</f>
        <v>0</v>
      </c>
      <c r="C26" s="110">
        <f>'_Data inputs (all)'!C26</f>
        <v>0</v>
      </c>
      <c r="D26" s="6" t="e">
        <f>IF(Introduction!$A$2="English",VLOOKUP('_Data inputs (all)'!D26,nametranslations,1,FALSE),IF(Introduction!$A$2="Spanish",VLOOKUP('_Data inputs (all)'!D26,nametranslations,2,FALSE),IF(Introduction!$A$2="French",VLOOKUP('_Data inputs (all)'!D26,nametranslations,3,FALSE),IF(Introduction!$A$2="Arabic",VLOOKUP('_Data inputs (all)'!D26,nametranslations,4,FALSE),IF(Introduction!$A$2="Russian",VLOOKUP('_Data inputs (all)'!D26,nametranslations,5,FALSE),IF(Introduction!$A$2="Chinese",VLOOKUP('_Data inputs (all)'!D26,nametranslations,6,FALSE),IF(Introduction!$A$2="Other",VLOOKUP('_Data inputs (all)'!D26,nametranslations,7,FALSE))))))))</f>
        <v>#N/A</v>
      </c>
      <c r="E26" s="110">
        <f>'_Data inputs (all)'!E26</f>
        <v>0</v>
      </c>
      <c r="F26" s="183">
        <f>'_Data inputs (all)'!F26</f>
        <v>0</v>
      </c>
      <c r="G26" s="6" t="e">
        <f>IF(Introduction!$A$2="English",VLOOKUP('_Data inputs (all)'!G26,nametranslations,1,FALSE),IF(Introduction!$A$2="Spanish",VLOOKUP('_Data inputs (all)'!G26,nametranslations,2,FALSE),IF(Introduction!$A$2="French",VLOOKUP('_Data inputs (all)'!G26,nametranslations,3,FALSE),IF(Introduction!$A$2="Arabic",VLOOKUP('_Data inputs (all)'!G26,nametranslations,4,FALSE),IF(Introduction!$A$2="Russian",VLOOKUP('_Data inputs (all)'!G26,nametranslations,5,FALSE),IF(Introduction!$A$2="Chinese",VLOOKUP('_Data inputs (all)'!G26,nametranslations,6,FALSE),IF(Introduction!$A$2="Other",VLOOKUP('_Data inputs (all)'!G26,nametranslations,7,FALSE))))))))</f>
        <v>#N/A</v>
      </c>
      <c r="H26" s="186">
        <f>'_Data inputs (all)'!H26</f>
        <v>0</v>
      </c>
      <c r="I26" s="187" t="str">
        <f>IF(ISNUMBER('_Data inputs (all)'!I26),'_Data inputs (all)'!I26,"")</f>
        <v/>
      </c>
      <c r="J26" s="187" t="str">
        <f>IF(ISTEXT('_Data inputs (all)'!J26),'_Data inputs (all)'!J26,"")</f>
        <v/>
      </c>
      <c r="K26" s="188" t="str">
        <f>IF(ISTEXT('_Data inputs (all)'!K26),'_Data inputs (all)'!K26,"")</f>
        <v/>
      </c>
      <c r="L26" s="186" t="str">
        <f>IF(ISTEXT('_Data inputs (all)'!L26),'_Data inputs (all)'!L26,"")</f>
        <v/>
      </c>
      <c r="M26" s="188" t="str">
        <f>IF(ISTEXT('_Data inputs (all)'!M26),'_Data inputs (all)'!M26,"")</f>
        <v/>
      </c>
    </row>
    <row xmlns:x14ac="http://schemas.microsoft.com/office/spreadsheetml/2009/9/ac" r="27" x14ac:dyDescent="0.2">
      <c r="A27" s="105" t="str">
        <f>IF(ISTEXT(VLOOKUP('_Data inputs (all)'!B27,countryname,2,FALSE)),IF(Introduction!$A$2="English",VLOOKUP('_Data inputs (all)'!B27,countryname,2,FALSE),IF(Introduction!$A$2="French",VLOOKUP('_Data inputs (all)'!B27,countryname,3,FALSE),IF(Introduction!$A$2="Spanish",VLOOKUP('_Data inputs (all)'!B27,countryname,4,FALSE),IF(Introduction!$A$2="Russian",VLOOKUP('_Data inputs (all)'!B27,countryname,5,FALSE),IF(Introduction!$A$2="Arabic",VLOOKUP('_Data inputs (all)'!B27,countryname,6,FALSE),IF(Introduction!$A$2="Chinese",VLOOKUP('_Data inputs (all)'!B27,countryname,7,FALSE),IF(Introduction!$A$2="Other",VLOOKUP('_Data inputs (all)'!B27,countryname,8,FALSE)))))))),"")</f>
        <v/>
      </c>
      <c r="B27" s="42">
        <f>'_Data inputs (all)'!B27</f>
        <v>0</v>
      </c>
      <c r="C27" s="110">
        <f>'_Data inputs (all)'!C27</f>
        <v>0</v>
      </c>
      <c r="D27" s="6" t="e">
        <f>IF(Introduction!$A$2="English",VLOOKUP('_Data inputs (all)'!D27,nametranslations,1,FALSE),IF(Introduction!$A$2="Spanish",VLOOKUP('_Data inputs (all)'!D27,nametranslations,2,FALSE),IF(Introduction!$A$2="French",VLOOKUP('_Data inputs (all)'!D27,nametranslations,3,FALSE),IF(Introduction!$A$2="Arabic",VLOOKUP('_Data inputs (all)'!D27,nametranslations,4,FALSE),IF(Introduction!$A$2="Russian",VLOOKUP('_Data inputs (all)'!D27,nametranslations,5,FALSE),IF(Introduction!$A$2="Chinese",VLOOKUP('_Data inputs (all)'!D27,nametranslations,6,FALSE),IF(Introduction!$A$2="Other",VLOOKUP('_Data inputs (all)'!D27,nametranslations,7,FALSE))))))))</f>
        <v>#N/A</v>
      </c>
      <c r="E27" s="110">
        <f>'_Data inputs (all)'!E27</f>
        <v>0</v>
      </c>
      <c r="F27" s="183">
        <f>'_Data inputs (all)'!F27</f>
        <v>0</v>
      </c>
      <c r="G27" s="6" t="e">
        <f>IF(Introduction!$A$2="English",VLOOKUP('_Data inputs (all)'!G27,nametranslations,1,FALSE),IF(Introduction!$A$2="Spanish",VLOOKUP('_Data inputs (all)'!G27,nametranslations,2,FALSE),IF(Introduction!$A$2="French",VLOOKUP('_Data inputs (all)'!G27,nametranslations,3,FALSE),IF(Introduction!$A$2="Arabic",VLOOKUP('_Data inputs (all)'!G27,nametranslations,4,FALSE),IF(Introduction!$A$2="Russian",VLOOKUP('_Data inputs (all)'!G27,nametranslations,5,FALSE),IF(Introduction!$A$2="Chinese",VLOOKUP('_Data inputs (all)'!G27,nametranslations,6,FALSE),IF(Introduction!$A$2="Other",VLOOKUP('_Data inputs (all)'!G27,nametranslations,7,FALSE))))))))</f>
        <v>#N/A</v>
      </c>
      <c r="H27" s="186">
        <f>'_Data inputs (all)'!H27</f>
        <v>0</v>
      </c>
      <c r="I27" s="187" t="str">
        <f>IF(ISNUMBER('_Data inputs (all)'!I27),'_Data inputs (all)'!I27,"")</f>
        <v/>
      </c>
      <c r="J27" s="187" t="str">
        <f>IF(ISTEXT('_Data inputs (all)'!J27),'_Data inputs (all)'!J27,"")</f>
        <v/>
      </c>
      <c r="K27" s="188" t="str">
        <f>IF(ISTEXT('_Data inputs (all)'!K27),'_Data inputs (all)'!K27,"")</f>
        <v/>
      </c>
      <c r="L27" s="186" t="str">
        <f>IF(ISTEXT('_Data inputs (all)'!L27),'_Data inputs (all)'!L27,"")</f>
        <v/>
      </c>
      <c r="M27" s="188" t="str">
        <f>IF(ISTEXT('_Data inputs (all)'!M27),'_Data inputs (all)'!M27,"")</f>
        <v/>
      </c>
    </row>
    <row xmlns:x14ac="http://schemas.microsoft.com/office/spreadsheetml/2009/9/ac" r="28" x14ac:dyDescent="0.2">
      <c r="A28" s="105" t="str">
        <f>IF(ISTEXT(VLOOKUP('_Data inputs (all)'!B28,countryname,2,FALSE)),IF(Introduction!$A$2="English",VLOOKUP('_Data inputs (all)'!B28,countryname,2,FALSE),IF(Introduction!$A$2="French",VLOOKUP('_Data inputs (all)'!B28,countryname,3,FALSE),IF(Introduction!$A$2="Spanish",VLOOKUP('_Data inputs (all)'!B28,countryname,4,FALSE),IF(Introduction!$A$2="Russian",VLOOKUP('_Data inputs (all)'!B28,countryname,5,FALSE),IF(Introduction!$A$2="Arabic",VLOOKUP('_Data inputs (all)'!B28,countryname,6,FALSE),IF(Introduction!$A$2="Chinese",VLOOKUP('_Data inputs (all)'!B28,countryname,7,FALSE),IF(Introduction!$A$2="Other",VLOOKUP('_Data inputs (all)'!B28,countryname,8,FALSE)))))))),"")</f>
        <v/>
      </c>
      <c r="B28" s="42">
        <f>'_Data inputs (all)'!B28</f>
        <v>0</v>
      </c>
      <c r="C28" s="110">
        <f>'_Data inputs (all)'!C28</f>
        <v>0</v>
      </c>
      <c r="D28" s="6" t="e">
        <f>IF(Introduction!$A$2="English",VLOOKUP('_Data inputs (all)'!D28,nametranslations,1,FALSE),IF(Introduction!$A$2="Spanish",VLOOKUP('_Data inputs (all)'!D28,nametranslations,2,FALSE),IF(Introduction!$A$2="French",VLOOKUP('_Data inputs (all)'!D28,nametranslations,3,FALSE),IF(Introduction!$A$2="Arabic",VLOOKUP('_Data inputs (all)'!D28,nametranslations,4,FALSE),IF(Introduction!$A$2="Russian",VLOOKUP('_Data inputs (all)'!D28,nametranslations,5,FALSE),IF(Introduction!$A$2="Chinese",VLOOKUP('_Data inputs (all)'!D28,nametranslations,6,FALSE),IF(Introduction!$A$2="Other",VLOOKUP('_Data inputs (all)'!D28,nametranslations,7,FALSE))))))))</f>
        <v>#N/A</v>
      </c>
      <c r="E28" s="110">
        <f>'_Data inputs (all)'!E28</f>
        <v>0</v>
      </c>
      <c r="F28" s="189">
        <f>'_Data inputs (all)'!F28</f>
        <v>0</v>
      </c>
      <c r="G28" s="6" t="e">
        <f>IF(Introduction!$A$2="English",VLOOKUP('_Data inputs (all)'!G28,nametranslations,1,FALSE),IF(Introduction!$A$2="Spanish",VLOOKUP('_Data inputs (all)'!G28,nametranslations,2,FALSE),IF(Introduction!$A$2="French",VLOOKUP('_Data inputs (all)'!G28,nametranslations,3,FALSE),IF(Introduction!$A$2="Arabic",VLOOKUP('_Data inputs (all)'!G28,nametranslations,4,FALSE),IF(Introduction!$A$2="Russian",VLOOKUP('_Data inputs (all)'!G28,nametranslations,5,FALSE),IF(Introduction!$A$2="Chinese",VLOOKUP('_Data inputs (all)'!G28,nametranslations,6,FALSE),IF(Introduction!$A$2="Other",VLOOKUP('_Data inputs (all)'!G28,nametranslations,7,FALSE))))))))</f>
        <v>#N/A</v>
      </c>
      <c r="H28" s="186">
        <f>'_Data inputs (all)'!H28</f>
        <v>0</v>
      </c>
      <c r="I28" s="187" t="str">
        <f>IF(ISNUMBER('_Data inputs (all)'!I28),'_Data inputs (all)'!I28,"")</f>
        <v/>
      </c>
      <c r="J28" s="187" t="str">
        <f>IF(ISTEXT('_Data inputs (all)'!J28),'_Data inputs (all)'!J28,"")</f>
        <v/>
      </c>
      <c r="K28" s="188" t="str">
        <f>IF(ISTEXT('_Data inputs (all)'!K28),'_Data inputs (all)'!K28,"")</f>
        <v/>
      </c>
      <c r="L28" s="186" t="str">
        <f>IF(ISTEXT('_Data inputs (all)'!L28),'_Data inputs (all)'!L28,"")</f>
        <v/>
      </c>
      <c r="M28" s="188" t="str">
        <f>IF(ISTEXT('_Data inputs (all)'!M28),'_Data inputs (all)'!M28,"")</f>
        <v/>
      </c>
    </row>
    <row xmlns:x14ac="http://schemas.microsoft.com/office/spreadsheetml/2009/9/ac" r="29" x14ac:dyDescent="0.2">
      <c r="A29" s="105" t="str">
        <f>IF(ISTEXT(VLOOKUP('_Data inputs (all)'!B29,countryname,2,FALSE)),IF(Introduction!$A$2="English",VLOOKUP('_Data inputs (all)'!B29,countryname,2,FALSE),IF(Introduction!$A$2="French",VLOOKUP('_Data inputs (all)'!B29,countryname,3,FALSE),IF(Introduction!$A$2="Spanish",VLOOKUP('_Data inputs (all)'!B29,countryname,4,FALSE),IF(Introduction!$A$2="Russian",VLOOKUP('_Data inputs (all)'!B29,countryname,5,FALSE),IF(Introduction!$A$2="Arabic",VLOOKUP('_Data inputs (all)'!B29,countryname,6,FALSE),IF(Introduction!$A$2="Chinese",VLOOKUP('_Data inputs (all)'!B29,countryname,7,FALSE),IF(Introduction!$A$2="Other",VLOOKUP('_Data inputs (all)'!B29,countryname,8,FALSE)))))))),"")</f>
        <v/>
      </c>
      <c r="B29" s="42">
        <f>'_Data inputs (all)'!B29</f>
        <v>0</v>
      </c>
      <c r="C29" s="110">
        <f>'_Data inputs (all)'!C29</f>
        <v>0</v>
      </c>
      <c r="D29" s="6" t="e">
        <f>IF(Introduction!$A$2="English",VLOOKUP('_Data inputs (all)'!D29,nametranslations,1,FALSE),IF(Introduction!$A$2="Spanish",VLOOKUP('_Data inputs (all)'!D29,nametranslations,2,FALSE),IF(Introduction!$A$2="French",VLOOKUP('_Data inputs (all)'!D29,nametranslations,3,FALSE),IF(Introduction!$A$2="Arabic",VLOOKUP('_Data inputs (all)'!D29,nametranslations,4,FALSE),IF(Introduction!$A$2="Russian",VLOOKUP('_Data inputs (all)'!D29,nametranslations,5,FALSE),IF(Introduction!$A$2="Chinese",VLOOKUP('_Data inputs (all)'!D29,nametranslations,6,FALSE),IF(Introduction!$A$2="Other",VLOOKUP('_Data inputs (all)'!D29,nametranslations,7,FALSE))))))))</f>
        <v>#N/A</v>
      </c>
      <c r="E29" s="110">
        <f>'_Data inputs (all)'!E29</f>
        <v>0</v>
      </c>
      <c r="F29" s="183">
        <f>'_Data inputs (all)'!F29</f>
        <v>0</v>
      </c>
      <c r="G29" s="6" t="e">
        <f>IF(Introduction!$A$2="English",VLOOKUP('_Data inputs (all)'!G29,nametranslations,1,FALSE),IF(Introduction!$A$2="Spanish",VLOOKUP('_Data inputs (all)'!G29,nametranslations,2,FALSE),IF(Introduction!$A$2="French",VLOOKUP('_Data inputs (all)'!G29,nametranslations,3,FALSE),IF(Introduction!$A$2="Arabic",VLOOKUP('_Data inputs (all)'!G29,nametranslations,4,FALSE),IF(Introduction!$A$2="Russian",VLOOKUP('_Data inputs (all)'!G29,nametranslations,5,FALSE),IF(Introduction!$A$2="Chinese",VLOOKUP('_Data inputs (all)'!G29,nametranslations,6,FALSE),IF(Introduction!$A$2="Other",VLOOKUP('_Data inputs (all)'!G29,nametranslations,7,FALSE))))))))</f>
        <v>#N/A</v>
      </c>
      <c r="H29" s="186">
        <f>'_Data inputs (all)'!H29</f>
        <v>0</v>
      </c>
      <c r="I29" s="187" t="str">
        <f>IF(ISNUMBER('_Data inputs (all)'!I29),'_Data inputs (all)'!I29,"")</f>
        <v/>
      </c>
      <c r="J29" s="187" t="str">
        <f>IF(ISTEXT('_Data inputs (all)'!J29),'_Data inputs (all)'!J29,"")</f>
        <v/>
      </c>
      <c r="K29" s="188" t="str">
        <f>IF(ISTEXT('_Data inputs (all)'!K29),'_Data inputs (all)'!K29,"")</f>
        <v/>
      </c>
      <c r="L29" s="186" t="str">
        <f>IF(ISTEXT('_Data inputs (all)'!L29),'_Data inputs (all)'!L29,"")</f>
        <v/>
      </c>
      <c r="M29" s="188" t="str">
        <f>IF(ISTEXT('_Data inputs (all)'!M29),'_Data inputs (all)'!M29,"")</f>
        <v/>
      </c>
    </row>
    <row xmlns:x14ac="http://schemas.microsoft.com/office/spreadsheetml/2009/9/ac" r="30" x14ac:dyDescent="0.2">
      <c r="A30" s="105" t="str">
        <f>IF(ISTEXT(VLOOKUP('_Data inputs (all)'!B30,countryname,2,FALSE)),IF(Introduction!$A$2="English",VLOOKUP('_Data inputs (all)'!B30,countryname,2,FALSE),IF(Introduction!$A$2="French",VLOOKUP('_Data inputs (all)'!B30,countryname,3,FALSE),IF(Introduction!$A$2="Spanish",VLOOKUP('_Data inputs (all)'!B30,countryname,4,FALSE),IF(Introduction!$A$2="Russian",VLOOKUP('_Data inputs (all)'!B30,countryname,5,FALSE),IF(Introduction!$A$2="Arabic",VLOOKUP('_Data inputs (all)'!B30,countryname,6,FALSE),IF(Introduction!$A$2="Chinese",VLOOKUP('_Data inputs (all)'!B30,countryname,7,FALSE),IF(Introduction!$A$2="Other",VLOOKUP('_Data inputs (all)'!B30,countryname,8,FALSE)))))))),"")</f>
        <v/>
      </c>
      <c r="B30" s="42">
        <f>'_Data inputs (all)'!B30</f>
        <v>0</v>
      </c>
      <c r="C30" s="110">
        <f>'_Data inputs (all)'!C30</f>
        <v>0</v>
      </c>
      <c r="D30" s="6" t="e">
        <f>IF(Introduction!$A$2="English",VLOOKUP('_Data inputs (all)'!D30,nametranslations,1,FALSE),IF(Introduction!$A$2="Spanish",VLOOKUP('_Data inputs (all)'!D30,nametranslations,2,FALSE),IF(Introduction!$A$2="French",VLOOKUP('_Data inputs (all)'!D30,nametranslations,3,FALSE),IF(Introduction!$A$2="Arabic",VLOOKUP('_Data inputs (all)'!D30,nametranslations,4,FALSE),IF(Introduction!$A$2="Russian",VLOOKUP('_Data inputs (all)'!D30,nametranslations,5,FALSE),IF(Introduction!$A$2="Chinese",VLOOKUP('_Data inputs (all)'!D30,nametranslations,6,FALSE),IF(Introduction!$A$2="Other",VLOOKUP('_Data inputs (all)'!D30,nametranslations,7,FALSE))))))))</f>
        <v>#N/A</v>
      </c>
      <c r="E30" s="110">
        <f>'_Data inputs (all)'!E30</f>
        <v>0</v>
      </c>
      <c r="F30" s="151">
        <f>'D- Delivered'!B4</f>
        <v>0</v>
      </c>
      <c r="G30" s="6" t="e">
        <f>IF(Introduction!$A$2="English",VLOOKUP('_Data inputs (all)'!G30,nametranslations,1,FALSE),IF(Introduction!$A$2="Spanish",VLOOKUP('_Data inputs (all)'!G30,nametranslations,2,FALSE),IF(Introduction!$A$2="French",VLOOKUP('_Data inputs (all)'!G30,nametranslations,3,FALSE),IF(Introduction!$A$2="Arabic",VLOOKUP('_Data inputs (all)'!G30,nametranslations,4,FALSE),IF(Introduction!$A$2="Russian",VLOOKUP('_Data inputs (all)'!G30,nametranslations,5,FALSE),IF(Introduction!$A$2="Chinese",VLOOKUP('_Data inputs (all)'!G30,nametranslations,6,FALSE),IF(Introduction!$A$2="Other",VLOOKUP('_Data inputs (all)'!G30,nametranslations,7,FALSE))))))))</f>
        <v>#N/A</v>
      </c>
      <c r="H30" s="110">
        <f>'_Data inputs (all)'!H30</f>
        <v>0</v>
      </c>
      <c r="I30" s="1" t="str">
        <f>IF(ISNUMBER('_Data inputs (all)'!I30),'_Data inputs (all)'!I30,"")</f>
        <v/>
      </c>
      <c r="J30" s="1" t="str">
        <f>IF(ISTEXT('_Data inputs (all)'!J30),'_Data inputs (all)'!J30,"")</f>
        <v/>
      </c>
      <c r="K30" s="144" t="str">
        <f>IF(ISTEXT('_Data inputs (all)'!K30),'_Data inputs (all)'!K30,"")</f>
        <v/>
      </c>
      <c r="L30" s="110" t="str">
        <f>IF(ISTEXT('_Data inputs (all)'!L30),'_Data inputs (all)'!L30,"")</f>
        <v/>
      </c>
      <c r="M30" s="144" t="str">
        <f>IF(ISTEXT('_Data inputs (all)'!M30),'_Data inputs (all)'!M30,"")</f>
        <v/>
      </c>
    </row>
    <row xmlns:x14ac="http://schemas.microsoft.com/office/spreadsheetml/2009/9/ac" r="31" x14ac:dyDescent="0.2">
      <c r="A31" s="105" t="str">
        <f>IF(ISTEXT(VLOOKUP('_Data inputs (all)'!B31,countryname,2,FALSE)),IF(Introduction!$A$2="English",VLOOKUP('_Data inputs (all)'!B31,countryname,2,FALSE),IF(Introduction!$A$2="French",VLOOKUP('_Data inputs (all)'!B31,countryname,3,FALSE),IF(Introduction!$A$2="Spanish",VLOOKUP('_Data inputs (all)'!B31,countryname,4,FALSE),IF(Introduction!$A$2="Russian",VLOOKUP('_Data inputs (all)'!B31,countryname,5,FALSE),IF(Introduction!$A$2="Arabic",VLOOKUP('_Data inputs (all)'!B31,countryname,6,FALSE),IF(Introduction!$A$2="Chinese",VLOOKUP('_Data inputs (all)'!B31,countryname,7,FALSE),IF(Introduction!$A$2="Other",VLOOKUP('_Data inputs (all)'!B31,countryname,8,FALSE)))))))),"")</f>
        <v/>
      </c>
      <c r="B31" s="42">
        <f>'_Data inputs (all)'!B31</f>
        <v>0</v>
      </c>
      <c r="C31" s="110">
        <f>'_Data inputs (all)'!C31</f>
        <v>0</v>
      </c>
      <c r="D31" s="6" t="e">
        <f>IF(Introduction!$A$2="English",VLOOKUP('_Data inputs (all)'!D31,nametranslations,1,FALSE),IF(Introduction!$A$2="Spanish",VLOOKUP('_Data inputs (all)'!D31,nametranslations,2,FALSE),IF(Introduction!$A$2="French",VLOOKUP('_Data inputs (all)'!D31,nametranslations,3,FALSE),IF(Introduction!$A$2="Arabic",VLOOKUP('_Data inputs (all)'!D31,nametranslations,4,FALSE),IF(Introduction!$A$2="Russian",VLOOKUP('_Data inputs (all)'!D31,nametranslations,5,FALSE),IF(Introduction!$A$2="Chinese",VLOOKUP('_Data inputs (all)'!D31,nametranslations,6,FALSE),IF(Introduction!$A$2="Other",VLOOKUP('_Data inputs (all)'!D31,nametranslations,7,FALSE))))))))</f>
        <v>#N/A</v>
      </c>
      <c r="E31" s="110">
        <f>'_Data inputs (all)'!E31</f>
        <v>0</v>
      </c>
      <c r="F31" s="151">
        <f>'D- Delivered'!B5</f>
        <v>0</v>
      </c>
      <c r="G31" s="6" t="e">
        <f>IF(Introduction!$A$2="English",VLOOKUP('_Data inputs (all)'!G31,nametranslations,1,FALSE),IF(Introduction!$A$2="Spanish",VLOOKUP('_Data inputs (all)'!G31,nametranslations,2,FALSE),IF(Introduction!$A$2="French",VLOOKUP('_Data inputs (all)'!G31,nametranslations,3,FALSE),IF(Introduction!$A$2="Arabic",VLOOKUP('_Data inputs (all)'!G31,nametranslations,4,FALSE),IF(Introduction!$A$2="Russian",VLOOKUP('_Data inputs (all)'!G31,nametranslations,5,FALSE),IF(Introduction!$A$2="Chinese",VLOOKUP('_Data inputs (all)'!G31,nametranslations,6,FALSE),IF(Introduction!$A$2="Other",VLOOKUP('_Data inputs (all)'!G31,nametranslations,7,FALSE))))))))</f>
        <v>#N/A</v>
      </c>
      <c r="H31" s="110">
        <f>'_Data inputs (all)'!H31</f>
        <v>0</v>
      </c>
      <c r="I31" s="1" t="str">
        <f>IF(ISNUMBER('_Data inputs (all)'!I31),'_Data inputs (all)'!I31,"")</f>
        <v/>
      </c>
      <c r="J31" s="1" t="str">
        <f>IF(ISTEXT('_Data inputs (all)'!J31),'_Data inputs (all)'!J31,"")</f>
        <v/>
      </c>
      <c r="K31" s="144" t="str">
        <f>IF(ISTEXT('_Data inputs (all)'!K31),'_Data inputs (all)'!K31,"")</f>
        <v/>
      </c>
      <c r="L31" s="110" t="str">
        <f>IF(ISTEXT('_Data inputs (all)'!L31),'_Data inputs (all)'!L31,"")</f>
        <v/>
      </c>
      <c r="M31" s="144" t="str">
        <f>IF(ISTEXT('_Data inputs (all)'!M31),'_Data inputs (all)'!M31,"")</f>
        <v/>
      </c>
    </row>
    <row xmlns:x14ac="http://schemas.microsoft.com/office/spreadsheetml/2009/9/ac" r="32" x14ac:dyDescent="0.2">
      <c r="A32" s="105" t="str">
        <f>IF(ISTEXT(VLOOKUP('_Data inputs (all)'!B32,countryname,2,FALSE)),IF(Introduction!$A$2="English",VLOOKUP('_Data inputs (all)'!B32,countryname,2,FALSE),IF(Introduction!$A$2="French",VLOOKUP('_Data inputs (all)'!B32,countryname,3,FALSE),IF(Introduction!$A$2="Spanish",VLOOKUP('_Data inputs (all)'!B32,countryname,4,FALSE),IF(Introduction!$A$2="Russian",VLOOKUP('_Data inputs (all)'!B32,countryname,5,FALSE),IF(Introduction!$A$2="Arabic",VLOOKUP('_Data inputs (all)'!B32,countryname,6,FALSE),IF(Introduction!$A$2="Chinese",VLOOKUP('_Data inputs (all)'!B32,countryname,7,FALSE),IF(Introduction!$A$2="Other",VLOOKUP('_Data inputs (all)'!B32,countryname,8,FALSE)))))))),"")</f>
        <v/>
      </c>
      <c r="B32" s="42">
        <f>'_Data inputs (all)'!B32</f>
        <v>0</v>
      </c>
      <c r="C32" s="110">
        <f>'_Data inputs (all)'!C32</f>
        <v>0</v>
      </c>
      <c r="D32" s="6" t="e">
        <f>IF(Introduction!$A$2="English",VLOOKUP('_Data inputs (all)'!D32,nametranslations,1,FALSE),IF(Introduction!$A$2="Spanish",VLOOKUP('_Data inputs (all)'!D32,nametranslations,2,FALSE),IF(Introduction!$A$2="French",VLOOKUP('_Data inputs (all)'!D32,nametranslations,3,FALSE),IF(Introduction!$A$2="Arabic",VLOOKUP('_Data inputs (all)'!D32,nametranslations,4,FALSE),IF(Introduction!$A$2="Russian",VLOOKUP('_Data inputs (all)'!D32,nametranslations,5,FALSE),IF(Introduction!$A$2="Chinese",VLOOKUP('_Data inputs (all)'!D32,nametranslations,6,FALSE),IF(Introduction!$A$2="Other",VLOOKUP('_Data inputs (all)'!D32,nametranslations,7,FALSE))))))))</f>
        <v>#N/A</v>
      </c>
      <c r="E32" s="110">
        <f>'_Data inputs (all)'!E32</f>
        <v>0</v>
      </c>
      <c r="F32" s="151">
        <f>'D- Delivered'!B6</f>
        <v>0</v>
      </c>
      <c r="G32" s="6" t="e">
        <f>IF(Introduction!$A$2="English",VLOOKUP('_Data inputs (all)'!G32,nametranslations,1,FALSE),IF(Introduction!$A$2="Spanish",VLOOKUP('_Data inputs (all)'!G32,nametranslations,2,FALSE),IF(Introduction!$A$2="French",VLOOKUP('_Data inputs (all)'!G32,nametranslations,3,FALSE),IF(Introduction!$A$2="Arabic",VLOOKUP('_Data inputs (all)'!G32,nametranslations,4,FALSE),IF(Introduction!$A$2="Russian",VLOOKUP('_Data inputs (all)'!G32,nametranslations,5,FALSE),IF(Introduction!$A$2="Chinese",VLOOKUP('_Data inputs (all)'!G32,nametranslations,6,FALSE),IF(Introduction!$A$2="Other",VLOOKUP('_Data inputs (all)'!G32,nametranslations,7,FALSE))))))))</f>
        <v>#N/A</v>
      </c>
      <c r="H32" s="110">
        <f>'_Data inputs (all)'!H32</f>
        <v>0</v>
      </c>
      <c r="I32" s="1" t="str">
        <f>IF(ISNUMBER('_Data inputs (all)'!I32),'_Data inputs (all)'!I32,"")</f>
        <v/>
      </c>
      <c r="J32" s="1" t="str">
        <f>IF(ISTEXT('_Data inputs (all)'!J32),'_Data inputs (all)'!J32,"")</f>
        <v/>
      </c>
      <c r="K32" s="144" t="str">
        <f>IF(ISTEXT('_Data inputs (all)'!K32),'_Data inputs (all)'!K32,"")</f>
        <v/>
      </c>
      <c r="L32" s="110" t="str">
        <f>IF(ISTEXT('_Data inputs (all)'!L32),'_Data inputs (all)'!L32,"")</f>
        <v/>
      </c>
      <c r="M32" s="144" t="str">
        <f>IF(ISTEXT('_Data inputs (all)'!M32),'_Data inputs (all)'!M32,"")</f>
        <v/>
      </c>
    </row>
    <row xmlns:x14ac="http://schemas.microsoft.com/office/spreadsheetml/2009/9/ac" r="33" x14ac:dyDescent="0.2">
      <c r="A33" s="105" t="str">
        <f>IF(ISTEXT(VLOOKUP('_Data inputs (all)'!B33,countryname,2,FALSE)),IF(Introduction!$A$2="English",VLOOKUP('_Data inputs (all)'!B33,countryname,2,FALSE),IF(Introduction!$A$2="French",VLOOKUP('_Data inputs (all)'!B33,countryname,3,FALSE),IF(Introduction!$A$2="Spanish",VLOOKUP('_Data inputs (all)'!B33,countryname,4,FALSE),IF(Introduction!$A$2="Russian",VLOOKUP('_Data inputs (all)'!B33,countryname,5,FALSE),IF(Introduction!$A$2="Arabic",VLOOKUP('_Data inputs (all)'!B33,countryname,6,FALSE),IF(Introduction!$A$2="Chinese",VLOOKUP('_Data inputs (all)'!B33,countryname,7,FALSE),IF(Introduction!$A$2="Other",VLOOKUP('_Data inputs (all)'!B33,countryname,8,FALSE)))))))),"")</f>
        <v/>
      </c>
      <c r="B33" s="42">
        <f>'_Data inputs (all)'!B33</f>
        <v>0</v>
      </c>
      <c r="C33" s="110">
        <f>'_Data inputs (all)'!C33</f>
        <v>0</v>
      </c>
      <c r="D33" s="6" t="e">
        <f>IF(Introduction!$A$2="English",VLOOKUP('_Data inputs (all)'!D33,nametranslations,1,FALSE),IF(Introduction!$A$2="Spanish",VLOOKUP('_Data inputs (all)'!D33,nametranslations,2,FALSE),IF(Introduction!$A$2="French",VLOOKUP('_Data inputs (all)'!D33,nametranslations,3,FALSE),IF(Introduction!$A$2="Arabic",VLOOKUP('_Data inputs (all)'!D33,nametranslations,4,FALSE),IF(Introduction!$A$2="Russian",VLOOKUP('_Data inputs (all)'!D33,nametranslations,5,FALSE),IF(Introduction!$A$2="Chinese",VLOOKUP('_Data inputs (all)'!D33,nametranslations,6,FALSE),IF(Introduction!$A$2="Other",VLOOKUP('_Data inputs (all)'!D33,nametranslations,7,FALSE))))))))</f>
        <v>#N/A</v>
      </c>
      <c r="E33" s="110">
        <f>'_Data inputs (all)'!E33</f>
        <v>0</v>
      </c>
      <c r="F33" s="151">
        <f>'D- Delivered'!B7</f>
        <v>0</v>
      </c>
      <c r="G33" s="6" t="e">
        <f>IF(Introduction!$A$2="English",VLOOKUP('_Data inputs (all)'!G33,nametranslations,1,FALSE),IF(Introduction!$A$2="Spanish",VLOOKUP('_Data inputs (all)'!G33,nametranslations,2,FALSE),IF(Introduction!$A$2="French",VLOOKUP('_Data inputs (all)'!G33,nametranslations,3,FALSE),IF(Introduction!$A$2="Arabic",VLOOKUP('_Data inputs (all)'!G33,nametranslations,4,FALSE),IF(Introduction!$A$2="Russian",VLOOKUP('_Data inputs (all)'!G33,nametranslations,5,FALSE),IF(Introduction!$A$2="Chinese",VLOOKUP('_Data inputs (all)'!G33,nametranslations,6,FALSE),IF(Introduction!$A$2="Other",VLOOKUP('_Data inputs (all)'!G33,nametranslations,7,FALSE))))))))</f>
        <v>#N/A</v>
      </c>
      <c r="H33" s="110">
        <f>'_Data inputs (all)'!H33</f>
        <v>0</v>
      </c>
      <c r="I33" s="1" t="str">
        <f>IF(ISNUMBER('_Data inputs (all)'!I33),'_Data inputs (all)'!I33,"")</f>
        <v/>
      </c>
      <c r="J33" s="1" t="str">
        <f>IF(ISTEXT('_Data inputs (all)'!J33),'_Data inputs (all)'!J33,"")</f>
        <v/>
      </c>
      <c r="K33" s="144" t="str">
        <f>IF(ISTEXT('_Data inputs (all)'!K33),'_Data inputs (all)'!K33,"")</f>
        <v/>
      </c>
      <c r="L33" s="110" t="str">
        <f>IF(ISTEXT('_Data inputs (all)'!L33),'_Data inputs (all)'!L33,"")</f>
        <v/>
      </c>
      <c r="M33" s="144" t="str">
        <f>IF(ISTEXT('_Data inputs (all)'!M33),'_Data inputs (all)'!M33,"")</f>
        <v/>
      </c>
    </row>
    <row xmlns:x14ac="http://schemas.microsoft.com/office/spreadsheetml/2009/9/ac" r="34" x14ac:dyDescent="0.2">
      <c r="A34" s="105" t="str">
        <f>IF(ISTEXT(VLOOKUP('_Data inputs (all)'!B34,countryname,2,FALSE)),IF(Introduction!$A$2="English",VLOOKUP('_Data inputs (all)'!B34,countryname,2,FALSE),IF(Introduction!$A$2="French",VLOOKUP('_Data inputs (all)'!B34,countryname,3,FALSE),IF(Introduction!$A$2="Spanish",VLOOKUP('_Data inputs (all)'!B34,countryname,4,FALSE),IF(Introduction!$A$2="Russian",VLOOKUP('_Data inputs (all)'!B34,countryname,5,FALSE),IF(Introduction!$A$2="Arabic",VLOOKUP('_Data inputs (all)'!B34,countryname,6,FALSE),IF(Introduction!$A$2="Chinese",VLOOKUP('_Data inputs (all)'!B34,countryname,7,FALSE),IF(Introduction!$A$2="Other",VLOOKUP('_Data inputs (all)'!B34,countryname,8,FALSE)))))))),"")</f>
        <v/>
      </c>
      <c r="B34" s="42">
        <f>'_Data inputs (all)'!B34</f>
        <v>0</v>
      </c>
      <c r="C34" s="110">
        <f>'_Data inputs (all)'!C34</f>
        <v>0</v>
      </c>
      <c r="D34" s="6" t="e">
        <f>IF(Introduction!$A$2="English",VLOOKUP('_Data inputs (all)'!D34,nametranslations,1,FALSE),IF(Introduction!$A$2="Spanish",VLOOKUP('_Data inputs (all)'!D34,nametranslations,2,FALSE),IF(Introduction!$A$2="French",VLOOKUP('_Data inputs (all)'!D34,nametranslations,3,FALSE),IF(Introduction!$A$2="Arabic",VLOOKUP('_Data inputs (all)'!D34,nametranslations,4,FALSE),IF(Introduction!$A$2="Russian",VLOOKUP('_Data inputs (all)'!D34,nametranslations,5,FALSE),IF(Introduction!$A$2="Chinese",VLOOKUP('_Data inputs (all)'!D34,nametranslations,6,FALSE),IF(Introduction!$A$2="Other",VLOOKUP('_Data inputs (all)'!D34,nametranslations,7,FALSE))))))))</f>
        <v>#N/A</v>
      </c>
      <c r="E34" s="110">
        <f>'_Data inputs (all)'!E34</f>
        <v>0</v>
      </c>
      <c r="F34" s="151">
        <f>'E- Safely treated'!B4</f>
        <v>0</v>
      </c>
      <c r="G34" s="6" t="e">
        <f>IF(Introduction!$A$2="English",VLOOKUP('_Data inputs (all)'!G34,nametranslations,1,FALSE),IF(Introduction!$A$2="Spanish",VLOOKUP('_Data inputs (all)'!G34,nametranslations,2,FALSE),IF(Introduction!$A$2="French",VLOOKUP('_Data inputs (all)'!G34,nametranslations,3,FALSE),IF(Introduction!$A$2="Arabic",VLOOKUP('_Data inputs (all)'!G34,nametranslations,4,FALSE),IF(Introduction!$A$2="Russian",VLOOKUP('_Data inputs (all)'!G34,nametranslations,5,FALSE),IF(Introduction!$A$2="Chinese",VLOOKUP('_Data inputs (all)'!G34,nametranslations,6,FALSE),IF(Introduction!$A$2="Other",VLOOKUP('_Data inputs (all)'!G34,nametranslations,7,FALSE))))))))</f>
        <v>#N/A</v>
      </c>
      <c r="H34" s="110">
        <f>'_Data inputs (all)'!H34</f>
        <v>0</v>
      </c>
      <c r="I34" s="1" t="str">
        <f>IF(ISNUMBER('_Data inputs (all)'!I34),'_Data inputs (all)'!I34,"")</f>
        <v/>
      </c>
      <c r="J34" s="1" t="str">
        <f>IF(ISTEXT('_Data inputs (all)'!J34),'_Data inputs (all)'!J34,"")</f>
        <v/>
      </c>
      <c r="K34" s="144" t="str">
        <f>IF(ISTEXT('_Data inputs (all)'!K34),'_Data inputs (all)'!K34,"")</f>
        <v/>
      </c>
      <c r="L34" s="110" t="str">
        <f>IF(ISTEXT('_Data inputs (all)'!L34),'_Data inputs (all)'!L34,"")</f>
        <v/>
      </c>
      <c r="M34" s="144" t="str">
        <f>IF(ISTEXT('_Data inputs (all)'!M34),'_Data inputs (all)'!M34,"")</f>
        <v/>
      </c>
    </row>
    <row xmlns:x14ac="http://schemas.microsoft.com/office/spreadsheetml/2009/9/ac" r="35" x14ac:dyDescent="0.2">
      <c r="A35" s="105" t="str">
        <f>IF(ISTEXT(VLOOKUP('_Data inputs (all)'!B35,countryname,2,FALSE)),IF(Introduction!$A$2="English",VLOOKUP('_Data inputs (all)'!B35,countryname,2,FALSE),IF(Introduction!$A$2="French",VLOOKUP('_Data inputs (all)'!B35,countryname,3,FALSE),IF(Introduction!$A$2="Spanish",VLOOKUP('_Data inputs (all)'!B35,countryname,4,FALSE),IF(Introduction!$A$2="Russian",VLOOKUP('_Data inputs (all)'!B35,countryname,5,FALSE),IF(Introduction!$A$2="Arabic",VLOOKUP('_Data inputs (all)'!B35,countryname,6,FALSE),IF(Introduction!$A$2="Chinese",VLOOKUP('_Data inputs (all)'!B35,countryname,7,FALSE),IF(Introduction!$A$2="Other",VLOOKUP('_Data inputs (all)'!B35,countryname,8,FALSE)))))))),"")</f>
        <v/>
      </c>
      <c r="B35" s="42">
        <f>'_Data inputs (all)'!B35</f>
        <v>0</v>
      </c>
      <c r="C35" s="110">
        <f>'_Data inputs (all)'!C35</f>
        <v>0</v>
      </c>
      <c r="D35" s="6" t="e">
        <f>IF(Introduction!$A$2="English",VLOOKUP('_Data inputs (all)'!D35,nametranslations,1,FALSE),IF(Introduction!$A$2="Spanish",VLOOKUP('_Data inputs (all)'!D35,nametranslations,2,FALSE),IF(Introduction!$A$2="French",VLOOKUP('_Data inputs (all)'!D35,nametranslations,3,FALSE),IF(Introduction!$A$2="Arabic",VLOOKUP('_Data inputs (all)'!D35,nametranslations,4,FALSE),IF(Introduction!$A$2="Russian",VLOOKUP('_Data inputs (all)'!D35,nametranslations,5,FALSE),IF(Introduction!$A$2="Chinese",VLOOKUP('_Data inputs (all)'!D35,nametranslations,6,FALSE),IF(Introduction!$A$2="Other",VLOOKUP('_Data inputs (all)'!D35,nametranslations,7,FALSE))))))))</f>
        <v>#N/A</v>
      </c>
      <c r="E35" s="110">
        <f>'_Data inputs (all)'!E35</f>
        <v>0</v>
      </c>
      <c r="F35" s="151">
        <f>'E- Safely treated'!B5</f>
        <v>0</v>
      </c>
      <c r="G35" s="6" t="e">
        <f>IF(Introduction!$A$2="English",VLOOKUP('_Data inputs (all)'!G35,nametranslations,1,FALSE),IF(Introduction!$A$2="Spanish",VLOOKUP('_Data inputs (all)'!G35,nametranslations,2,FALSE),IF(Introduction!$A$2="French",VLOOKUP('_Data inputs (all)'!G35,nametranslations,3,FALSE),IF(Introduction!$A$2="Arabic",VLOOKUP('_Data inputs (all)'!G35,nametranslations,4,FALSE),IF(Introduction!$A$2="Russian",VLOOKUP('_Data inputs (all)'!G35,nametranslations,5,FALSE),IF(Introduction!$A$2="Chinese",VLOOKUP('_Data inputs (all)'!G35,nametranslations,6,FALSE),IF(Introduction!$A$2="Other",VLOOKUP('_Data inputs (all)'!G35,nametranslations,7,FALSE))))))))</f>
        <v>#N/A</v>
      </c>
      <c r="H35" s="110">
        <f>'_Data inputs (all)'!H35</f>
        <v>0</v>
      </c>
      <c r="I35" s="1" t="str">
        <f>IF(ISNUMBER('_Data inputs (all)'!I35),'_Data inputs (all)'!I35,"")</f>
        <v/>
      </c>
      <c r="J35" s="1" t="str">
        <f>IF(ISTEXT('_Data inputs (all)'!J35),'_Data inputs (all)'!J35,"")</f>
        <v/>
      </c>
      <c r="K35" s="144" t="str">
        <f>IF(ISTEXT('_Data inputs (all)'!K35),'_Data inputs (all)'!K35,"")</f>
        <v/>
      </c>
      <c r="L35" s="110" t="str">
        <f>IF(ISTEXT('_Data inputs (all)'!L35),'_Data inputs (all)'!L35,"")</f>
        <v/>
      </c>
      <c r="M35" s="144" t="str">
        <f>IF(ISTEXT('_Data inputs (all)'!M35),'_Data inputs (all)'!M35,"")</f>
        <v/>
      </c>
    </row>
    <row xmlns:x14ac="http://schemas.microsoft.com/office/spreadsheetml/2009/9/ac" r="36" x14ac:dyDescent="0.2">
      <c r="A36" s="105" t="str">
        <f>IF(ISTEXT(VLOOKUP('_Data inputs (all)'!B36,countryname,2,FALSE)),IF(Introduction!$A$2="English",VLOOKUP('_Data inputs (all)'!B36,countryname,2,FALSE),IF(Introduction!$A$2="French",VLOOKUP('_Data inputs (all)'!B36,countryname,3,FALSE),IF(Introduction!$A$2="Spanish",VLOOKUP('_Data inputs (all)'!B36,countryname,4,FALSE),IF(Introduction!$A$2="Russian",VLOOKUP('_Data inputs (all)'!B36,countryname,5,FALSE),IF(Introduction!$A$2="Arabic",VLOOKUP('_Data inputs (all)'!B36,countryname,6,FALSE),IF(Introduction!$A$2="Chinese",VLOOKUP('_Data inputs (all)'!B36,countryname,7,FALSE),IF(Introduction!$A$2="Other",VLOOKUP('_Data inputs (all)'!B36,countryname,8,FALSE)))))))),"")</f>
        <v/>
      </c>
      <c r="B36" s="42">
        <f>'_Data inputs (all)'!B36</f>
        <v>0</v>
      </c>
      <c r="C36" s="110">
        <f>'_Data inputs (all)'!C36</f>
        <v>0</v>
      </c>
      <c r="D36" s="6" t="e">
        <f>IF(Introduction!$A$2="English",VLOOKUP('_Data inputs (all)'!D36,nametranslations,1,FALSE),IF(Introduction!$A$2="Spanish",VLOOKUP('_Data inputs (all)'!D36,nametranslations,2,FALSE),IF(Introduction!$A$2="French",VLOOKUP('_Data inputs (all)'!D36,nametranslations,3,FALSE),IF(Introduction!$A$2="Arabic",VLOOKUP('_Data inputs (all)'!D36,nametranslations,4,FALSE),IF(Introduction!$A$2="Russian",VLOOKUP('_Data inputs (all)'!D36,nametranslations,5,FALSE),IF(Introduction!$A$2="Chinese",VLOOKUP('_Data inputs (all)'!D36,nametranslations,6,FALSE),IF(Introduction!$A$2="Other",VLOOKUP('_Data inputs (all)'!D36,nametranslations,7,FALSE))))))))</f>
        <v>#N/A</v>
      </c>
      <c r="E36" s="110">
        <f>'_Data inputs (all)'!E36</f>
        <v>0</v>
      </c>
      <c r="F36" s="151">
        <f>'E- Safely treated'!B6</f>
        <v>0</v>
      </c>
      <c r="G36" s="6" t="e">
        <f>IF(Introduction!$A$2="English",VLOOKUP('_Data inputs (all)'!G36,nametranslations,1,FALSE),IF(Introduction!$A$2="Spanish",VLOOKUP('_Data inputs (all)'!G36,nametranslations,2,FALSE),IF(Introduction!$A$2="French",VLOOKUP('_Data inputs (all)'!G36,nametranslations,3,FALSE),IF(Introduction!$A$2="Arabic",VLOOKUP('_Data inputs (all)'!G36,nametranslations,4,FALSE),IF(Introduction!$A$2="Russian",VLOOKUP('_Data inputs (all)'!G36,nametranslations,5,FALSE),IF(Introduction!$A$2="Chinese",VLOOKUP('_Data inputs (all)'!G36,nametranslations,6,FALSE),IF(Introduction!$A$2="Other",VLOOKUP('_Data inputs (all)'!G36,nametranslations,7,FALSE))))))))</f>
        <v>#N/A</v>
      </c>
      <c r="H36" s="110">
        <f>'_Data inputs (all)'!H36</f>
        <v>0</v>
      </c>
      <c r="I36" s="1" t="str">
        <f>IF(ISNUMBER('_Data inputs (all)'!I36),'_Data inputs (all)'!I36,"")</f>
        <v/>
      </c>
      <c r="J36" s="1" t="str">
        <f>IF(ISTEXT('_Data inputs (all)'!J36),'_Data inputs (all)'!J36,"")</f>
        <v/>
      </c>
      <c r="K36" s="144" t="str">
        <f>IF(ISTEXT('_Data inputs (all)'!K36),'_Data inputs (all)'!K36,"")</f>
        <v/>
      </c>
      <c r="L36" s="110" t="str">
        <f>IF(ISTEXT('_Data inputs (all)'!L36),'_Data inputs (all)'!L36,"")</f>
        <v/>
      </c>
      <c r="M36" s="144" t="str">
        <f>IF(ISTEXT('_Data inputs (all)'!M36),'_Data inputs (all)'!M36,"")</f>
        <v/>
      </c>
    </row>
    <row xmlns:x14ac="http://schemas.microsoft.com/office/spreadsheetml/2009/9/ac" r="37" x14ac:dyDescent="0.2">
      <c r="A37" s="105" t="str">
        <f>IF(ISTEXT(VLOOKUP('_Data inputs (all)'!B37,countryname,2,FALSE)),IF(Introduction!$A$2="English",VLOOKUP('_Data inputs (all)'!B37,countryname,2,FALSE),IF(Introduction!$A$2="French",VLOOKUP('_Data inputs (all)'!B37,countryname,3,FALSE),IF(Introduction!$A$2="Spanish",VLOOKUP('_Data inputs (all)'!B37,countryname,4,FALSE),IF(Introduction!$A$2="Russian",VLOOKUP('_Data inputs (all)'!B37,countryname,5,FALSE),IF(Introduction!$A$2="Arabic",VLOOKUP('_Data inputs (all)'!B37,countryname,6,FALSE),IF(Introduction!$A$2="Chinese",VLOOKUP('_Data inputs (all)'!B37,countryname,7,FALSE),IF(Introduction!$A$2="Other",VLOOKUP('_Data inputs (all)'!B37,countryname,8,FALSE)))))))),"")</f>
        <v/>
      </c>
      <c r="B37" s="42">
        <f>'_Data inputs (all)'!B37</f>
        <v>0</v>
      </c>
      <c r="C37" s="110">
        <f>'_Data inputs (all)'!C37</f>
        <v>0</v>
      </c>
      <c r="D37" s="6" t="e">
        <f>IF(Introduction!$A$2="English",VLOOKUP('_Data inputs (all)'!D37,nametranslations,1,FALSE),IF(Introduction!$A$2="Spanish",VLOOKUP('_Data inputs (all)'!D37,nametranslations,2,FALSE),IF(Introduction!$A$2="French",VLOOKUP('_Data inputs (all)'!D37,nametranslations,3,FALSE),IF(Introduction!$A$2="Arabic",VLOOKUP('_Data inputs (all)'!D37,nametranslations,4,FALSE),IF(Introduction!$A$2="Russian",VLOOKUP('_Data inputs (all)'!D37,nametranslations,5,FALSE),IF(Introduction!$A$2="Chinese",VLOOKUP('_Data inputs (all)'!D37,nametranslations,6,FALSE),IF(Introduction!$A$2="Other",VLOOKUP('_Data inputs (all)'!D37,nametranslations,7,FALSE))))))))</f>
        <v>#N/A</v>
      </c>
      <c r="E37" s="110">
        <f>'_Data inputs (all)'!E37</f>
        <v>0</v>
      </c>
      <c r="F37" s="151">
        <f>'E- Safely treated'!B7</f>
        <v>0</v>
      </c>
      <c r="G37" s="6" t="e">
        <f>IF(Introduction!$A$2="English",VLOOKUP('_Data inputs (all)'!G37,nametranslations,1,FALSE),IF(Introduction!$A$2="Spanish",VLOOKUP('_Data inputs (all)'!G37,nametranslations,2,FALSE),IF(Introduction!$A$2="French",VLOOKUP('_Data inputs (all)'!G37,nametranslations,3,FALSE),IF(Introduction!$A$2="Arabic",VLOOKUP('_Data inputs (all)'!G37,nametranslations,4,FALSE),IF(Introduction!$A$2="Russian",VLOOKUP('_Data inputs (all)'!G37,nametranslations,5,FALSE),IF(Introduction!$A$2="Chinese",VLOOKUP('_Data inputs (all)'!G37,nametranslations,6,FALSE),IF(Introduction!$A$2="Other",VLOOKUP('_Data inputs (all)'!G37,nametranslations,7,FALSE))))))))</f>
        <v>#N/A</v>
      </c>
      <c r="H37" s="110">
        <f>'_Data inputs (all)'!H37</f>
        <v>0</v>
      </c>
      <c r="I37" s="1" t="str">
        <f>IF(ISNUMBER('_Data inputs (all)'!I37),'_Data inputs (all)'!I37,"")</f>
        <v/>
      </c>
      <c r="J37" s="1" t="str">
        <f>IF(ISTEXT('_Data inputs (all)'!J37),'_Data inputs (all)'!J37,"")</f>
        <v/>
      </c>
      <c r="K37" s="144" t="str">
        <f>IF(ISTEXT('_Data inputs (all)'!K37),'_Data inputs (all)'!K37,"")</f>
        <v/>
      </c>
      <c r="L37" s="110" t="str">
        <f>IF(ISTEXT('_Data inputs (all)'!L37),'_Data inputs (all)'!L37,"")</f>
        <v/>
      </c>
      <c r="M37" s="144" t="str">
        <f>IF(ISTEXT('_Data inputs (all)'!M37),'_Data inputs (all)'!M37,"")</f>
        <v/>
      </c>
    </row>
    <row xmlns:x14ac="http://schemas.microsoft.com/office/spreadsheetml/2009/9/ac" r="38" x14ac:dyDescent="0.2">
      <c r="A38" s="105" t="str">
        <f>IF(ISTEXT(VLOOKUP('_Data inputs (all)'!B38,countryname,2,FALSE)),IF(Introduction!$A$2="English",VLOOKUP('_Data inputs (all)'!B38,countryname,2,FALSE),IF(Introduction!$A$2="French",VLOOKUP('_Data inputs (all)'!B38,countryname,3,FALSE),IF(Introduction!$A$2="Spanish",VLOOKUP('_Data inputs (all)'!B38,countryname,4,FALSE),IF(Introduction!$A$2="Russian",VLOOKUP('_Data inputs (all)'!B38,countryname,5,FALSE),IF(Introduction!$A$2="Arabic",VLOOKUP('_Data inputs (all)'!B38,countryname,6,FALSE),IF(Introduction!$A$2="Chinese",VLOOKUP('_Data inputs (all)'!B38,countryname,7,FALSE),IF(Introduction!$A$2="Other",VLOOKUP('_Data inputs (all)'!B38,countryname,8,FALSE)))))))),"")</f>
        <v/>
      </c>
      <c r="B38" s="42">
        <f>'_Data inputs (all)'!B38</f>
        <v>0</v>
      </c>
      <c r="C38" s="110">
        <f>'_Data inputs (all)'!C38</f>
        <v>0</v>
      </c>
      <c r="D38" s="6" t="e">
        <f>IF(Introduction!$A$2="English",VLOOKUP('_Data inputs (all)'!D38,nametranslations,1,FALSE),IF(Introduction!$A$2="Spanish",VLOOKUP('_Data inputs (all)'!D38,nametranslations,2,FALSE),IF(Introduction!$A$2="French",VLOOKUP('_Data inputs (all)'!D38,nametranslations,3,FALSE),IF(Introduction!$A$2="Arabic",VLOOKUP('_Data inputs (all)'!D38,nametranslations,4,FALSE),IF(Introduction!$A$2="Russian",VLOOKUP('_Data inputs (all)'!D38,nametranslations,5,FALSE),IF(Introduction!$A$2="Chinese",VLOOKUP('_Data inputs (all)'!D38,nametranslations,6,FALSE),IF(Introduction!$A$2="Other",VLOOKUP('_Data inputs (all)'!D38,nametranslations,7,FALSE))))))))</f>
        <v>#N/A</v>
      </c>
      <c r="E38" s="110">
        <f>'_Data inputs (all)'!E38</f>
        <v>0</v>
      </c>
      <c r="F38" s="150" t="e">
        <f>v33_/v8_*100</f>
        <v>#DIV/0!</v>
      </c>
      <c r="G38" s="6" t="e">
        <f>IF(Introduction!$A$2="English",VLOOKUP('_Data inputs (all)'!G38,nametranslations,1,FALSE),IF(Introduction!$A$2="Spanish",VLOOKUP('_Data inputs (all)'!G38,nametranslations,2,FALSE),IF(Introduction!$A$2="French",VLOOKUP('_Data inputs (all)'!G38,nametranslations,3,FALSE),IF(Introduction!$A$2="Arabic",VLOOKUP('_Data inputs (all)'!G38,nametranslations,4,FALSE),IF(Introduction!$A$2="Russian",VLOOKUP('_Data inputs (all)'!G38,nametranslations,5,FALSE),IF(Introduction!$A$2="Chinese",VLOOKUP('_Data inputs (all)'!G38,nametranslations,6,FALSE),IF(Introduction!$A$2="Other",VLOOKUP('_Data inputs (all)'!G38,nametranslations,7,FALSE))))))))</f>
        <v>#N/A</v>
      </c>
      <c r="H38" s="110">
        <f>'_Data inputs (all)'!H38</f>
        <v>0</v>
      </c>
      <c r="I38" s="1" t="str">
        <f>IF(ISNUMBER('_Data inputs (all)'!I38),'_Data inputs (all)'!I38,"")</f>
        <v/>
      </c>
      <c r="J38" s="1" t="str">
        <f>IF(ISTEXT('_Data inputs (all)'!J38),'_Data inputs (all)'!J38,"")</f>
        <v/>
      </c>
      <c r="K38" s="144" t="str">
        <f>IF(ISTEXT('_Data inputs (all)'!K38),'_Data inputs (all)'!K38,"")</f>
        <v/>
      </c>
      <c r="L38" s="110" t="str">
        <f>IF(ISTEXT('_Data inputs (all)'!L38),'_Data inputs (all)'!L38,"")</f>
        <v/>
      </c>
      <c r="M38" s="144" t="str">
        <f>IF(ISTEXT('_Data inputs (all)'!M38),'_Data inputs (all)'!M38,"")</f>
        <v/>
      </c>
    </row>
    <row xmlns:x14ac="http://schemas.microsoft.com/office/spreadsheetml/2009/9/ac" r="39" x14ac:dyDescent="0.2">
      <c r="A39" s="105" t="str">
        <f>IF(ISTEXT(VLOOKUP('_Data inputs (all)'!B39,countryname,2,FALSE)),IF(Introduction!$A$2="English",VLOOKUP('_Data inputs (all)'!B39,countryname,2,FALSE),IF(Introduction!$A$2="French",VLOOKUP('_Data inputs (all)'!B39,countryname,3,FALSE),IF(Introduction!$A$2="Spanish",VLOOKUP('_Data inputs (all)'!B39,countryname,4,FALSE),IF(Introduction!$A$2="Russian",VLOOKUP('_Data inputs (all)'!B39,countryname,5,FALSE),IF(Introduction!$A$2="Arabic",VLOOKUP('_Data inputs (all)'!B39,countryname,6,FALSE),IF(Introduction!$A$2="Chinese",VLOOKUP('_Data inputs (all)'!B39,countryname,7,FALSE),IF(Introduction!$A$2="Other",VLOOKUP('_Data inputs (all)'!B39,countryname,8,FALSE)))))))),"")</f>
        <v/>
      </c>
      <c r="B39" s="42">
        <f>'_Data inputs (all)'!B39</f>
        <v>0</v>
      </c>
      <c r="C39" s="110">
        <f>'_Data inputs (all)'!C39</f>
        <v>0</v>
      </c>
      <c r="D39" s="6" t="e">
        <f>IF(Introduction!$A$2="English",VLOOKUP('_Data inputs (all)'!D39,nametranslations,1,FALSE),IF(Introduction!$A$2="Spanish",VLOOKUP('_Data inputs (all)'!D39,nametranslations,2,FALSE),IF(Introduction!$A$2="French",VLOOKUP('_Data inputs (all)'!D39,nametranslations,3,FALSE),IF(Introduction!$A$2="Arabic",VLOOKUP('_Data inputs (all)'!D39,nametranslations,4,FALSE),IF(Introduction!$A$2="Russian",VLOOKUP('_Data inputs (all)'!D39,nametranslations,5,FALSE),IF(Introduction!$A$2="Chinese",VLOOKUP('_Data inputs (all)'!D39,nametranslations,6,FALSE),IF(Introduction!$A$2="Other",VLOOKUP('_Data inputs (all)'!D39,nametranslations,7,FALSE))))))))</f>
        <v>#N/A</v>
      </c>
      <c r="E39" s="110">
        <f>'_Data inputs (all)'!E39</f>
        <v>0</v>
      </c>
      <c r="F39" s="150" t="e">
        <f>v34_/v8_*100</f>
        <v>#DIV/0!</v>
      </c>
      <c r="G39" s="6" t="e">
        <f>IF(Introduction!$A$2="English",VLOOKUP('_Data inputs (all)'!G39,nametranslations,1,FALSE),IF(Introduction!$A$2="Spanish",VLOOKUP('_Data inputs (all)'!G39,nametranslations,2,FALSE),IF(Introduction!$A$2="French",VLOOKUP('_Data inputs (all)'!G39,nametranslations,3,FALSE),IF(Introduction!$A$2="Arabic",VLOOKUP('_Data inputs (all)'!G39,nametranslations,4,FALSE),IF(Introduction!$A$2="Russian",VLOOKUP('_Data inputs (all)'!G39,nametranslations,5,FALSE),IF(Introduction!$A$2="Chinese",VLOOKUP('_Data inputs (all)'!G39,nametranslations,6,FALSE),IF(Introduction!$A$2="Other",VLOOKUP('_Data inputs (all)'!G39,nametranslations,7,FALSE))))))))</f>
        <v>#N/A</v>
      </c>
      <c r="H39" s="110">
        <f>'_Data inputs (all)'!H39</f>
        <v>0</v>
      </c>
      <c r="I39" s="1" t="str">
        <f>IF(ISNUMBER('_Data inputs (all)'!I39),'_Data inputs (all)'!I39,"")</f>
        <v/>
      </c>
      <c r="J39" s="1" t="str">
        <f>IF(ISTEXT('_Data inputs (all)'!J39),'_Data inputs (all)'!J39,"")</f>
        <v/>
      </c>
      <c r="K39" s="144" t="str">
        <f>IF(ISTEXT('_Data inputs (all)'!K39),'_Data inputs (all)'!K39,"")</f>
        <v/>
      </c>
      <c r="L39" s="110" t="str">
        <f>IF(ISTEXT('_Data inputs (all)'!L39),'_Data inputs (all)'!L39,"")</f>
        <v/>
      </c>
      <c r="M39" s="144" t="str">
        <f>IF(ISTEXT('_Data inputs (all)'!M39),'_Data inputs (all)'!M39,"")</f>
        <v/>
      </c>
    </row>
    <row xmlns:x14ac="http://schemas.microsoft.com/office/spreadsheetml/2009/9/ac" r="40" x14ac:dyDescent="0.2">
      <c r="A40" s="105" t="str">
        <f>IF(ISTEXT(VLOOKUP('_Data inputs (all)'!B40,countryname,2,FALSE)),IF(Introduction!$A$2="English",VLOOKUP('_Data inputs (all)'!B40,countryname,2,FALSE),IF(Introduction!$A$2="French",VLOOKUP('_Data inputs (all)'!B40,countryname,3,FALSE),IF(Introduction!$A$2="Spanish",VLOOKUP('_Data inputs (all)'!B40,countryname,4,FALSE),IF(Introduction!$A$2="Russian",VLOOKUP('_Data inputs (all)'!B40,countryname,5,FALSE),IF(Introduction!$A$2="Arabic",VLOOKUP('_Data inputs (all)'!B40,countryname,6,FALSE),IF(Introduction!$A$2="Chinese",VLOOKUP('_Data inputs (all)'!B40,countryname,7,FALSE),IF(Introduction!$A$2="Other",VLOOKUP('_Data inputs (all)'!B40,countryname,8,FALSE)))))))),"")</f>
        <v/>
      </c>
      <c r="B40" s="42">
        <f>'_Data inputs (all)'!B40</f>
        <v>0</v>
      </c>
      <c r="C40" s="110">
        <f>'_Data inputs (all)'!C40</f>
        <v>0</v>
      </c>
      <c r="D40" s="6" t="e">
        <f>IF(Introduction!$A$2="English",VLOOKUP('_Data inputs (all)'!D40,nametranslations,1,FALSE),IF(Introduction!$A$2="Spanish",VLOOKUP('_Data inputs (all)'!D40,nametranslations,2,FALSE),IF(Introduction!$A$2="French",VLOOKUP('_Data inputs (all)'!D40,nametranslations,3,FALSE),IF(Introduction!$A$2="Arabic",VLOOKUP('_Data inputs (all)'!D40,nametranslations,4,FALSE),IF(Introduction!$A$2="Russian",VLOOKUP('_Data inputs (all)'!D40,nametranslations,5,FALSE),IF(Introduction!$A$2="Chinese",VLOOKUP('_Data inputs (all)'!D40,nametranslations,6,FALSE),IF(Introduction!$A$2="Other",VLOOKUP('_Data inputs (all)'!D40,nametranslations,7,FALSE))))))))</f>
        <v>#N/A</v>
      </c>
      <c r="E40" s="110">
        <f>'_Data inputs (all)'!E40</f>
        <v>0</v>
      </c>
      <c r="F40" s="150" t="e">
        <f>v35_/v8_*100</f>
        <v>#DIV/0!</v>
      </c>
      <c r="G40" s="6" t="e">
        <f>IF(Introduction!$A$2="English",VLOOKUP('_Data inputs (all)'!G40,nametranslations,1,FALSE),IF(Introduction!$A$2="Spanish",VLOOKUP('_Data inputs (all)'!G40,nametranslations,2,FALSE),IF(Introduction!$A$2="French",VLOOKUP('_Data inputs (all)'!G40,nametranslations,3,FALSE),IF(Introduction!$A$2="Arabic",VLOOKUP('_Data inputs (all)'!G40,nametranslations,4,FALSE),IF(Introduction!$A$2="Russian",VLOOKUP('_Data inputs (all)'!G40,nametranslations,5,FALSE),IF(Introduction!$A$2="Chinese",VLOOKUP('_Data inputs (all)'!G40,nametranslations,6,FALSE),IF(Introduction!$A$2="Other",VLOOKUP('_Data inputs (all)'!G40,nametranslations,7,FALSE))))))))</f>
        <v>#N/A</v>
      </c>
      <c r="H40" s="110">
        <f>'_Data inputs (all)'!H40</f>
        <v>0</v>
      </c>
      <c r="I40" s="1" t="str">
        <f>IF(ISNUMBER('_Data inputs (all)'!I40),'_Data inputs (all)'!I40,"")</f>
        <v/>
      </c>
      <c r="J40" s="1" t="str">
        <f>IF(ISTEXT('_Data inputs (all)'!J40),'_Data inputs (all)'!J40,"")</f>
        <v/>
      </c>
      <c r="K40" s="144" t="str">
        <f>IF(ISTEXT('_Data inputs (all)'!K40),'_Data inputs (all)'!K40,"")</f>
        <v/>
      </c>
      <c r="L40" s="110" t="str">
        <f>IF(ISTEXT('_Data inputs (all)'!L40),'_Data inputs (all)'!L40,"")</f>
        <v/>
      </c>
      <c r="M40" s="144" t="str">
        <f>IF(ISTEXT('_Data inputs (all)'!M40),'_Data inputs (all)'!M40,"")</f>
        <v/>
      </c>
    </row>
    <row xmlns:x14ac="http://schemas.microsoft.com/office/spreadsheetml/2009/9/ac" r="41" x14ac:dyDescent="0.2">
      <c r="A41" s="105" t="str">
        <f>IF(ISTEXT(VLOOKUP('_Data inputs (all)'!B41,countryname,2,FALSE)),IF(Introduction!$A$2="English",VLOOKUP('_Data inputs (all)'!B41,countryname,2,FALSE),IF(Introduction!$A$2="French",VLOOKUP('_Data inputs (all)'!B41,countryname,3,FALSE),IF(Introduction!$A$2="Spanish",VLOOKUP('_Data inputs (all)'!B41,countryname,4,FALSE),IF(Introduction!$A$2="Russian",VLOOKUP('_Data inputs (all)'!B41,countryname,5,FALSE),IF(Introduction!$A$2="Arabic",VLOOKUP('_Data inputs (all)'!B41,countryname,6,FALSE),IF(Introduction!$A$2="Chinese",VLOOKUP('_Data inputs (all)'!B41,countryname,7,FALSE),IF(Introduction!$A$2="Other",VLOOKUP('_Data inputs (all)'!B41,countryname,8,FALSE)))))))),"")</f>
        <v/>
      </c>
      <c r="B41" s="42">
        <f>'_Data inputs (all)'!B41</f>
        <v>0</v>
      </c>
      <c r="C41" s="110">
        <f>'_Data inputs (all)'!C41</f>
        <v>0</v>
      </c>
      <c r="D41" s="6" t="e">
        <f>IF(Introduction!$A$2="English",VLOOKUP('_Data inputs (all)'!D41,nametranslations,1,FALSE),IF(Introduction!$A$2="Spanish",VLOOKUP('_Data inputs (all)'!D41,nametranslations,2,FALSE),IF(Introduction!$A$2="French",VLOOKUP('_Data inputs (all)'!D41,nametranslations,3,FALSE),IF(Introduction!$A$2="Arabic",VLOOKUP('_Data inputs (all)'!D41,nametranslations,4,FALSE),IF(Introduction!$A$2="Russian",VLOOKUP('_Data inputs (all)'!D41,nametranslations,5,FALSE),IF(Introduction!$A$2="Chinese",VLOOKUP('_Data inputs (all)'!D41,nametranslations,6,FALSE),IF(Introduction!$A$2="Other",VLOOKUP('_Data inputs (all)'!D41,nametranslations,7,FALSE))))))))</f>
        <v>#N/A</v>
      </c>
      <c r="E41" s="110">
        <f>'_Data inputs (all)'!E41</f>
        <v>0</v>
      </c>
      <c r="F41" s="150" t="e">
        <f>SUM(F38:F40)</f>
        <v>#DIV/0!</v>
      </c>
      <c r="G41" s="6" t="e">
        <f>IF(Introduction!$A$2="English",VLOOKUP('_Data inputs (all)'!G41,nametranslations,1,FALSE),IF(Introduction!$A$2="Spanish",VLOOKUP('_Data inputs (all)'!G41,nametranslations,2,FALSE),IF(Introduction!$A$2="French",VLOOKUP('_Data inputs (all)'!G41,nametranslations,3,FALSE),IF(Introduction!$A$2="Arabic",VLOOKUP('_Data inputs (all)'!G41,nametranslations,4,FALSE),IF(Introduction!$A$2="Russian",VLOOKUP('_Data inputs (all)'!G41,nametranslations,5,FALSE),IF(Introduction!$A$2="Chinese",VLOOKUP('_Data inputs (all)'!G41,nametranslations,6,FALSE),IF(Introduction!$A$2="Other",VLOOKUP('_Data inputs (all)'!G41,nametranslations,7,FALSE))))))))</f>
        <v>#N/A</v>
      </c>
      <c r="H41" s="110">
        <f>'_Data inputs (all)'!H41</f>
        <v>0</v>
      </c>
      <c r="I41" s="1" t="str">
        <f>IF(ISNUMBER('_Data inputs (all)'!I41),'_Data inputs (all)'!I41,"")</f>
        <v/>
      </c>
      <c r="J41" s="1" t="str">
        <f>IF(ISTEXT('_Data inputs (all)'!J41),'_Data inputs (all)'!J41,"")</f>
        <v/>
      </c>
      <c r="K41" s="144" t="str">
        <f>IF(ISTEXT('_Data inputs (all)'!K41),'_Data inputs (all)'!K41,"")</f>
        <v/>
      </c>
      <c r="L41" s="110" t="str">
        <f>IF(ISTEXT('_Data inputs (all)'!L41),'_Data inputs (all)'!L41,"")</f>
        <v/>
      </c>
      <c r="M41" s="144" t="str">
        <f>IF(ISTEXT('_Data inputs (all)'!M41),'_Data inputs (all)'!M41,"")</f>
        <v/>
      </c>
    </row>
  </sheetData>
  <sheetProtection selectLockedCells="true"/>
  <autoFilter ref="A1:M41"/>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39DD75-0087-448F-8C03-9AC232981B31}">
  <sheetPr codeName="Sheet9"/>
  <dimension ref="A1:N250"/>
  <sheetViews>
    <sheetView zoomScaleNormal="100" workbookViewId="0">
      <pane ySplit="1" topLeftCell="A2" activePane="bottomLeft" state="frozen"/>
      <selection activeCell="A2" sqref="A2:J2"/>
      <selection pane="bottomLeft"/>
    </sheetView>
  </sheetViews>
  <sheetFormatPr xmlns:x14ac="http://schemas.microsoft.com/office/spreadsheetml/2009/9/ac" baseColWidth="10" defaultColWidth="11.5703125" defaultRowHeight="16" x14ac:dyDescent="0.2"/>
  <cols>
    <col min="1" max="1" width="50.7109375" style="105" customWidth="true"/>
    <col min="2" max="2" width="15.7109375" style="1" customWidth="true"/>
    <col min="3" max="3" width="10.7109375" style="1" customWidth="true"/>
    <col min="4" max="4" width="100.7109375" style="105" customWidth="true"/>
    <col min="5" max="5" width="30.7109375" style="106" customWidth="true"/>
    <col min="6" max="6" width="10.7109375" style="106" customWidth="true"/>
    <col min="7" max="7" width="15.7109375" style="105" customWidth="true"/>
    <col min="8" max="8" width="10.7109375" style="106" customWidth="true"/>
    <col min="9" max="10" width="10.7109375" style="1" customWidth="true"/>
    <col min="11" max="12" width="75.7109375" style="105" customWidth="true"/>
    <col min="13" max="13" width="20.7109375" style="1" customWidth="true"/>
    <col min="14" max="14" width="75.7109375" style="105" customWidth="true"/>
  </cols>
  <sheetData>
    <row xmlns:x14ac="http://schemas.microsoft.com/office/spreadsheetml/2009/9/ac" r="1" s="149" customFormat="true" x14ac:dyDescent="0.2">
      <c r="A1" s="149" t="str">
        <f>HLOOKUP(Introduction!$A$2,nametranslations,18,FALSE)</f>
        <v>Country/territory name</v>
      </c>
      <c r="B1" s="149" t="str">
        <f>HLOOKUP(Introduction!$A$2,nametranslations,19,FALSE)</f>
        <v>Country ID (iso3)</v>
      </c>
      <c r="C1" s="149" t="str">
        <f>HLOOKUP(Introduction!$A$2,nametranslations,20,FALSE)</f>
        <v>Variable ID</v>
      </c>
      <c r="D1" s="149" t="str">
        <f>HLOOKUP(Introduction!$A$2,nametranslations,21,FALSE)</f>
        <v>Variable name</v>
      </c>
      <c r="E1" s="149" t="str">
        <f>HLOOKUP(Introduction!$A$2,nametranslations,22,FALSE)</f>
        <v>Variable code</v>
      </c>
      <c r="F1" s="149" t="str">
        <f>HLOOKUP(Introduction!$A$2,nametranslations,23,FALSE)</f>
        <v>Value</v>
      </c>
      <c r="G1" s="149" t="str">
        <f>HLOOKUP(Introduction!$A$2,nametranslations,24,FALSE)</f>
        <v>Units</v>
      </c>
      <c r="H1" s="149" t="str">
        <f>HLOOKUP(Introduction!$A$2,nametranslations,25,FALSE)</f>
        <v>Data type</v>
      </c>
      <c r="I1" s="149" t="str">
        <f>HLOOKUP(Introduction!$A$2,nametranslations,26,FALSE)</f>
        <v>Year</v>
      </c>
      <c r="J1" s="149" t="str">
        <f>HLOOKUP(Introduction!$A$2,nametranslations,27,FALSE)</f>
        <v>Used</v>
      </c>
      <c r="K1" s="149" t="str">
        <f>HLOOKUP(Introduction!$A$2,nametranslations,28,FALSE)</f>
        <v>Reason not used</v>
      </c>
      <c r="L1" s="149" t="str">
        <f>HLOOKUP(Introduction!$A$2,nametranslations,29,FALSE)</f>
        <v>Data source</v>
      </c>
      <c r="M1" s="149" t="str">
        <f>HLOOKUP(Introduction!$A$2,nametranslations,30,FALSE)</f>
        <v>Source ID</v>
      </c>
      <c r="N1" s="149" t="str">
        <f>HLOOKUP(Introduction!$A$2,nametranslations,31,FALSE)</f>
        <v>Notes</v>
      </c>
    </row>
    <row xmlns:x14ac="http://schemas.microsoft.com/office/spreadsheetml/2009/9/ac" r="2" x14ac:dyDescent="0.2">
      <c r="A2" s="105" t="str">
        <f>IF(ISTEXT(VLOOKUP('_Data inputs (reported)'!B2,countryname,2,FALSE)),IF(Introduction!$A$2="English",VLOOKUP('_Data inputs (reported)'!B2,countryname,2,FALSE),IF(Introduction!$A$2="French",VLOOKUP('_Data inputs (reported)'!B2,countryname,3,FALSE),IF(Introduction!$A$2="Spanish",VLOOKUP('_Data inputs (reported)'!B2,countryname,4,FALSE),IF(Introduction!$A$2="Russian",VLOOKUP('_Data inputs (reported)'!B2,countryname,5,FALSE),IF(Introduction!$A$2="Arabic",VLOOKUP('_Data inputs (reported)'!B2,countryname,6,FALSE),IF(Introduction!$A$2="Chinese",VLOOKUP('_Data inputs (reported)'!B2,countryname,7,FALSE),IF(Introduction!$A$2="Other",VLOOKUP('_Data inputs (reported)'!B2,countryname,8,FALSE)))))))),"")</f>
        <v/>
      </c>
      <c r="B2" s="1" t="str">
        <f>IF(ISTEXT('_Data inputs (reported)'!B2),'_Data inputs (reported)'!B2,"")</f>
        <v/>
      </c>
      <c r="C2" s="179" t="str">
        <f>IF(ISBLANK('_Data inputs (reported)'!C2),"",'_Data inputs (reported)'!C2)</f>
        <v/>
      </c>
      <c r="D2" s="105" t="str">
        <f>IF(ISTEXT(VLOOKUP('_Data inputs (reported)'!D2,nametranslations,1,FALSE)),IF(Introduction!$A$2="English",VLOOKUP('_Data inputs (reported)'!D2,nametranslations,1,FALSE),IF(Introduction!$A$2="Spanish",VLOOKUP('_Data inputs (reported)'!D2,nametranslations,2,FALSE),IF(Introduction!$A$2="French",VLOOKUP('_Data inputs (reported)'!D2,nametranslations,3,FALSE),IF(Introduction!$A$2="Arabic",VLOOKUP('_Data inputs (reported)'!D2,nametranslations,4,FALSE),IF(Introduction!$A$2="Russian",VLOOKUP('_Data inputs (reported)'!D2,nametranslations,5,FALSE),IF(Introduction!$A$2="Chinese",VLOOKUP('_Data inputs (reported)'!D2,nametranslations,6,FALSE),IF(Introduction!$A$2="Other",VLOOKUP('_Data inputs (reported)'!D2,nametranslations,7,FALSE)))))))),"")</f>
        <v/>
      </c>
      <c r="E2" s="1" t="str">
        <f>IF(ISTEXT('_Data inputs (reported)'!E2),'_Data inputs (reported)'!E2,"")</f>
        <v/>
      </c>
      <c r="F2" s="8" t="str">
        <f>IF(ISNUMBER('_Data inputs (reported)'!F2),'_Data inputs (reported)'!F2,"")</f>
        <v/>
      </c>
      <c r="G2" s="105" t="str">
        <f>IF(ISTEXT(VLOOKUP('_Data inputs (reported)'!G2,nametranslations,1,FALSE)),IF(Introduction!$A$2="English",VLOOKUP('_Data inputs (reported)'!G2,nametranslations,1,FALSE),IF(Introduction!$A$2="Spanish",VLOOKUP('_Data inputs (reported)'!G2,nametranslations,2,FALSE),IF(Introduction!$A$2="French",VLOOKUP('_Data inputs (reported)'!G2,nametranslations,3,FALSE),IF(Introduction!$A$2="Arabic",VLOOKUP('_Data inputs (reported)'!G2,nametranslations,4,FALSE),IF(Introduction!$A$2="Russian",VLOOKUP('_Data inputs (reported)'!G2,nametranslations,5,FALSE),IF(Introduction!$A$2="Chinese",VLOOKUP('_Data inputs (reported)'!G2,nametranslations,6,FALSE),IF(Introduction!$A$2="Other",VLOOKUP('_Data inputs (reported)'!G2,nametranslations,7,FALSE)))))))),"")</f>
        <v/>
      </c>
      <c r="H2" s="1" t="str">
        <f>IF(ISTEXT('_Data inputs (reported)'!H2),'_Data inputs (reported)'!H2,"")</f>
        <v/>
      </c>
      <c r="I2" s="42" t="str">
        <f>IF(ISNUMBER('_Data inputs (reported)'!I2),'_Data inputs (reported)'!I2,"")</f>
        <v/>
      </c>
      <c r="J2" s="1" t="str">
        <f>IF(ISTEXT('_Data inputs (reported)'!J2),'_Data inputs (reported)'!J2,"")</f>
        <v/>
      </c>
      <c r="K2" s="105" t="str">
        <f>IF(ISTEXT('_Data inputs (reported)'!K2),'_Data inputs (reported)'!K2,"")</f>
        <v/>
      </c>
      <c r="L2" s="105" t="str">
        <f>IF(ISTEXT('_Data inputs (reported)'!L2),'_Data inputs (reported)'!L2,"")</f>
        <v/>
      </c>
      <c r="M2" s="1" t="str">
        <f>IF(ISTEXT('_Data inputs (reported)'!M2),'_Data inputs (reported)'!M2,"")</f>
        <v/>
      </c>
      <c r="N2" s="105" t="str">
        <f>IF(ISTEXT('_Data inputs (reported)'!N2),'_Data inputs (reported)'!N2,"")</f>
        <v/>
      </c>
    </row>
    <row xmlns:x14ac="http://schemas.microsoft.com/office/spreadsheetml/2009/9/ac" r="3" x14ac:dyDescent="0.2">
      <c r="A3" s="105" t="str">
        <f>IF(ISTEXT(VLOOKUP('_Data inputs (reported)'!B3,countryname,2,FALSE)),IF(Introduction!$A$2="English",VLOOKUP('_Data inputs (reported)'!B3,countryname,2,FALSE),IF(Introduction!$A$2="French",VLOOKUP('_Data inputs (reported)'!B3,countryname,3,FALSE),IF(Introduction!$A$2="Spanish",VLOOKUP('_Data inputs (reported)'!B3,countryname,4,FALSE),IF(Introduction!$A$2="Russian",VLOOKUP('_Data inputs (reported)'!B3,countryname,5,FALSE),IF(Introduction!$A$2="Arabic",VLOOKUP('_Data inputs (reported)'!B3,countryname,6,FALSE),IF(Introduction!$A$2="Chinese",VLOOKUP('_Data inputs (reported)'!B3,countryname,7,FALSE),IF(Introduction!$A$2="Other",VLOOKUP('_Data inputs (reported)'!B3,countryname,8,FALSE)))))))),"")</f>
        <v/>
      </c>
      <c r="B3" s="1" t="str">
        <f>IF(ISTEXT('_Data inputs (reported)'!B3),'_Data inputs (reported)'!B3,"")</f>
        <v/>
      </c>
      <c r="C3" s="179" t="str">
        <f>IF(ISBLANK('_Data inputs (reported)'!C3),"",'_Data inputs (reported)'!C3)</f>
        <v/>
      </c>
      <c r="D3" s="105" t="str">
        <f>IF(ISTEXT(VLOOKUP('_Data inputs (reported)'!D3,nametranslations,1,FALSE)),IF(Introduction!$A$2="English",VLOOKUP('_Data inputs (reported)'!D3,nametranslations,1,FALSE),IF(Introduction!$A$2="Spanish",VLOOKUP('_Data inputs (reported)'!D3,nametranslations,2,FALSE),IF(Introduction!$A$2="French",VLOOKUP('_Data inputs (reported)'!D3,nametranslations,3,FALSE),IF(Introduction!$A$2="Arabic",VLOOKUP('_Data inputs (reported)'!D3,nametranslations,4,FALSE),IF(Introduction!$A$2="Russian",VLOOKUP('_Data inputs (reported)'!D3,nametranslations,5,FALSE),IF(Introduction!$A$2="Chinese",VLOOKUP('_Data inputs (reported)'!D3,nametranslations,6,FALSE),IF(Introduction!$A$2="Other",VLOOKUP('_Data inputs (reported)'!D3,nametranslations,7,FALSE)))))))),"")</f>
        <v/>
      </c>
      <c r="E3" s="1" t="str">
        <f>IF(ISTEXT('_Data inputs (reported)'!E3),'_Data inputs (reported)'!E3,"")</f>
        <v/>
      </c>
      <c r="F3" s="8" t="str">
        <f>IF(ISNUMBER('_Data inputs (reported)'!F3),'_Data inputs (reported)'!F3,"")</f>
        <v/>
      </c>
      <c r="G3" s="105" t="str">
        <f>IF(ISTEXT(VLOOKUP('_Data inputs (reported)'!G3,nametranslations,1,FALSE)),IF(Introduction!$A$2="English",VLOOKUP('_Data inputs (reported)'!G3,nametranslations,1,FALSE),IF(Introduction!$A$2="Spanish",VLOOKUP('_Data inputs (reported)'!G3,nametranslations,2,FALSE),IF(Introduction!$A$2="French",VLOOKUP('_Data inputs (reported)'!G3,nametranslations,3,FALSE),IF(Introduction!$A$2="Arabic",VLOOKUP('_Data inputs (reported)'!G3,nametranslations,4,FALSE),IF(Introduction!$A$2="Russian",VLOOKUP('_Data inputs (reported)'!G3,nametranslations,5,FALSE),IF(Introduction!$A$2="Chinese",VLOOKUP('_Data inputs (reported)'!G3,nametranslations,6,FALSE),IF(Introduction!$A$2="Other",VLOOKUP('_Data inputs (reported)'!G3,nametranslations,7,FALSE)))))))),"")</f>
        <v/>
      </c>
      <c r="H3" s="1" t="str">
        <f>IF(ISTEXT('_Data inputs (reported)'!H3),'_Data inputs (reported)'!H3,"")</f>
        <v/>
      </c>
      <c r="I3" s="42" t="str">
        <f>IF(ISNUMBER('_Data inputs (reported)'!I3),'_Data inputs (reported)'!I3,"")</f>
        <v/>
      </c>
      <c r="J3" s="1" t="str">
        <f>IF(ISTEXT('_Data inputs (reported)'!J3),'_Data inputs (reported)'!J3,"")</f>
        <v/>
      </c>
      <c r="K3" s="105" t="str">
        <f>IF(ISTEXT('_Data inputs (reported)'!K3),'_Data inputs (reported)'!K3,"")</f>
        <v/>
      </c>
      <c r="L3" s="105" t="str">
        <f>IF(ISTEXT('_Data inputs (reported)'!L3),'_Data inputs (reported)'!L3,"")</f>
        <v/>
      </c>
      <c r="M3" s="1" t="str">
        <f>IF(ISTEXT('_Data inputs (reported)'!M3),'_Data inputs (reported)'!M3,"")</f>
        <v/>
      </c>
      <c r="N3" s="105" t="str">
        <f>IF(ISTEXT('_Data inputs (reported)'!N3),'_Data inputs (reported)'!N3,"")</f>
        <v/>
      </c>
    </row>
    <row xmlns:x14ac="http://schemas.microsoft.com/office/spreadsheetml/2009/9/ac" r="4" x14ac:dyDescent="0.2">
      <c r="A4" s="105" t="str">
        <f>IF(ISTEXT(VLOOKUP('_Data inputs (reported)'!B4,countryname,2,FALSE)),IF(Introduction!$A$2="English",VLOOKUP('_Data inputs (reported)'!B4,countryname,2,FALSE),IF(Introduction!$A$2="French",VLOOKUP('_Data inputs (reported)'!B4,countryname,3,FALSE),IF(Introduction!$A$2="Spanish",VLOOKUP('_Data inputs (reported)'!B4,countryname,4,FALSE),IF(Introduction!$A$2="Russian",VLOOKUP('_Data inputs (reported)'!B4,countryname,5,FALSE),IF(Introduction!$A$2="Arabic",VLOOKUP('_Data inputs (reported)'!B4,countryname,6,FALSE),IF(Introduction!$A$2="Chinese",VLOOKUP('_Data inputs (reported)'!B4,countryname,7,FALSE),IF(Introduction!$A$2="Other",VLOOKUP('_Data inputs (reported)'!B4,countryname,8,FALSE)))))))),"")</f>
        <v/>
      </c>
      <c r="B4" s="1" t="str">
        <f>IF(ISTEXT('_Data inputs (reported)'!B4),'_Data inputs (reported)'!B4,"")</f>
        <v/>
      </c>
      <c r="C4" s="179" t="str">
        <f>IF(ISBLANK('_Data inputs (reported)'!C4),"",'_Data inputs (reported)'!C4)</f>
        <v/>
      </c>
      <c r="D4" s="105" t="str">
        <f>IF(ISTEXT(VLOOKUP('_Data inputs (reported)'!D4,nametranslations,1,FALSE)),IF(Introduction!$A$2="English",VLOOKUP('_Data inputs (reported)'!D4,nametranslations,1,FALSE),IF(Introduction!$A$2="Spanish",VLOOKUP('_Data inputs (reported)'!D4,nametranslations,2,FALSE),IF(Introduction!$A$2="French",VLOOKUP('_Data inputs (reported)'!D4,nametranslations,3,FALSE),IF(Introduction!$A$2="Arabic",VLOOKUP('_Data inputs (reported)'!D4,nametranslations,4,FALSE),IF(Introduction!$A$2="Russian",VLOOKUP('_Data inputs (reported)'!D4,nametranslations,5,FALSE),IF(Introduction!$A$2="Chinese",VLOOKUP('_Data inputs (reported)'!D4,nametranslations,6,FALSE),IF(Introduction!$A$2="Other",VLOOKUP('_Data inputs (reported)'!D4,nametranslations,7,FALSE)))))))),"")</f>
        <v/>
      </c>
      <c r="E4" s="1" t="str">
        <f>IF(ISTEXT('_Data inputs (reported)'!E4),'_Data inputs (reported)'!E4,"")</f>
        <v/>
      </c>
      <c r="F4" s="8" t="str">
        <f>IF(ISNUMBER('_Data inputs (reported)'!F4),'_Data inputs (reported)'!F4,"")</f>
        <v/>
      </c>
      <c r="G4" s="105" t="str">
        <f>IF(ISTEXT(VLOOKUP('_Data inputs (reported)'!G4,nametranslations,1,FALSE)),IF(Introduction!$A$2="English",VLOOKUP('_Data inputs (reported)'!G4,nametranslations,1,FALSE),IF(Introduction!$A$2="Spanish",VLOOKUP('_Data inputs (reported)'!G4,nametranslations,2,FALSE),IF(Introduction!$A$2="French",VLOOKUP('_Data inputs (reported)'!G4,nametranslations,3,FALSE),IF(Introduction!$A$2="Arabic",VLOOKUP('_Data inputs (reported)'!G4,nametranslations,4,FALSE),IF(Introduction!$A$2="Russian",VLOOKUP('_Data inputs (reported)'!G4,nametranslations,5,FALSE),IF(Introduction!$A$2="Chinese",VLOOKUP('_Data inputs (reported)'!G4,nametranslations,6,FALSE),IF(Introduction!$A$2="Other",VLOOKUP('_Data inputs (reported)'!G4,nametranslations,7,FALSE)))))))),"")</f>
        <v/>
      </c>
      <c r="H4" s="1" t="str">
        <f>IF(ISTEXT('_Data inputs (reported)'!H4),'_Data inputs (reported)'!H4,"")</f>
        <v/>
      </c>
      <c r="I4" s="42" t="str">
        <f>IF(ISNUMBER('_Data inputs (reported)'!I4),'_Data inputs (reported)'!I4,"")</f>
        <v/>
      </c>
      <c r="J4" s="1" t="str">
        <f>IF(ISTEXT('_Data inputs (reported)'!J4),'_Data inputs (reported)'!J4,"")</f>
        <v/>
      </c>
      <c r="K4" s="105" t="str">
        <f>IF(ISTEXT('_Data inputs (reported)'!K4),'_Data inputs (reported)'!K4,"")</f>
        <v/>
      </c>
      <c r="L4" s="105" t="str">
        <f>IF(ISTEXT('_Data inputs (reported)'!L4),'_Data inputs (reported)'!L4,"")</f>
        <v/>
      </c>
      <c r="M4" s="1" t="str">
        <f>IF(ISTEXT('_Data inputs (reported)'!M4),'_Data inputs (reported)'!M4,"")</f>
        <v/>
      </c>
      <c r="N4" s="105" t="str">
        <f>IF(ISTEXT('_Data inputs (reported)'!N4),'_Data inputs (reported)'!N4,"")</f>
        <v/>
      </c>
    </row>
    <row xmlns:x14ac="http://schemas.microsoft.com/office/spreadsheetml/2009/9/ac" r="5" x14ac:dyDescent="0.2">
      <c r="A5" s="105" t="str">
        <f>IF(ISTEXT(VLOOKUP('_Data inputs (reported)'!B5,countryname,2,FALSE)),IF(Introduction!$A$2="English",VLOOKUP('_Data inputs (reported)'!B5,countryname,2,FALSE),IF(Introduction!$A$2="French",VLOOKUP('_Data inputs (reported)'!B5,countryname,3,FALSE),IF(Introduction!$A$2="Spanish",VLOOKUP('_Data inputs (reported)'!B5,countryname,4,FALSE),IF(Introduction!$A$2="Russian",VLOOKUP('_Data inputs (reported)'!B5,countryname,5,FALSE),IF(Introduction!$A$2="Arabic",VLOOKUP('_Data inputs (reported)'!B5,countryname,6,FALSE),IF(Introduction!$A$2="Chinese",VLOOKUP('_Data inputs (reported)'!B5,countryname,7,FALSE),IF(Introduction!$A$2="Other",VLOOKUP('_Data inputs (reported)'!B5,countryname,8,FALSE)))))))),"")</f>
        <v/>
      </c>
      <c r="B5" s="1" t="str">
        <f>IF(ISTEXT('_Data inputs (reported)'!B5),'_Data inputs (reported)'!B5,"")</f>
        <v/>
      </c>
      <c r="C5" s="179" t="str">
        <f>IF(ISBLANK('_Data inputs (reported)'!C5),"",'_Data inputs (reported)'!C5)</f>
        <v/>
      </c>
      <c r="D5" s="105" t="str">
        <f>IF(ISTEXT(VLOOKUP('_Data inputs (reported)'!D5,nametranslations,1,FALSE)),IF(Introduction!$A$2="English",VLOOKUP('_Data inputs (reported)'!D5,nametranslations,1,FALSE),IF(Introduction!$A$2="Spanish",VLOOKUP('_Data inputs (reported)'!D5,nametranslations,2,FALSE),IF(Introduction!$A$2="French",VLOOKUP('_Data inputs (reported)'!D5,nametranslations,3,FALSE),IF(Introduction!$A$2="Arabic",VLOOKUP('_Data inputs (reported)'!D5,nametranslations,4,FALSE),IF(Introduction!$A$2="Russian",VLOOKUP('_Data inputs (reported)'!D5,nametranslations,5,FALSE),IF(Introduction!$A$2="Chinese",VLOOKUP('_Data inputs (reported)'!D5,nametranslations,6,FALSE),IF(Introduction!$A$2="Other",VLOOKUP('_Data inputs (reported)'!D5,nametranslations,7,FALSE)))))))),"")</f>
        <v/>
      </c>
      <c r="E5" s="1" t="str">
        <f>IF(ISTEXT('_Data inputs (reported)'!E5),'_Data inputs (reported)'!E5,"")</f>
        <v/>
      </c>
      <c r="F5" s="8" t="str">
        <f>IF(ISNUMBER('_Data inputs (reported)'!F5),'_Data inputs (reported)'!F5,"")</f>
        <v/>
      </c>
      <c r="G5" s="105" t="str">
        <f>IF(ISTEXT(VLOOKUP('_Data inputs (reported)'!G5,nametranslations,1,FALSE)),IF(Introduction!$A$2="English",VLOOKUP('_Data inputs (reported)'!G5,nametranslations,1,FALSE),IF(Introduction!$A$2="Spanish",VLOOKUP('_Data inputs (reported)'!G5,nametranslations,2,FALSE),IF(Introduction!$A$2="French",VLOOKUP('_Data inputs (reported)'!G5,nametranslations,3,FALSE),IF(Introduction!$A$2="Arabic",VLOOKUP('_Data inputs (reported)'!G5,nametranslations,4,FALSE),IF(Introduction!$A$2="Russian",VLOOKUP('_Data inputs (reported)'!G5,nametranslations,5,FALSE),IF(Introduction!$A$2="Chinese",VLOOKUP('_Data inputs (reported)'!G5,nametranslations,6,FALSE),IF(Introduction!$A$2="Other",VLOOKUP('_Data inputs (reported)'!G5,nametranslations,7,FALSE)))))))),"")</f>
        <v/>
      </c>
      <c r="H5" s="1" t="str">
        <f>IF(ISTEXT('_Data inputs (reported)'!H5),'_Data inputs (reported)'!H5,"")</f>
        <v/>
      </c>
      <c r="I5" s="42" t="str">
        <f>IF(ISNUMBER('_Data inputs (reported)'!I5),'_Data inputs (reported)'!I5,"")</f>
        <v/>
      </c>
      <c r="J5" s="1" t="str">
        <f>IF(ISTEXT('_Data inputs (reported)'!J5),'_Data inputs (reported)'!J5,"")</f>
        <v/>
      </c>
      <c r="K5" s="105" t="str">
        <f>IF(ISTEXT('_Data inputs (reported)'!K5),'_Data inputs (reported)'!K5,"")</f>
        <v/>
      </c>
      <c r="L5" s="105" t="str">
        <f>IF(ISTEXT('_Data inputs (reported)'!L5),'_Data inputs (reported)'!L5,"")</f>
        <v/>
      </c>
      <c r="M5" s="1" t="str">
        <f>IF(ISTEXT('_Data inputs (reported)'!M5),'_Data inputs (reported)'!M5,"")</f>
        <v/>
      </c>
      <c r="N5" s="105" t="str">
        <f>IF(ISTEXT('_Data inputs (reported)'!N5),'_Data inputs (reported)'!N5,"")</f>
        <v/>
      </c>
    </row>
    <row xmlns:x14ac="http://schemas.microsoft.com/office/spreadsheetml/2009/9/ac" r="6" x14ac:dyDescent="0.2">
      <c r="A6" s="105" t="str">
        <f>IF(ISTEXT(VLOOKUP('_Data inputs (reported)'!B6,countryname,2,FALSE)),IF(Introduction!$A$2="English",VLOOKUP('_Data inputs (reported)'!B6,countryname,2,FALSE),IF(Introduction!$A$2="French",VLOOKUP('_Data inputs (reported)'!B6,countryname,3,FALSE),IF(Introduction!$A$2="Spanish",VLOOKUP('_Data inputs (reported)'!B6,countryname,4,FALSE),IF(Introduction!$A$2="Russian",VLOOKUP('_Data inputs (reported)'!B6,countryname,5,FALSE),IF(Introduction!$A$2="Arabic",VLOOKUP('_Data inputs (reported)'!B6,countryname,6,FALSE),IF(Introduction!$A$2="Chinese",VLOOKUP('_Data inputs (reported)'!B6,countryname,7,FALSE),IF(Introduction!$A$2="Other",VLOOKUP('_Data inputs (reported)'!B6,countryname,8,FALSE)))))))),"")</f>
        <v/>
      </c>
      <c r="B6" s="1" t="str">
        <f>IF(ISTEXT('_Data inputs (reported)'!B6),'_Data inputs (reported)'!B6,"")</f>
        <v/>
      </c>
      <c r="C6" s="179" t="str">
        <f>IF(ISBLANK('_Data inputs (reported)'!C6),"",'_Data inputs (reported)'!C6)</f>
        <v/>
      </c>
      <c r="D6" s="105" t="str">
        <f>IF(ISTEXT(VLOOKUP('_Data inputs (reported)'!D6,nametranslations,1,FALSE)),IF(Introduction!$A$2="English",VLOOKUP('_Data inputs (reported)'!D6,nametranslations,1,FALSE),IF(Introduction!$A$2="Spanish",VLOOKUP('_Data inputs (reported)'!D6,nametranslations,2,FALSE),IF(Introduction!$A$2="French",VLOOKUP('_Data inputs (reported)'!D6,nametranslations,3,FALSE),IF(Introduction!$A$2="Arabic",VLOOKUP('_Data inputs (reported)'!D6,nametranslations,4,FALSE),IF(Introduction!$A$2="Russian",VLOOKUP('_Data inputs (reported)'!D6,nametranslations,5,FALSE),IF(Introduction!$A$2="Chinese",VLOOKUP('_Data inputs (reported)'!D6,nametranslations,6,FALSE),IF(Introduction!$A$2="Other",VLOOKUP('_Data inputs (reported)'!D6,nametranslations,7,FALSE)))))))),"")</f>
        <v/>
      </c>
      <c r="E6" s="1" t="str">
        <f>IF(ISTEXT('_Data inputs (reported)'!E6),'_Data inputs (reported)'!E6,"")</f>
        <v/>
      </c>
      <c r="F6" s="8" t="str">
        <f>IF(ISNUMBER('_Data inputs (reported)'!F6),'_Data inputs (reported)'!F6,"")</f>
        <v/>
      </c>
      <c r="G6" s="105" t="str">
        <f>IF(ISTEXT(VLOOKUP('_Data inputs (reported)'!G6,nametranslations,1,FALSE)),IF(Introduction!$A$2="English",VLOOKUP('_Data inputs (reported)'!G6,nametranslations,1,FALSE),IF(Introduction!$A$2="Spanish",VLOOKUP('_Data inputs (reported)'!G6,nametranslations,2,FALSE),IF(Introduction!$A$2="French",VLOOKUP('_Data inputs (reported)'!G6,nametranslations,3,FALSE),IF(Introduction!$A$2="Arabic",VLOOKUP('_Data inputs (reported)'!G6,nametranslations,4,FALSE),IF(Introduction!$A$2="Russian",VLOOKUP('_Data inputs (reported)'!G6,nametranslations,5,FALSE),IF(Introduction!$A$2="Chinese",VLOOKUP('_Data inputs (reported)'!G6,nametranslations,6,FALSE),IF(Introduction!$A$2="Other",VLOOKUP('_Data inputs (reported)'!G6,nametranslations,7,FALSE)))))))),"")</f>
        <v/>
      </c>
      <c r="H6" s="1" t="str">
        <f>IF(ISTEXT('_Data inputs (reported)'!H6),'_Data inputs (reported)'!H6,"")</f>
        <v/>
      </c>
      <c r="I6" s="42" t="str">
        <f>IF(ISNUMBER('_Data inputs (reported)'!I6),'_Data inputs (reported)'!I6,"")</f>
        <v/>
      </c>
      <c r="J6" s="1" t="str">
        <f>IF(ISTEXT('_Data inputs (reported)'!J6),'_Data inputs (reported)'!J6,"")</f>
        <v/>
      </c>
      <c r="K6" s="105" t="str">
        <f>IF(ISTEXT('_Data inputs (reported)'!K6),'_Data inputs (reported)'!K6,"")</f>
        <v/>
      </c>
      <c r="L6" s="105" t="str">
        <f>IF(ISTEXT('_Data inputs (reported)'!L6),'_Data inputs (reported)'!L6,"")</f>
        <v/>
      </c>
      <c r="M6" s="1" t="str">
        <f>IF(ISTEXT('_Data inputs (reported)'!M6),'_Data inputs (reported)'!M6,"")</f>
        <v/>
      </c>
      <c r="N6" s="105" t="str">
        <f>IF(ISTEXT('_Data inputs (reported)'!N6),'_Data inputs (reported)'!N6,"")</f>
        <v/>
      </c>
    </row>
    <row xmlns:x14ac="http://schemas.microsoft.com/office/spreadsheetml/2009/9/ac" r="7" x14ac:dyDescent="0.2">
      <c r="A7" s="105" t="str">
        <f>IF(ISTEXT(VLOOKUP('_Data inputs (reported)'!B7,countryname,2,FALSE)),IF(Introduction!$A$2="English",VLOOKUP('_Data inputs (reported)'!B7,countryname,2,FALSE),IF(Introduction!$A$2="French",VLOOKUP('_Data inputs (reported)'!B7,countryname,3,FALSE),IF(Introduction!$A$2="Spanish",VLOOKUP('_Data inputs (reported)'!B7,countryname,4,FALSE),IF(Introduction!$A$2="Russian",VLOOKUP('_Data inputs (reported)'!B7,countryname,5,FALSE),IF(Introduction!$A$2="Arabic",VLOOKUP('_Data inputs (reported)'!B7,countryname,6,FALSE),IF(Introduction!$A$2="Chinese",VLOOKUP('_Data inputs (reported)'!B7,countryname,7,FALSE),IF(Introduction!$A$2="Other",VLOOKUP('_Data inputs (reported)'!B7,countryname,8,FALSE)))))))),"")</f>
        <v/>
      </c>
      <c r="B7" s="1" t="str">
        <f>IF(ISTEXT('_Data inputs (reported)'!B7),'_Data inputs (reported)'!B7,"")</f>
        <v/>
      </c>
      <c r="C7" s="179" t="str">
        <f>IF(ISBLANK('_Data inputs (reported)'!C7),"",'_Data inputs (reported)'!C7)</f>
        <v/>
      </c>
      <c r="D7" s="105" t="str">
        <f>IF(ISTEXT(VLOOKUP('_Data inputs (reported)'!D7,nametranslations,1,FALSE)),IF(Introduction!$A$2="English",VLOOKUP('_Data inputs (reported)'!D7,nametranslations,1,FALSE),IF(Introduction!$A$2="Spanish",VLOOKUP('_Data inputs (reported)'!D7,nametranslations,2,FALSE),IF(Introduction!$A$2="French",VLOOKUP('_Data inputs (reported)'!D7,nametranslations,3,FALSE),IF(Introduction!$A$2="Arabic",VLOOKUP('_Data inputs (reported)'!D7,nametranslations,4,FALSE),IF(Introduction!$A$2="Russian",VLOOKUP('_Data inputs (reported)'!D7,nametranslations,5,FALSE),IF(Introduction!$A$2="Chinese",VLOOKUP('_Data inputs (reported)'!D7,nametranslations,6,FALSE),IF(Introduction!$A$2="Other",VLOOKUP('_Data inputs (reported)'!D7,nametranslations,7,FALSE)))))))),"")</f>
        <v/>
      </c>
      <c r="E7" s="1" t="str">
        <f>IF(ISTEXT('_Data inputs (reported)'!E7),'_Data inputs (reported)'!E7,"")</f>
        <v/>
      </c>
      <c r="F7" s="8" t="str">
        <f>IF(ISNUMBER('_Data inputs (reported)'!F7),'_Data inputs (reported)'!F7,"")</f>
        <v/>
      </c>
      <c r="G7" s="105" t="str">
        <f>IF(ISTEXT(VLOOKUP('_Data inputs (reported)'!G7,nametranslations,1,FALSE)),IF(Introduction!$A$2="English",VLOOKUP('_Data inputs (reported)'!G7,nametranslations,1,FALSE),IF(Introduction!$A$2="Spanish",VLOOKUP('_Data inputs (reported)'!G7,nametranslations,2,FALSE),IF(Introduction!$A$2="French",VLOOKUP('_Data inputs (reported)'!G7,nametranslations,3,FALSE),IF(Introduction!$A$2="Arabic",VLOOKUP('_Data inputs (reported)'!G7,nametranslations,4,FALSE),IF(Introduction!$A$2="Russian",VLOOKUP('_Data inputs (reported)'!G7,nametranslations,5,FALSE),IF(Introduction!$A$2="Chinese",VLOOKUP('_Data inputs (reported)'!G7,nametranslations,6,FALSE),IF(Introduction!$A$2="Other",VLOOKUP('_Data inputs (reported)'!G7,nametranslations,7,FALSE)))))))),"")</f>
        <v/>
      </c>
      <c r="H7" s="1" t="str">
        <f>IF(ISTEXT('_Data inputs (reported)'!H7),'_Data inputs (reported)'!H7,"")</f>
        <v/>
      </c>
      <c r="I7" s="42" t="str">
        <f>IF(ISNUMBER('_Data inputs (reported)'!I7),'_Data inputs (reported)'!I7,"")</f>
        <v/>
      </c>
      <c r="J7" s="1" t="str">
        <f>IF(ISTEXT('_Data inputs (reported)'!J7),'_Data inputs (reported)'!J7,"")</f>
        <v/>
      </c>
      <c r="K7" s="105" t="str">
        <f>IF(ISTEXT('_Data inputs (reported)'!K7),'_Data inputs (reported)'!K7,"")</f>
        <v/>
      </c>
      <c r="L7" s="105" t="str">
        <f>IF(ISTEXT('_Data inputs (reported)'!L7),'_Data inputs (reported)'!L7,"")</f>
        <v/>
      </c>
      <c r="M7" s="1" t="str">
        <f>IF(ISTEXT('_Data inputs (reported)'!M7),'_Data inputs (reported)'!M7,"")</f>
        <v/>
      </c>
      <c r="N7" s="105" t="str">
        <f>IF(ISTEXT('_Data inputs (reported)'!N7),'_Data inputs (reported)'!N7,"")</f>
        <v/>
      </c>
    </row>
    <row xmlns:x14ac="http://schemas.microsoft.com/office/spreadsheetml/2009/9/ac" r="8" x14ac:dyDescent="0.2">
      <c r="A8" s="105" t="str">
        <f>IF(ISTEXT(VLOOKUP('_Data inputs (reported)'!B8,countryname,2,FALSE)),IF(Introduction!$A$2="English",VLOOKUP('_Data inputs (reported)'!B8,countryname,2,FALSE),IF(Introduction!$A$2="French",VLOOKUP('_Data inputs (reported)'!B8,countryname,3,FALSE),IF(Introduction!$A$2="Spanish",VLOOKUP('_Data inputs (reported)'!B8,countryname,4,FALSE),IF(Introduction!$A$2="Russian",VLOOKUP('_Data inputs (reported)'!B8,countryname,5,FALSE),IF(Introduction!$A$2="Arabic",VLOOKUP('_Data inputs (reported)'!B8,countryname,6,FALSE),IF(Introduction!$A$2="Chinese",VLOOKUP('_Data inputs (reported)'!B8,countryname,7,FALSE),IF(Introduction!$A$2="Other",VLOOKUP('_Data inputs (reported)'!B8,countryname,8,FALSE)))))))),"")</f>
        <v/>
      </c>
      <c r="B8" s="1" t="str">
        <f>IF(ISTEXT('_Data inputs (reported)'!B8),'_Data inputs (reported)'!B8,"")</f>
        <v/>
      </c>
      <c r="C8" s="179" t="str">
        <f>IF(ISBLANK('_Data inputs (reported)'!C8),"",'_Data inputs (reported)'!C8)</f>
        <v/>
      </c>
      <c r="D8" s="105" t="str">
        <f>IF(ISTEXT(VLOOKUP('_Data inputs (reported)'!D8,nametranslations,1,FALSE)),IF(Introduction!$A$2="English",VLOOKUP('_Data inputs (reported)'!D8,nametranslations,1,FALSE),IF(Introduction!$A$2="Spanish",VLOOKUP('_Data inputs (reported)'!D8,nametranslations,2,FALSE),IF(Introduction!$A$2="French",VLOOKUP('_Data inputs (reported)'!D8,nametranslations,3,FALSE),IF(Introduction!$A$2="Arabic",VLOOKUP('_Data inputs (reported)'!D8,nametranslations,4,FALSE),IF(Introduction!$A$2="Russian",VLOOKUP('_Data inputs (reported)'!D8,nametranslations,5,FALSE),IF(Introduction!$A$2="Chinese",VLOOKUP('_Data inputs (reported)'!D8,nametranslations,6,FALSE),IF(Introduction!$A$2="Other",VLOOKUP('_Data inputs (reported)'!D8,nametranslations,7,FALSE)))))))),"")</f>
        <v/>
      </c>
      <c r="E8" s="1" t="str">
        <f>IF(ISTEXT('_Data inputs (reported)'!E8),'_Data inputs (reported)'!E8,"")</f>
        <v/>
      </c>
      <c r="F8" s="8" t="str">
        <f>IF(ISNUMBER('_Data inputs (reported)'!F8),'_Data inputs (reported)'!F8,"")</f>
        <v/>
      </c>
      <c r="G8" s="105" t="str">
        <f>IF(ISTEXT(VLOOKUP('_Data inputs (reported)'!G8,nametranslations,1,FALSE)),IF(Introduction!$A$2="English",VLOOKUP('_Data inputs (reported)'!G8,nametranslations,1,FALSE),IF(Introduction!$A$2="Spanish",VLOOKUP('_Data inputs (reported)'!G8,nametranslations,2,FALSE),IF(Introduction!$A$2="French",VLOOKUP('_Data inputs (reported)'!G8,nametranslations,3,FALSE),IF(Introduction!$A$2="Arabic",VLOOKUP('_Data inputs (reported)'!G8,nametranslations,4,FALSE),IF(Introduction!$A$2="Russian",VLOOKUP('_Data inputs (reported)'!G8,nametranslations,5,FALSE),IF(Introduction!$A$2="Chinese",VLOOKUP('_Data inputs (reported)'!G8,nametranslations,6,FALSE),IF(Introduction!$A$2="Other",VLOOKUP('_Data inputs (reported)'!G8,nametranslations,7,FALSE)))))))),"")</f>
        <v/>
      </c>
      <c r="H8" s="1" t="str">
        <f>IF(ISTEXT('_Data inputs (reported)'!H8),'_Data inputs (reported)'!H8,"")</f>
        <v/>
      </c>
      <c r="I8" s="42" t="str">
        <f>IF(ISNUMBER('_Data inputs (reported)'!I8),'_Data inputs (reported)'!I8,"")</f>
        <v/>
      </c>
      <c r="J8" s="1" t="str">
        <f>IF(ISTEXT('_Data inputs (reported)'!J8),'_Data inputs (reported)'!J8,"")</f>
        <v/>
      </c>
      <c r="K8" s="105" t="str">
        <f>IF(ISTEXT('_Data inputs (reported)'!K8),'_Data inputs (reported)'!K8,"")</f>
        <v/>
      </c>
      <c r="L8" s="105" t="str">
        <f>IF(ISTEXT('_Data inputs (reported)'!L8),'_Data inputs (reported)'!L8,"")</f>
        <v/>
      </c>
      <c r="M8" s="1" t="str">
        <f>IF(ISTEXT('_Data inputs (reported)'!M8),'_Data inputs (reported)'!M8,"")</f>
        <v/>
      </c>
      <c r="N8" s="105" t="str">
        <f>IF(ISTEXT('_Data inputs (reported)'!N8),'_Data inputs (reported)'!N8,"")</f>
        <v/>
      </c>
    </row>
    <row xmlns:x14ac="http://schemas.microsoft.com/office/spreadsheetml/2009/9/ac" r="9" x14ac:dyDescent="0.2">
      <c r="A9" s="105" t="str">
        <f>IF(ISTEXT(VLOOKUP('_Data inputs (reported)'!B9,countryname,2,FALSE)),IF(Introduction!$A$2="English",VLOOKUP('_Data inputs (reported)'!B9,countryname,2,FALSE),IF(Introduction!$A$2="French",VLOOKUP('_Data inputs (reported)'!B9,countryname,3,FALSE),IF(Introduction!$A$2="Spanish",VLOOKUP('_Data inputs (reported)'!B9,countryname,4,FALSE),IF(Introduction!$A$2="Russian",VLOOKUP('_Data inputs (reported)'!B9,countryname,5,FALSE),IF(Introduction!$A$2="Arabic",VLOOKUP('_Data inputs (reported)'!B9,countryname,6,FALSE),IF(Introduction!$A$2="Chinese",VLOOKUP('_Data inputs (reported)'!B9,countryname,7,FALSE),IF(Introduction!$A$2="Other",VLOOKUP('_Data inputs (reported)'!B9,countryname,8,FALSE)))))))),"")</f>
        <v/>
      </c>
      <c r="B9" s="1" t="str">
        <f>IF(ISTEXT('_Data inputs (reported)'!B9),'_Data inputs (reported)'!B9,"")</f>
        <v/>
      </c>
      <c r="C9" s="179" t="str">
        <f>IF(ISBLANK('_Data inputs (reported)'!C9),"",'_Data inputs (reported)'!C9)</f>
        <v/>
      </c>
      <c r="D9" s="105" t="str">
        <f>IF(ISTEXT(VLOOKUP('_Data inputs (reported)'!D9,nametranslations,1,FALSE)),IF(Introduction!$A$2="English",VLOOKUP('_Data inputs (reported)'!D9,nametranslations,1,FALSE),IF(Introduction!$A$2="Spanish",VLOOKUP('_Data inputs (reported)'!D9,nametranslations,2,FALSE),IF(Introduction!$A$2="French",VLOOKUP('_Data inputs (reported)'!D9,nametranslations,3,FALSE),IF(Introduction!$A$2="Arabic",VLOOKUP('_Data inputs (reported)'!D9,nametranslations,4,FALSE),IF(Introduction!$A$2="Russian",VLOOKUP('_Data inputs (reported)'!D9,nametranslations,5,FALSE),IF(Introduction!$A$2="Chinese",VLOOKUP('_Data inputs (reported)'!D9,nametranslations,6,FALSE),IF(Introduction!$A$2="Other",VLOOKUP('_Data inputs (reported)'!D9,nametranslations,7,FALSE)))))))),"")</f>
        <v/>
      </c>
      <c r="E9" s="1" t="str">
        <f>IF(ISTEXT('_Data inputs (reported)'!E9),'_Data inputs (reported)'!E9,"")</f>
        <v/>
      </c>
      <c r="F9" s="8" t="str">
        <f>IF(ISNUMBER('_Data inputs (reported)'!F9),'_Data inputs (reported)'!F9,"")</f>
        <v/>
      </c>
      <c r="G9" s="105" t="str">
        <f>IF(ISTEXT(VLOOKUP('_Data inputs (reported)'!G9,nametranslations,1,FALSE)),IF(Introduction!$A$2="English",VLOOKUP('_Data inputs (reported)'!G9,nametranslations,1,FALSE),IF(Introduction!$A$2="Spanish",VLOOKUP('_Data inputs (reported)'!G9,nametranslations,2,FALSE),IF(Introduction!$A$2="French",VLOOKUP('_Data inputs (reported)'!G9,nametranslations,3,FALSE),IF(Introduction!$A$2="Arabic",VLOOKUP('_Data inputs (reported)'!G9,nametranslations,4,FALSE),IF(Introduction!$A$2="Russian",VLOOKUP('_Data inputs (reported)'!G9,nametranslations,5,FALSE),IF(Introduction!$A$2="Chinese",VLOOKUP('_Data inputs (reported)'!G9,nametranslations,6,FALSE),IF(Introduction!$A$2="Other",VLOOKUP('_Data inputs (reported)'!G9,nametranslations,7,FALSE)))))))),"")</f>
        <v/>
      </c>
      <c r="H9" s="1" t="str">
        <f>IF(ISTEXT('_Data inputs (reported)'!H9),'_Data inputs (reported)'!H9,"")</f>
        <v/>
      </c>
      <c r="I9" s="42" t="str">
        <f>IF(ISNUMBER('_Data inputs (reported)'!I9),'_Data inputs (reported)'!I9,"")</f>
        <v/>
      </c>
      <c r="J9" s="1" t="str">
        <f>IF(ISTEXT('_Data inputs (reported)'!J9),'_Data inputs (reported)'!J9,"")</f>
        <v/>
      </c>
      <c r="K9" s="105" t="str">
        <f>IF(ISTEXT('_Data inputs (reported)'!K9),'_Data inputs (reported)'!K9,"")</f>
        <v/>
      </c>
      <c r="L9" s="105" t="str">
        <f>IF(ISTEXT('_Data inputs (reported)'!L9),'_Data inputs (reported)'!L9,"")</f>
        <v/>
      </c>
      <c r="M9" s="1" t="str">
        <f>IF(ISTEXT('_Data inputs (reported)'!M9),'_Data inputs (reported)'!M9,"")</f>
        <v/>
      </c>
      <c r="N9" s="105" t="str">
        <f>IF(ISTEXT('_Data inputs (reported)'!N9),'_Data inputs (reported)'!N9,"")</f>
        <v/>
      </c>
    </row>
    <row xmlns:x14ac="http://schemas.microsoft.com/office/spreadsheetml/2009/9/ac" r="10" x14ac:dyDescent="0.2">
      <c r="A10" s="105" t="str">
        <f>IF(ISTEXT(VLOOKUP('_Data inputs (reported)'!B10,countryname,2,FALSE)),IF(Introduction!$A$2="English",VLOOKUP('_Data inputs (reported)'!B10,countryname,2,FALSE),IF(Introduction!$A$2="French",VLOOKUP('_Data inputs (reported)'!B10,countryname,3,FALSE),IF(Introduction!$A$2="Spanish",VLOOKUP('_Data inputs (reported)'!B10,countryname,4,FALSE),IF(Introduction!$A$2="Russian",VLOOKUP('_Data inputs (reported)'!B10,countryname,5,FALSE),IF(Introduction!$A$2="Arabic",VLOOKUP('_Data inputs (reported)'!B10,countryname,6,FALSE),IF(Introduction!$A$2="Chinese",VLOOKUP('_Data inputs (reported)'!B10,countryname,7,FALSE),IF(Introduction!$A$2="Other",VLOOKUP('_Data inputs (reported)'!B10,countryname,8,FALSE)))))))),"")</f>
        <v/>
      </c>
      <c r="B10" s="1" t="str">
        <f>IF(ISTEXT('_Data inputs (reported)'!B10),'_Data inputs (reported)'!B10,"")</f>
        <v/>
      </c>
      <c r="C10" s="179" t="str">
        <f>IF(ISBLANK('_Data inputs (reported)'!C10),"",'_Data inputs (reported)'!C10)</f>
        <v/>
      </c>
      <c r="D10" s="105" t="str">
        <f>IF(ISTEXT(VLOOKUP('_Data inputs (reported)'!D10,nametranslations,1,FALSE)),IF(Introduction!$A$2="English",VLOOKUP('_Data inputs (reported)'!D10,nametranslations,1,FALSE),IF(Introduction!$A$2="Spanish",VLOOKUP('_Data inputs (reported)'!D10,nametranslations,2,FALSE),IF(Introduction!$A$2="French",VLOOKUP('_Data inputs (reported)'!D10,nametranslations,3,FALSE),IF(Introduction!$A$2="Arabic",VLOOKUP('_Data inputs (reported)'!D10,nametranslations,4,FALSE),IF(Introduction!$A$2="Russian",VLOOKUP('_Data inputs (reported)'!D10,nametranslations,5,FALSE),IF(Introduction!$A$2="Chinese",VLOOKUP('_Data inputs (reported)'!D10,nametranslations,6,FALSE),IF(Introduction!$A$2="Other",VLOOKUP('_Data inputs (reported)'!D10,nametranslations,7,FALSE)))))))),"")</f>
        <v/>
      </c>
      <c r="E10" s="1" t="str">
        <f>IF(ISTEXT('_Data inputs (reported)'!E10),'_Data inputs (reported)'!E10,"")</f>
        <v/>
      </c>
      <c r="F10" s="8" t="str">
        <f>IF(ISNUMBER('_Data inputs (reported)'!F10),'_Data inputs (reported)'!F10,"")</f>
        <v/>
      </c>
      <c r="G10" s="105" t="str">
        <f>IF(ISTEXT(VLOOKUP('_Data inputs (reported)'!G10,nametranslations,1,FALSE)),IF(Introduction!$A$2="English",VLOOKUP('_Data inputs (reported)'!G10,nametranslations,1,FALSE),IF(Introduction!$A$2="Spanish",VLOOKUP('_Data inputs (reported)'!G10,nametranslations,2,FALSE),IF(Introduction!$A$2="French",VLOOKUP('_Data inputs (reported)'!G10,nametranslations,3,FALSE),IF(Introduction!$A$2="Arabic",VLOOKUP('_Data inputs (reported)'!G10,nametranslations,4,FALSE),IF(Introduction!$A$2="Russian",VLOOKUP('_Data inputs (reported)'!G10,nametranslations,5,FALSE),IF(Introduction!$A$2="Chinese",VLOOKUP('_Data inputs (reported)'!G10,nametranslations,6,FALSE),IF(Introduction!$A$2="Other",VLOOKUP('_Data inputs (reported)'!G10,nametranslations,7,FALSE)))))))),"")</f>
        <v/>
      </c>
      <c r="H10" s="1" t="str">
        <f>IF(ISTEXT('_Data inputs (reported)'!H10),'_Data inputs (reported)'!H10,"")</f>
        <v/>
      </c>
      <c r="I10" s="42" t="str">
        <f>IF(ISNUMBER('_Data inputs (reported)'!I10),'_Data inputs (reported)'!I10,"")</f>
        <v/>
      </c>
      <c r="J10" s="1" t="str">
        <f>IF(ISTEXT('_Data inputs (reported)'!J10),'_Data inputs (reported)'!J10,"")</f>
        <v/>
      </c>
      <c r="K10" s="105" t="str">
        <f>IF(ISTEXT('_Data inputs (reported)'!K10),'_Data inputs (reported)'!K10,"")</f>
        <v/>
      </c>
      <c r="L10" s="105" t="str">
        <f>IF(ISTEXT('_Data inputs (reported)'!L10),'_Data inputs (reported)'!L10,"")</f>
        <v/>
      </c>
      <c r="M10" s="1" t="str">
        <f>IF(ISTEXT('_Data inputs (reported)'!M10),'_Data inputs (reported)'!M10,"")</f>
        <v/>
      </c>
      <c r="N10" s="105" t="str">
        <f>IF(ISTEXT('_Data inputs (reported)'!N10),'_Data inputs (reported)'!N10,"")</f>
        <v/>
      </c>
    </row>
    <row xmlns:x14ac="http://schemas.microsoft.com/office/spreadsheetml/2009/9/ac" r="11" x14ac:dyDescent="0.2">
      <c r="A11" s="105" t="str">
        <f>IF(ISTEXT(VLOOKUP('_Data inputs (reported)'!B11,countryname,2,FALSE)),IF(Introduction!$A$2="English",VLOOKUP('_Data inputs (reported)'!B11,countryname,2,FALSE),IF(Introduction!$A$2="French",VLOOKUP('_Data inputs (reported)'!B11,countryname,3,FALSE),IF(Introduction!$A$2="Spanish",VLOOKUP('_Data inputs (reported)'!B11,countryname,4,FALSE),IF(Introduction!$A$2="Russian",VLOOKUP('_Data inputs (reported)'!B11,countryname,5,FALSE),IF(Introduction!$A$2="Arabic",VLOOKUP('_Data inputs (reported)'!B11,countryname,6,FALSE),IF(Introduction!$A$2="Chinese",VLOOKUP('_Data inputs (reported)'!B11,countryname,7,FALSE),IF(Introduction!$A$2="Other",VLOOKUP('_Data inputs (reported)'!B11,countryname,8,FALSE)))))))),"")</f>
        <v/>
      </c>
      <c r="B11" s="1" t="str">
        <f>IF(ISTEXT('_Data inputs (reported)'!B11),'_Data inputs (reported)'!B11,"")</f>
        <v/>
      </c>
      <c r="C11" s="179" t="str">
        <f>IF(ISBLANK('_Data inputs (reported)'!C11),"",'_Data inputs (reported)'!C11)</f>
        <v/>
      </c>
      <c r="D11" s="105" t="str">
        <f>IF(ISTEXT(VLOOKUP('_Data inputs (reported)'!D11,nametranslations,1,FALSE)),IF(Introduction!$A$2="English",VLOOKUP('_Data inputs (reported)'!D11,nametranslations,1,FALSE),IF(Introduction!$A$2="Spanish",VLOOKUP('_Data inputs (reported)'!D11,nametranslations,2,FALSE),IF(Introduction!$A$2="French",VLOOKUP('_Data inputs (reported)'!D11,nametranslations,3,FALSE),IF(Introduction!$A$2="Arabic",VLOOKUP('_Data inputs (reported)'!D11,nametranslations,4,FALSE),IF(Introduction!$A$2="Russian",VLOOKUP('_Data inputs (reported)'!D11,nametranslations,5,FALSE),IF(Introduction!$A$2="Chinese",VLOOKUP('_Data inputs (reported)'!D11,nametranslations,6,FALSE),IF(Introduction!$A$2="Other",VLOOKUP('_Data inputs (reported)'!D11,nametranslations,7,FALSE)))))))),"")</f>
        <v/>
      </c>
      <c r="E11" s="1" t="str">
        <f>IF(ISTEXT('_Data inputs (reported)'!E11),'_Data inputs (reported)'!E11,"")</f>
        <v/>
      </c>
      <c r="F11" s="8" t="str">
        <f>IF(ISNUMBER('_Data inputs (reported)'!F11),'_Data inputs (reported)'!F11,"")</f>
        <v/>
      </c>
      <c r="G11" s="105" t="str">
        <f>IF(ISTEXT(VLOOKUP('_Data inputs (reported)'!G11,nametranslations,1,FALSE)),IF(Introduction!$A$2="English",VLOOKUP('_Data inputs (reported)'!G11,nametranslations,1,FALSE),IF(Introduction!$A$2="Spanish",VLOOKUP('_Data inputs (reported)'!G11,nametranslations,2,FALSE),IF(Introduction!$A$2="French",VLOOKUP('_Data inputs (reported)'!G11,nametranslations,3,FALSE),IF(Introduction!$A$2="Arabic",VLOOKUP('_Data inputs (reported)'!G11,nametranslations,4,FALSE),IF(Introduction!$A$2="Russian",VLOOKUP('_Data inputs (reported)'!G11,nametranslations,5,FALSE),IF(Introduction!$A$2="Chinese",VLOOKUP('_Data inputs (reported)'!G11,nametranslations,6,FALSE),IF(Introduction!$A$2="Other",VLOOKUP('_Data inputs (reported)'!G11,nametranslations,7,FALSE)))))))),"")</f>
        <v/>
      </c>
      <c r="H11" s="1" t="str">
        <f>IF(ISTEXT('_Data inputs (reported)'!H11),'_Data inputs (reported)'!H11,"")</f>
        <v/>
      </c>
      <c r="I11" s="42" t="str">
        <f>IF(ISNUMBER('_Data inputs (reported)'!I11),'_Data inputs (reported)'!I11,"")</f>
        <v/>
      </c>
      <c r="J11" s="1" t="str">
        <f>IF(ISTEXT('_Data inputs (reported)'!J11),'_Data inputs (reported)'!J11,"")</f>
        <v/>
      </c>
      <c r="K11" s="105" t="str">
        <f>IF(ISTEXT('_Data inputs (reported)'!K11),'_Data inputs (reported)'!K11,"")</f>
        <v/>
      </c>
      <c r="L11" s="105" t="str">
        <f>IF(ISTEXT('_Data inputs (reported)'!L11),'_Data inputs (reported)'!L11,"")</f>
        <v/>
      </c>
      <c r="M11" s="1" t="str">
        <f>IF(ISTEXT('_Data inputs (reported)'!M11),'_Data inputs (reported)'!M11,"")</f>
        <v/>
      </c>
      <c r="N11" s="105" t="str">
        <f>IF(ISTEXT('_Data inputs (reported)'!N11),'_Data inputs (reported)'!N11,"")</f>
        <v/>
      </c>
    </row>
    <row xmlns:x14ac="http://schemas.microsoft.com/office/spreadsheetml/2009/9/ac" r="12" x14ac:dyDescent="0.2">
      <c r="A12" s="105" t="str">
        <f>IF(ISTEXT(VLOOKUP('_Data inputs (reported)'!B12,countryname,2,FALSE)),IF(Introduction!$A$2="English",VLOOKUP('_Data inputs (reported)'!B12,countryname,2,FALSE),IF(Introduction!$A$2="French",VLOOKUP('_Data inputs (reported)'!B12,countryname,3,FALSE),IF(Introduction!$A$2="Spanish",VLOOKUP('_Data inputs (reported)'!B12,countryname,4,FALSE),IF(Introduction!$A$2="Russian",VLOOKUP('_Data inputs (reported)'!B12,countryname,5,FALSE),IF(Introduction!$A$2="Arabic",VLOOKUP('_Data inputs (reported)'!B12,countryname,6,FALSE),IF(Introduction!$A$2="Chinese",VLOOKUP('_Data inputs (reported)'!B12,countryname,7,FALSE),IF(Introduction!$A$2="Other",VLOOKUP('_Data inputs (reported)'!B12,countryname,8,FALSE)))))))),"")</f>
        <v/>
      </c>
      <c r="B12" s="1" t="str">
        <f>IF(ISTEXT('_Data inputs (reported)'!B12),'_Data inputs (reported)'!B12,"")</f>
        <v/>
      </c>
      <c r="C12" s="179" t="str">
        <f>IF(ISBLANK('_Data inputs (reported)'!C12),"",'_Data inputs (reported)'!C12)</f>
        <v/>
      </c>
      <c r="D12" s="105" t="str">
        <f>IF(ISTEXT(VLOOKUP('_Data inputs (reported)'!D12,nametranslations,1,FALSE)),IF(Introduction!$A$2="English",VLOOKUP('_Data inputs (reported)'!D12,nametranslations,1,FALSE),IF(Introduction!$A$2="Spanish",VLOOKUP('_Data inputs (reported)'!D12,nametranslations,2,FALSE),IF(Introduction!$A$2="French",VLOOKUP('_Data inputs (reported)'!D12,nametranslations,3,FALSE),IF(Introduction!$A$2="Arabic",VLOOKUP('_Data inputs (reported)'!D12,nametranslations,4,FALSE),IF(Introduction!$A$2="Russian",VLOOKUP('_Data inputs (reported)'!D12,nametranslations,5,FALSE),IF(Introduction!$A$2="Chinese",VLOOKUP('_Data inputs (reported)'!D12,nametranslations,6,FALSE),IF(Introduction!$A$2="Other",VLOOKUP('_Data inputs (reported)'!D12,nametranslations,7,FALSE)))))))),"")</f>
        <v/>
      </c>
      <c r="E12" s="1" t="str">
        <f>IF(ISTEXT('_Data inputs (reported)'!E12),'_Data inputs (reported)'!E12,"")</f>
        <v/>
      </c>
      <c r="F12" s="8" t="str">
        <f>IF(ISNUMBER('_Data inputs (reported)'!F12),'_Data inputs (reported)'!F12,"")</f>
        <v/>
      </c>
      <c r="G12" s="105" t="str">
        <f>IF(ISTEXT(VLOOKUP('_Data inputs (reported)'!G12,nametranslations,1,FALSE)),IF(Introduction!$A$2="English",VLOOKUP('_Data inputs (reported)'!G12,nametranslations,1,FALSE),IF(Introduction!$A$2="Spanish",VLOOKUP('_Data inputs (reported)'!G12,nametranslations,2,FALSE),IF(Introduction!$A$2="French",VLOOKUP('_Data inputs (reported)'!G12,nametranslations,3,FALSE),IF(Introduction!$A$2="Arabic",VLOOKUP('_Data inputs (reported)'!G12,nametranslations,4,FALSE),IF(Introduction!$A$2="Russian",VLOOKUP('_Data inputs (reported)'!G12,nametranslations,5,FALSE),IF(Introduction!$A$2="Chinese",VLOOKUP('_Data inputs (reported)'!G12,nametranslations,6,FALSE),IF(Introduction!$A$2="Other",VLOOKUP('_Data inputs (reported)'!G12,nametranslations,7,FALSE)))))))),"")</f>
        <v/>
      </c>
      <c r="H12" s="1" t="str">
        <f>IF(ISTEXT('_Data inputs (reported)'!H12),'_Data inputs (reported)'!H12,"")</f>
        <v/>
      </c>
      <c r="I12" s="42" t="str">
        <f>IF(ISNUMBER('_Data inputs (reported)'!I12),'_Data inputs (reported)'!I12,"")</f>
        <v/>
      </c>
      <c r="J12" s="1" t="str">
        <f>IF(ISTEXT('_Data inputs (reported)'!J12),'_Data inputs (reported)'!J12,"")</f>
        <v/>
      </c>
      <c r="K12" s="105" t="str">
        <f>IF(ISTEXT('_Data inputs (reported)'!K12),'_Data inputs (reported)'!K12,"")</f>
        <v/>
      </c>
      <c r="L12" s="105" t="str">
        <f>IF(ISTEXT('_Data inputs (reported)'!L12),'_Data inputs (reported)'!L12,"")</f>
        <v/>
      </c>
      <c r="M12" s="1" t="str">
        <f>IF(ISTEXT('_Data inputs (reported)'!M12),'_Data inputs (reported)'!M12,"")</f>
        <v/>
      </c>
      <c r="N12" s="105" t="str">
        <f>IF(ISTEXT('_Data inputs (reported)'!N12),'_Data inputs (reported)'!N12,"")</f>
        <v/>
      </c>
    </row>
    <row xmlns:x14ac="http://schemas.microsoft.com/office/spreadsheetml/2009/9/ac" r="13" x14ac:dyDescent="0.2">
      <c r="A13" s="105" t="str">
        <f>IF(ISTEXT(VLOOKUP('_Data inputs (reported)'!B13,countryname,2,FALSE)),IF(Introduction!$A$2="English",VLOOKUP('_Data inputs (reported)'!B13,countryname,2,FALSE),IF(Introduction!$A$2="French",VLOOKUP('_Data inputs (reported)'!B13,countryname,3,FALSE),IF(Introduction!$A$2="Spanish",VLOOKUP('_Data inputs (reported)'!B13,countryname,4,FALSE),IF(Introduction!$A$2="Russian",VLOOKUP('_Data inputs (reported)'!B13,countryname,5,FALSE),IF(Introduction!$A$2="Arabic",VLOOKUP('_Data inputs (reported)'!B13,countryname,6,FALSE),IF(Introduction!$A$2="Chinese",VLOOKUP('_Data inputs (reported)'!B13,countryname,7,FALSE),IF(Introduction!$A$2="Other",VLOOKUP('_Data inputs (reported)'!B13,countryname,8,FALSE)))))))),"")</f>
        <v/>
      </c>
      <c r="B13" s="1" t="str">
        <f>IF(ISTEXT('_Data inputs (reported)'!B13),'_Data inputs (reported)'!B13,"")</f>
        <v/>
      </c>
      <c r="C13" s="179" t="str">
        <f>IF(ISBLANK('_Data inputs (reported)'!C13),"",'_Data inputs (reported)'!C13)</f>
        <v/>
      </c>
      <c r="D13" s="105" t="str">
        <f>IF(ISTEXT(VLOOKUP('_Data inputs (reported)'!D13,nametranslations,1,FALSE)),IF(Introduction!$A$2="English",VLOOKUP('_Data inputs (reported)'!D13,nametranslations,1,FALSE),IF(Introduction!$A$2="Spanish",VLOOKUP('_Data inputs (reported)'!D13,nametranslations,2,FALSE),IF(Introduction!$A$2="French",VLOOKUP('_Data inputs (reported)'!D13,nametranslations,3,FALSE),IF(Introduction!$A$2="Arabic",VLOOKUP('_Data inputs (reported)'!D13,nametranslations,4,FALSE),IF(Introduction!$A$2="Russian",VLOOKUP('_Data inputs (reported)'!D13,nametranslations,5,FALSE),IF(Introduction!$A$2="Chinese",VLOOKUP('_Data inputs (reported)'!D13,nametranslations,6,FALSE),IF(Introduction!$A$2="Other",VLOOKUP('_Data inputs (reported)'!D13,nametranslations,7,FALSE)))))))),"")</f>
        <v/>
      </c>
      <c r="E13" s="1" t="str">
        <f>IF(ISTEXT('_Data inputs (reported)'!E13),'_Data inputs (reported)'!E13,"")</f>
        <v/>
      </c>
      <c r="F13" s="8" t="str">
        <f>IF(ISNUMBER('_Data inputs (reported)'!F13),'_Data inputs (reported)'!F13,"")</f>
        <v/>
      </c>
      <c r="G13" s="105" t="str">
        <f>IF(ISTEXT(VLOOKUP('_Data inputs (reported)'!G13,nametranslations,1,FALSE)),IF(Introduction!$A$2="English",VLOOKUP('_Data inputs (reported)'!G13,nametranslations,1,FALSE),IF(Introduction!$A$2="Spanish",VLOOKUP('_Data inputs (reported)'!G13,nametranslations,2,FALSE),IF(Introduction!$A$2="French",VLOOKUP('_Data inputs (reported)'!G13,nametranslations,3,FALSE),IF(Introduction!$A$2="Arabic",VLOOKUP('_Data inputs (reported)'!G13,nametranslations,4,FALSE),IF(Introduction!$A$2="Russian",VLOOKUP('_Data inputs (reported)'!G13,nametranslations,5,FALSE),IF(Introduction!$A$2="Chinese",VLOOKUP('_Data inputs (reported)'!G13,nametranslations,6,FALSE),IF(Introduction!$A$2="Other",VLOOKUP('_Data inputs (reported)'!G13,nametranslations,7,FALSE)))))))),"")</f>
        <v/>
      </c>
      <c r="H13" s="1" t="str">
        <f>IF(ISTEXT('_Data inputs (reported)'!H13),'_Data inputs (reported)'!H13,"")</f>
        <v/>
      </c>
      <c r="I13" s="42" t="str">
        <f>IF(ISNUMBER('_Data inputs (reported)'!I13),'_Data inputs (reported)'!I13,"")</f>
        <v/>
      </c>
      <c r="J13" s="1" t="str">
        <f>IF(ISTEXT('_Data inputs (reported)'!J13),'_Data inputs (reported)'!J13,"")</f>
        <v/>
      </c>
      <c r="K13" s="105" t="str">
        <f>IF(ISTEXT('_Data inputs (reported)'!K13),'_Data inputs (reported)'!K13,"")</f>
        <v/>
      </c>
      <c r="L13" s="105" t="str">
        <f>IF(ISTEXT('_Data inputs (reported)'!L13),'_Data inputs (reported)'!L13,"")</f>
        <v/>
      </c>
      <c r="M13" s="1" t="str">
        <f>IF(ISTEXT('_Data inputs (reported)'!M13),'_Data inputs (reported)'!M13,"")</f>
        <v/>
      </c>
      <c r="N13" s="105" t="str">
        <f>IF(ISTEXT('_Data inputs (reported)'!N13),'_Data inputs (reported)'!N13,"")</f>
        <v/>
      </c>
    </row>
    <row xmlns:x14ac="http://schemas.microsoft.com/office/spreadsheetml/2009/9/ac" r="14" x14ac:dyDescent="0.2">
      <c r="A14" s="105" t="str">
        <f>IF(ISTEXT(VLOOKUP('_Data inputs (reported)'!B14,countryname,2,FALSE)),IF(Introduction!$A$2="English",VLOOKUP('_Data inputs (reported)'!B14,countryname,2,FALSE),IF(Introduction!$A$2="French",VLOOKUP('_Data inputs (reported)'!B14,countryname,3,FALSE),IF(Introduction!$A$2="Spanish",VLOOKUP('_Data inputs (reported)'!B14,countryname,4,FALSE),IF(Introduction!$A$2="Russian",VLOOKUP('_Data inputs (reported)'!B14,countryname,5,FALSE),IF(Introduction!$A$2="Arabic",VLOOKUP('_Data inputs (reported)'!B14,countryname,6,FALSE),IF(Introduction!$A$2="Chinese",VLOOKUP('_Data inputs (reported)'!B14,countryname,7,FALSE),IF(Introduction!$A$2="Other",VLOOKUP('_Data inputs (reported)'!B14,countryname,8,FALSE)))))))),"")</f>
        <v/>
      </c>
      <c r="B14" s="1" t="str">
        <f>IF(ISTEXT('_Data inputs (reported)'!B14),'_Data inputs (reported)'!B14,"")</f>
        <v/>
      </c>
      <c r="C14" s="179" t="str">
        <f>IF(ISBLANK('_Data inputs (reported)'!C14),"",'_Data inputs (reported)'!C14)</f>
        <v/>
      </c>
      <c r="D14" s="105" t="str">
        <f>IF(ISTEXT(VLOOKUP('_Data inputs (reported)'!D14,nametranslations,1,FALSE)),IF(Introduction!$A$2="English",VLOOKUP('_Data inputs (reported)'!D14,nametranslations,1,FALSE),IF(Introduction!$A$2="Spanish",VLOOKUP('_Data inputs (reported)'!D14,nametranslations,2,FALSE),IF(Introduction!$A$2="French",VLOOKUP('_Data inputs (reported)'!D14,nametranslations,3,FALSE),IF(Introduction!$A$2="Arabic",VLOOKUP('_Data inputs (reported)'!D14,nametranslations,4,FALSE),IF(Introduction!$A$2="Russian",VLOOKUP('_Data inputs (reported)'!D14,nametranslations,5,FALSE),IF(Introduction!$A$2="Chinese",VLOOKUP('_Data inputs (reported)'!D14,nametranslations,6,FALSE),IF(Introduction!$A$2="Other",VLOOKUP('_Data inputs (reported)'!D14,nametranslations,7,FALSE)))))))),"")</f>
        <v/>
      </c>
      <c r="E14" s="1" t="str">
        <f>IF(ISTEXT('_Data inputs (reported)'!E14),'_Data inputs (reported)'!E14,"")</f>
        <v/>
      </c>
      <c r="F14" s="8" t="str">
        <f>IF(ISNUMBER('_Data inputs (reported)'!F14),'_Data inputs (reported)'!F14,"")</f>
        <v/>
      </c>
      <c r="G14" s="105" t="str">
        <f>IF(ISTEXT(VLOOKUP('_Data inputs (reported)'!G14,nametranslations,1,FALSE)),IF(Introduction!$A$2="English",VLOOKUP('_Data inputs (reported)'!G14,nametranslations,1,FALSE),IF(Introduction!$A$2="Spanish",VLOOKUP('_Data inputs (reported)'!G14,nametranslations,2,FALSE),IF(Introduction!$A$2="French",VLOOKUP('_Data inputs (reported)'!G14,nametranslations,3,FALSE),IF(Introduction!$A$2="Arabic",VLOOKUP('_Data inputs (reported)'!G14,nametranslations,4,FALSE),IF(Introduction!$A$2="Russian",VLOOKUP('_Data inputs (reported)'!G14,nametranslations,5,FALSE),IF(Introduction!$A$2="Chinese",VLOOKUP('_Data inputs (reported)'!G14,nametranslations,6,FALSE),IF(Introduction!$A$2="Other",VLOOKUP('_Data inputs (reported)'!G14,nametranslations,7,FALSE)))))))),"")</f>
        <v/>
      </c>
      <c r="H14" s="1" t="str">
        <f>IF(ISTEXT('_Data inputs (reported)'!H14),'_Data inputs (reported)'!H14,"")</f>
        <v/>
      </c>
      <c r="I14" s="42" t="str">
        <f>IF(ISNUMBER('_Data inputs (reported)'!I14),'_Data inputs (reported)'!I14,"")</f>
        <v/>
      </c>
      <c r="J14" s="1" t="str">
        <f>IF(ISTEXT('_Data inputs (reported)'!J14),'_Data inputs (reported)'!J14,"")</f>
        <v/>
      </c>
      <c r="K14" s="105" t="str">
        <f>IF(ISTEXT('_Data inputs (reported)'!K14),'_Data inputs (reported)'!K14,"")</f>
        <v/>
      </c>
      <c r="L14" s="105" t="str">
        <f>IF(ISTEXT('_Data inputs (reported)'!L14),'_Data inputs (reported)'!L14,"")</f>
        <v/>
      </c>
      <c r="M14" s="1" t="str">
        <f>IF(ISTEXT('_Data inputs (reported)'!M14),'_Data inputs (reported)'!M14,"")</f>
        <v/>
      </c>
      <c r="N14" s="105" t="str">
        <f>IF(ISTEXT('_Data inputs (reported)'!N14),'_Data inputs (reported)'!N14,"")</f>
        <v/>
      </c>
    </row>
    <row xmlns:x14ac="http://schemas.microsoft.com/office/spreadsheetml/2009/9/ac" r="15" x14ac:dyDescent="0.2">
      <c r="A15" s="105" t="str">
        <f>IF(ISTEXT(VLOOKUP('_Data inputs (reported)'!B15,countryname,2,FALSE)),IF(Introduction!$A$2="English",VLOOKUP('_Data inputs (reported)'!B15,countryname,2,FALSE),IF(Introduction!$A$2="French",VLOOKUP('_Data inputs (reported)'!B15,countryname,3,FALSE),IF(Introduction!$A$2="Spanish",VLOOKUP('_Data inputs (reported)'!B15,countryname,4,FALSE),IF(Introduction!$A$2="Russian",VLOOKUP('_Data inputs (reported)'!B15,countryname,5,FALSE),IF(Introduction!$A$2="Arabic",VLOOKUP('_Data inputs (reported)'!B15,countryname,6,FALSE),IF(Introduction!$A$2="Chinese",VLOOKUP('_Data inputs (reported)'!B15,countryname,7,FALSE),IF(Introduction!$A$2="Other",VLOOKUP('_Data inputs (reported)'!B15,countryname,8,FALSE)))))))),"")</f>
        <v/>
      </c>
      <c r="B15" s="1" t="str">
        <f>IF(ISTEXT('_Data inputs (reported)'!B15),'_Data inputs (reported)'!B15,"")</f>
        <v/>
      </c>
      <c r="C15" s="179" t="str">
        <f>IF(ISBLANK('_Data inputs (reported)'!C15),"",'_Data inputs (reported)'!C15)</f>
        <v/>
      </c>
      <c r="D15" s="105" t="str">
        <f>IF(ISTEXT(VLOOKUP('_Data inputs (reported)'!D15,nametranslations,1,FALSE)),IF(Introduction!$A$2="English",VLOOKUP('_Data inputs (reported)'!D15,nametranslations,1,FALSE),IF(Introduction!$A$2="Spanish",VLOOKUP('_Data inputs (reported)'!D15,nametranslations,2,FALSE),IF(Introduction!$A$2="French",VLOOKUP('_Data inputs (reported)'!D15,nametranslations,3,FALSE),IF(Introduction!$A$2="Arabic",VLOOKUP('_Data inputs (reported)'!D15,nametranslations,4,FALSE),IF(Introduction!$A$2="Russian",VLOOKUP('_Data inputs (reported)'!D15,nametranslations,5,FALSE),IF(Introduction!$A$2="Chinese",VLOOKUP('_Data inputs (reported)'!D15,nametranslations,6,FALSE),IF(Introduction!$A$2="Other",VLOOKUP('_Data inputs (reported)'!D15,nametranslations,7,FALSE)))))))),"")</f>
        <v/>
      </c>
      <c r="E15" s="1" t="str">
        <f>IF(ISTEXT('_Data inputs (reported)'!E15),'_Data inputs (reported)'!E15,"")</f>
        <v/>
      </c>
      <c r="F15" s="8" t="str">
        <f>IF(ISNUMBER('_Data inputs (reported)'!F15),'_Data inputs (reported)'!F15,"")</f>
        <v/>
      </c>
      <c r="G15" s="105" t="str">
        <f>IF(ISTEXT(VLOOKUP('_Data inputs (reported)'!G15,nametranslations,1,FALSE)),IF(Introduction!$A$2="English",VLOOKUP('_Data inputs (reported)'!G15,nametranslations,1,FALSE),IF(Introduction!$A$2="Spanish",VLOOKUP('_Data inputs (reported)'!G15,nametranslations,2,FALSE),IF(Introduction!$A$2="French",VLOOKUP('_Data inputs (reported)'!G15,nametranslations,3,FALSE),IF(Introduction!$A$2="Arabic",VLOOKUP('_Data inputs (reported)'!G15,nametranslations,4,FALSE),IF(Introduction!$A$2="Russian",VLOOKUP('_Data inputs (reported)'!G15,nametranslations,5,FALSE),IF(Introduction!$A$2="Chinese",VLOOKUP('_Data inputs (reported)'!G15,nametranslations,6,FALSE),IF(Introduction!$A$2="Other",VLOOKUP('_Data inputs (reported)'!G15,nametranslations,7,FALSE)))))))),"")</f>
        <v/>
      </c>
      <c r="H15" s="1" t="str">
        <f>IF(ISTEXT('_Data inputs (reported)'!H15),'_Data inputs (reported)'!H15,"")</f>
        <v/>
      </c>
      <c r="I15" s="42" t="str">
        <f>IF(ISNUMBER('_Data inputs (reported)'!I15),'_Data inputs (reported)'!I15,"")</f>
        <v/>
      </c>
      <c r="J15" s="1" t="str">
        <f>IF(ISTEXT('_Data inputs (reported)'!J15),'_Data inputs (reported)'!J15,"")</f>
        <v/>
      </c>
      <c r="K15" s="105" t="str">
        <f>IF(ISTEXT('_Data inputs (reported)'!K15),'_Data inputs (reported)'!K15,"")</f>
        <v/>
      </c>
      <c r="L15" s="105" t="str">
        <f>IF(ISTEXT('_Data inputs (reported)'!L15),'_Data inputs (reported)'!L15,"")</f>
        <v/>
      </c>
      <c r="M15" s="1" t="str">
        <f>IF(ISTEXT('_Data inputs (reported)'!M15),'_Data inputs (reported)'!M15,"")</f>
        <v/>
      </c>
      <c r="N15" s="105" t="str">
        <f>IF(ISTEXT('_Data inputs (reported)'!N15),'_Data inputs (reported)'!N15,"")</f>
        <v/>
      </c>
    </row>
    <row xmlns:x14ac="http://schemas.microsoft.com/office/spreadsheetml/2009/9/ac" r="16" x14ac:dyDescent="0.2">
      <c r="A16" s="105" t="str">
        <f>IF(ISTEXT(VLOOKUP('_Data inputs (reported)'!B16,countryname,2,FALSE)),IF(Introduction!$A$2="English",VLOOKUP('_Data inputs (reported)'!B16,countryname,2,FALSE),IF(Introduction!$A$2="French",VLOOKUP('_Data inputs (reported)'!B16,countryname,3,FALSE),IF(Introduction!$A$2="Spanish",VLOOKUP('_Data inputs (reported)'!B16,countryname,4,FALSE),IF(Introduction!$A$2="Russian",VLOOKUP('_Data inputs (reported)'!B16,countryname,5,FALSE),IF(Introduction!$A$2="Arabic",VLOOKUP('_Data inputs (reported)'!B16,countryname,6,FALSE),IF(Introduction!$A$2="Chinese",VLOOKUP('_Data inputs (reported)'!B16,countryname,7,FALSE),IF(Introduction!$A$2="Other",VLOOKUP('_Data inputs (reported)'!B16,countryname,8,FALSE)))))))),"")</f>
        <v/>
      </c>
      <c r="B16" s="1" t="str">
        <f>IF(ISTEXT('_Data inputs (reported)'!B16),'_Data inputs (reported)'!B16,"")</f>
        <v/>
      </c>
      <c r="C16" s="179" t="str">
        <f>IF(ISBLANK('_Data inputs (reported)'!C16),"",'_Data inputs (reported)'!C16)</f>
        <v/>
      </c>
      <c r="D16" s="105" t="str">
        <f>IF(ISTEXT(VLOOKUP('_Data inputs (reported)'!D16,nametranslations,1,FALSE)),IF(Introduction!$A$2="English",VLOOKUP('_Data inputs (reported)'!D16,nametranslations,1,FALSE),IF(Introduction!$A$2="Spanish",VLOOKUP('_Data inputs (reported)'!D16,nametranslations,2,FALSE),IF(Introduction!$A$2="French",VLOOKUP('_Data inputs (reported)'!D16,nametranslations,3,FALSE),IF(Introduction!$A$2="Arabic",VLOOKUP('_Data inputs (reported)'!D16,nametranslations,4,FALSE),IF(Introduction!$A$2="Russian",VLOOKUP('_Data inputs (reported)'!D16,nametranslations,5,FALSE),IF(Introduction!$A$2="Chinese",VLOOKUP('_Data inputs (reported)'!D16,nametranslations,6,FALSE),IF(Introduction!$A$2="Other",VLOOKUP('_Data inputs (reported)'!D16,nametranslations,7,FALSE)))))))),"")</f>
        <v/>
      </c>
      <c r="E16" s="1" t="str">
        <f>IF(ISTEXT('_Data inputs (reported)'!E16),'_Data inputs (reported)'!E16,"")</f>
        <v/>
      </c>
      <c r="F16" s="8" t="str">
        <f>IF(ISNUMBER('_Data inputs (reported)'!F16),'_Data inputs (reported)'!F16,"")</f>
        <v/>
      </c>
      <c r="G16" s="105" t="str">
        <f>IF(ISTEXT(VLOOKUP('_Data inputs (reported)'!G16,nametranslations,1,FALSE)),IF(Introduction!$A$2="English",VLOOKUP('_Data inputs (reported)'!G16,nametranslations,1,FALSE),IF(Introduction!$A$2="Spanish",VLOOKUP('_Data inputs (reported)'!G16,nametranslations,2,FALSE),IF(Introduction!$A$2="French",VLOOKUP('_Data inputs (reported)'!G16,nametranslations,3,FALSE),IF(Introduction!$A$2="Arabic",VLOOKUP('_Data inputs (reported)'!G16,nametranslations,4,FALSE),IF(Introduction!$A$2="Russian",VLOOKUP('_Data inputs (reported)'!G16,nametranslations,5,FALSE),IF(Introduction!$A$2="Chinese",VLOOKUP('_Data inputs (reported)'!G16,nametranslations,6,FALSE),IF(Introduction!$A$2="Other",VLOOKUP('_Data inputs (reported)'!G16,nametranslations,7,FALSE)))))))),"")</f>
        <v/>
      </c>
      <c r="H16" s="1" t="str">
        <f>IF(ISTEXT('_Data inputs (reported)'!H16),'_Data inputs (reported)'!H16,"")</f>
        <v/>
      </c>
      <c r="I16" s="42" t="str">
        <f>IF(ISNUMBER('_Data inputs (reported)'!I16),'_Data inputs (reported)'!I16,"")</f>
        <v/>
      </c>
      <c r="J16" s="1" t="str">
        <f>IF(ISTEXT('_Data inputs (reported)'!J16),'_Data inputs (reported)'!J16,"")</f>
        <v/>
      </c>
      <c r="K16" s="105" t="str">
        <f>IF(ISTEXT('_Data inputs (reported)'!K16),'_Data inputs (reported)'!K16,"")</f>
        <v/>
      </c>
      <c r="L16" s="105" t="str">
        <f>IF(ISTEXT('_Data inputs (reported)'!L16),'_Data inputs (reported)'!L16,"")</f>
        <v/>
      </c>
      <c r="M16" s="1" t="str">
        <f>IF(ISTEXT('_Data inputs (reported)'!M16),'_Data inputs (reported)'!M16,"")</f>
        <v/>
      </c>
      <c r="N16" s="105" t="str">
        <f>IF(ISTEXT('_Data inputs (reported)'!N16),'_Data inputs (reported)'!N16,"")</f>
        <v/>
      </c>
    </row>
    <row xmlns:x14ac="http://schemas.microsoft.com/office/spreadsheetml/2009/9/ac" r="17" x14ac:dyDescent="0.2">
      <c r="A17" s="105" t="str">
        <f>IF(ISTEXT(VLOOKUP('_Data inputs (reported)'!B17,countryname,2,FALSE)),IF(Introduction!$A$2="English",VLOOKUP('_Data inputs (reported)'!B17,countryname,2,FALSE),IF(Introduction!$A$2="French",VLOOKUP('_Data inputs (reported)'!B17,countryname,3,FALSE),IF(Introduction!$A$2="Spanish",VLOOKUP('_Data inputs (reported)'!B17,countryname,4,FALSE),IF(Introduction!$A$2="Russian",VLOOKUP('_Data inputs (reported)'!B17,countryname,5,FALSE),IF(Introduction!$A$2="Arabic",VLOOKUP('_Data inputs (reported)'!B17,countryname,6,FALSE),IF(Introduction!$A$2="Chinese",VLOOKUP('_Data inputs (reported)'!B17,countryname,7,FALSE),IF(Introduction!$A$2="Other",VLOOKUP('_Data inputs (reported)'!B17,countryname,8,FALSE)))))))),"")</f>
        <v/>
      </c>
      <c r="B17" s="1" t="str">
        <f>IF(ISTEXT('_Data inputs (reported)'!B17),'_Data inputs (reported)'!B17,"")</f>
        <v/>
      </c>
      <c r="C17" s="179" t="str">
        <f>IF(ISBLANK('_Data inputs (reported)'!C17),"",'_Data inputs (reported)'!C17)</f>
        <v/>
      </c>
      <c r="D17" s="105" t="str">
        <f>IF(ISTEXT(VLOOKUP('_Data inputs (reported)'!D17,nametranslations,1,FALSE)),IF(Introduction!$A$2="English",VLOOKUP('_Data inputs (reported)'!D17,nametranslations,1,FALSE),IF(Introduction!$A$2="Spanish",VLOOKUP('_Data inputs (reported)'!D17,nametranslations,2,FALSE),IF(Introduction!$A$2="French",VLOOKUP('_Data inputs (reported)'!D17,nametranslations,3,FALSE),IF(Introduction!$A$2="Arabic",VLOOKUP('_Data inputs (reported)'!D17,nametranslations,4,FALSE),IF(Introduction!$A$2="Russian",VLOOKUP('_Data inputs (reported)'!D17,nametranslations,5,FALSE),IF(Introduction!$A$2="Chinese",VLOOKUP('_Data inputs (reported)'!D17,nametranslations,6,FALSE),IF(Introduction!$A$2="Other",VLOOKUP('_Data inputs (reported)'!D17,nametranslations,7,FALSE)))))))),"")</f>
        <v/>
      </c>
      <c r="E17" s="1" t="str">
        <f>IF(ISTEXT('_Data inputs (reported)'!E17),'_Data inputs (reported)'!E17,"")</f>
        <v/>
      </c>
      <c r="F17" s="8" t="str">
        <f>IF(ISNUMBER('_Data inputs (reported)'!F17),'_Data inputs (reported)'!F17,"")</f>
        <v/>
      </c>
      <c r="G17" s="105" t="str">
        <f>IF(ISTEXT(VLOOKUP('_Data inputs (reported)'!G17,nametranslations,1,FALSE)),IF(Introduction!$A$2="English",VLOOKUP('_Data inputs (reported)'!G17,nametranslations,1,FALSE),IF(Introduction!$A$2="Spanish",VLOOKUP('_Data inputs (reported)'!G17,nametranslations,2,FALSE),IF(Introduction!$A$2="French",VLOOKUP('_Data inputs (reported)'!G17,nametranslations,3,FALSE),IF(Introduction!$A$2="Arabic",VLOOKUP('_Data inputs (reported)'!G17,nametranslations,4,FALSE),IF(Introduction!$A$2="Russian",VLOOKUP('_Data inputs (reported)'!G17,nametranslations,5,FALSE),IF(Introduction!$A$2="Chinese",VLOOKUP('_Data inputs (reported)'!G17,nametranslations,6,FALSE),IF(Introduction!$A$2="Other",VLOOKUP('_Data inputs (reported)'!G17,nametranslations,7,FALSE)))))))),"")</f>
        <v/>
      </c>
      <c r="H17" s="1" t="str">
        <f>IF(ISTEXT('_Data inputs (reported)'!H17),'_Data inputs (reported)'!H17,"")</f>
        <v/>
      </c>
      <c r="I17" s="42" t="str">
        <f>IF(ISNUMBER('_Data inputs (reported)'!I17),'_Data inputs (reported)'!I17,"")</f>
        <v/>
      </c>
      <c r="J17" s="1" t="str">
        <f>IF(ISTEXT('_Data inputs (reported)'!J17),'_Data inputs (reported)'!J17,"")</f>
        <v/>
      </c>
      <c r="K17" s="105" t="str">
        <f>IF(ISTEXT('_Data inputs (reported)'!K17),'_Data inputs (reported)'!K17,"")</f>
        <v/>
      </c>
      <c r="L17" s="105" t="str">
        <f>IF(ISTEXT('_Data inputs (reported)'!L17),'_Data inputs (reported)'!L17,"")</f>
        <v/>
      </c>
      <c r="M17" s="1" t="str">
        <f>IF(ISTEXT('_Data inputs (reported)'!M17),'_Data inputs (reported)'!M17,"")</f>
        <v/>
      </c>
      <c r="N17" s="105" t="str">
        <f>IF(ISTEXT('_Data inputs (reported)'!N17),'_Data inputs (reported)'!N17,"")</f>
        <v/>
      </c>
    </row>
    <row xmlns:x14ac="http://schemas.microsoft.com/office/spreadsheetml/2009/9/ac" r="18" x14ac:dyDescent="0.2">
      <c r="A18" s="105" t="str">
        <f>IF(ISTEXT(VLOOKUP('_Data inputs (reported)'!B18,countryname,2,FALSE)),IF(Introduction!$A$2="English",VLOOKUP('_Data inputs (reported)'!B18,countryname,2,FALSE),IF(Introduction!$A$2="French",VLOOKUP('_Data inputs (reported)'!B18,countryname,3,FALSE),IF(Introduction!$A$2="Spanish",VLOOKUP('_Data inputs (reported)'!B18,countryname,4,FALSE),IF(Introduction!$A$2="Russian",VLOOKUP('_Data inputs (reported)'!B18,countryname,5,FALSE),IF(Introduction!$A$2="Arabic",VLOOKUP('_Data inputs (reported)'!B18,countryname,6,FALSE),IF(Introduction!$A$2="Chinese",VLOOKUP('_Data inputs (reported)'!B18,countryname,7,FALSE),IF(Introduction!$A$2="Other",VLOOKUP('_Data inputs (reported)'!B18,countryname,8,FALSE)))))))),"")</f>
        <v/>
      </c>
      <c r="B18" s="1" t="str">
        <f>IF(ISTEXT('_Data inputs (reported)'!B18),'_Data inputs (reported)'!B18,"")</f>
        <v/>
      </c>
      <c r="C18" s="179" t="str">
        <f>IF(ISBLANK('_Data inputs (reported)'!C18),"",'_Data inputs (reported)'!C18)</f>
        <v/>
      </c>
      <c r="D18" s="105" t="str">
        <f>IF(ISTEXT(VLOOKUP('_Data inputs (reported)'!D18,nametranslations,1,FALSE)),IF(Introduction!$A$2="English",VLOOKUP('_Data inputs (reported)'!D18,nametranslations,1,FALSE),IF(Introduction!$A$2="Spanish",VLOOKUP('_Data inputs (reported)'!D18,nametranslations,2,FALSE),IF(Introduction!$A$2="French",VLOOKUP('_Data inputs (reported)'!D18,nametranslations,3,FALSE),IF(Introduction!$A$2="Arabic",VLOOKUP('_Data inputs (reported)'!D18,nametranslations,4,FALSE),IF(Introduction!$A$2="Russian",VLOOKUP('_Data inputs (reported)'!D18,nametranslations,5,FALSE),IF(Introduction!$A$2="Chinese",VLOOKUP('_Data inputs (reported)'!D18,nametranslations,6,FALSE),IF(Introduction!$A$2="Other",VLOOKUP('_Data inputs (reported)'!D18,nametranslations,7,FALSE)))))))),"")</f>
        <v/>
      </c>
      <c r="E18" s="1" t="str">
        <f>IF(ISTEXT('_Data inputs (reported)'!E18),'_Data inputs (reported)'!E18,"")</f>
        <v/>
      </c>
      <c r="F18" s="8" t="str">
        <f>IF(ISNUMBER('_Data inputs (reported)'!F18),'_Data inputs (reported)'!F18,"")</f>
        <v/>
      </c>
      <c r="G18" s="105" t="str">
        <f>IF(ISTEXT(VLOOKUP('_Data inputs (reported)'!G18,nametranslations,1,FALSE)),IF(Introduction!$A$2="English",VLOOKUP('_Data inputs (reported)'!G18,nametranslations,1,FALSE),IF(Introduction!$A$2="Spanish",VLOOKUP('_Data inputs (reported)'!G18,nametranslations,2,FALSE),IF(Introduction!$A$2="French",VLOOKUP('_Data inputs (reported)'!G18,nametranslations,3,FALSE),IF(Introduction!$A$2="Arabic",VLOOKUP('_Data inputs (reported)'!G18,nametranslations,4,FALSE),IF(Introduction!$A$2="Russian",VLOOKUP('_Data inputs (reported)'!G18,nametranslations,5,FALSE),IF(Introduction!$A$2="Chinese",VLOOKUP('_Data inputs (reported)'!G18,nametranslations,6,FALSE),IF(Introduction!$A$2="Other",VLOOKUP('_Data inputs (reported)'!G18,nametranslations,7,FALSE)))))))),"")</f>
        <v/>
      </c>
      <c r="H18" s="1" t="str">
        <f>IF(ISTEXT('_Data inputs (reported)'!H18),'_Data inputs (reported)'!H18,"")</f>
        <v/>
      </c>
      <c r="I18" s="42" t="str">
        <f>IF(ISNUMBER('_Data inputs (reported)'!I18),'_Data inputs (reported)'!I18,"")</f>
        <v/>
      </c>
      <c r="J18" s="1" t="str">
        <f>IF(ISTEXT('_Data inputs (reported)'!J18),'_Data inputs (reported)'!J18,"")</f>
        <v/>
      </c>
      <c r="K18" s="105" t="str">
        <f>IF(ISTEXT('_Data inputs (reported)'!K18),'_Data inputs (reported)'!K18,"")</f>
        <v/>
      </c>
      <c r="L18" s="105" t="str">
        <f>IF(ISTEXT('_Data inputs (reported)'!L18),'_Data inputs (reported)'!L18,"")</f>
        <v/>
      </c>
      <c r="M18" s="1" t="str">
        <f>IF(ISTEXT('_Data inputs (reported)'!M18),'_Data inputs (reported)'!M18,"")</f>
        <v/>
      </c>
      <c r="N18" s="105" t="str">
        <f>IF(ISTEXT('_Data inputs (reported)'!N18),'_Data inputs (reported)'!N18,"")</f>
        <v/>
      </c>
    </row>
    <row xmlns:x14ac="http://schemas.microsoft.com/office/spreadsheetml/2009/9/ac" r="19" x14ac:dyDescent="0.2">
      <c r="A19" s="105" t="str">
        <f>IF(ISTEXT(VLOOKUP('_Data inputs (reported)'!B19,countryname,2,FALSE)),IF(Introduction!$A$2="English",VLOOKUP('_Data inputs (reported)'!B19,countryname,2,FALSE),IF(Introduction!$A$2="French",VLOOKUP('_Data inputs (reported)'!B19,countryname,3,FALSE),IF(Introduction!$A$2="Spanish",VLOOKUP('_Data inputs (reported)'!B19,countryname,4,FALSE),IF(Introduction!$A$2="Russian",VLOOKUP('_Data inputs (reported)'!B19,countryname,5,FALSE),IF(Introduction!$A$2="Arabic",VLOOKUP('_Data inputs (reported)'!B19,countryname,6,FALSE),IF(Introduction!$A$2="Chinese",VLOOKUP('_Data inputs (reported)'!B19,countryname,7,FALSE),IF(Introduction!$A$2="Other",VLOOKUP('_Data inputs (reported)'!B19,countryname,8,FALSE)))))))),"")</f>
        <v/>
      </c>
      <c r="B19" s="1" t="str">
        <f>IF(ISTEXT('_Data inputs (reported)'!B19),'_Data inputs (reported)'!B19,"")</f>
        <v/>
      </c>
      <c r="C19" s="179" t="str">
        <f>IF(ISBLANK('_Data inputs (reported)'!C19),"",'_Data inputs (reported)'!C19)</f>
        <v/>
      </c>
      <c r="D19" s="105" t="str">
        <f>IF(ISTEXT(VLOOKUP('_Data inputs (reported)'!D19,nametranslations,1,FALSE)),IF(Introduction!$A$2="English",VLOOKUP('_Data inputs (reported)'!D19,nametranslations,1,FALSE),IF(Introduction!$A$2="Spanish",VLOOKUP('_Data inputs (reported)'!D19,nametranslations,2,FALSE),IF(Introduction!$A$2="French",VLOOKUP('_Data inputs (reported)'!D19,nametranslations,3,FALSE),IF(Introduction!$A$2="Arabic",VLOOKUP('_Data inputs (reported)'!D19,nametranslations,4,FALSE),IF(Introduction!$A$2="Russian",VLOOKUP('_Data inputs (reported)'!D19,nametranslations,5,FALSE),IF(Introduction!$A$2="Chinese",VLOOKUP('_Data inputs (reported)'!D19,nametranslations,6,FALSE),IF(Introduction!$A$2="Other",VLOOKUP('_Data inputs (reported)'!D19,nametranslations,7,FALSE)))))))),"")</f>
        <v/>
      </c>
      <c r="E19" s="1" t="str">
        <f>IF(ISTEXT('_Data inputs (reported)'!E19),'_Data inputs (reported)'!E19,"")</f>
        <v/>
      </c>
      <c r="F19" s="8" t="str">
        <f>IF(ISNUMBER('_Data inputs (reported)'!F19),'_Data inputs (reported)'!F19,"")</f>
        <v/>
      </c>
      <c r="G19" s="105" t="str">
        <f>IF(ISTEXT(VLOOKUP('_Data inputs (reported)'!G19,nametranslations,1,FALSE)),IF(Introduction!$A$2="English",VLOOKUP('_Data inputs (reported)'!G19,nametranslations,1,FALSE),IF(Introduction!$A$2="Spanish",VLOOKUP('_Data inputs (reported)'!G19,nametranslations,2,FALSE),IF(Introduction!$A$2="French",VLOOKUP('_Data inputs (reported)'!G19,nametranslations,3,FALSE),IF(Introduction!$A$2="Arabic",VLOOKUP('_Data inputs (reported)'!G19,nametranslations,4,FALSE),IF(Introduction!$A$2="Russian",VLOOKUP('_Data inputs (reported)'!G19,nametranslations,5,FALSE),IF(Introduction!$A$2="Chinese",VLOOKUP('_Data inputs (reported)'!G19,nametranslations,6,FALSE),IF(Introduction!$A$2="Other",VLOOKUP('_Data inputs (reported)'!G19,nametranslations,7,FALSE)))))))),"")</f>
        <v/>
      </c>
      <c r="H19" s="1" t="str">
        <f>IF(ISTEXT('_Data inputs (reported)'!H19),'_Data inputs (reported)'!H19,"")</f>
        <v/>
      </c>
      <c r="I19" s="42" t="str">
        <f>IF(ISNUMBER('_Data inputs (reported)'!I19),'_Data inputs (reported)'!I19,"")</f>
        <v/>
      </c>
      <c r="J19" s="1" t="str">
        <f>IF(ISTEXT('_Data inputs (reported)'!J19),'_Data inputs (reported)'!J19,"")</f>
        <v/>
      </c>
      <c r="K19" s="105" t="str">
        <f>IF(ISTEXT('_Data inputs (reported)'!K19),'_Data inputs (reported)'!K19,"")</f>
        <v/>
      </c>
      <c r="L19" s="105" t="str">
        <f>IF(ISTEXT('_Data inputs (reported)'!L19),'_Data inputs (reported)'!L19,"")</f>
        <v/>
      </c>
      <c r="M19" s="1" t="str">
        <f>IF(ISTEXT('_Data inputs (reported)'!M19),'_Data inputs (reported)'!M19,"")</f>
        <v/>
      </c>
      <c r="N19" s="105" t="str">
        <f>IF(ISTEXT('_Data inputs (reported)'!N19),'_Data inputs (reported)'!N19,"")</f>
        <v/>
      </c>
    </row>
    <row xmlns:x14ac="http://schemas.microsoft.com/office/spreadsheetml/2009/9/ac" r="20" x14ac:dyDescent="0.2">
      <c r="A20" s="105" t="str">
        <f>IF(ISTEXT(VLOOKUP('_Data inputs (reported)'!B20,countryname,2,FALSE)),IF(Introduction!$A$2="English",VLOOKUP('_Data inputs (reported)'!B20,countryname,2,FALSE),IF(Introduction!$A$2="French",VLOOKUP('_Data inputs (reported)'!B20,countryname,3,FALSE),IF(Introduction!$A$2="Spanish",VLOOKUP('_Data inputs (reported)'!B20,countryname,4,FALSE),IF(Introduction!$A$2="Russian",VLOOKUP('_Data inputs (reported)'!B20,countryname,5,FALSE),IF(Introduction!$A$2="Arabic",VLOOKUP('_Data inputs (reported)'!B20,countryname,6,FALSE),IF(Introduction!$A$2="Chinese",VLOOKUP('_Data inputs (reported)'!B20,countryname,7,FALSE),IF(Introduction!$A$2="Other",VLOOKUP('_Data inputs (reported)'!B20,countryname,8,FALSE)))))))),"")</f>
        <v/>
      </c>
      <c r="B20" s="1" t="str">
        <f>IF(ISTEXT('_Data inputs (reported)'!B20),'_Data inputs (reported)'!B20,"")</f>
        <v/>
      </c>
      <c r="C20" s="179" t="str">
        <f>IF(ISBLANK('_Data inputs (reported)'!C20),"",'_Data inputs (reported)'!C20)</f>
        <v/>
      </c>
      <c r="D20" s="105" t="str">
        <f>IF(ISTEXT(VLOOKUP('_Data inputs (reported)'!D20,nametranslations,1,FALSE)),IF(Introduction!$A$2="English",VLOOKUP('_Data inputs (reported)'!D20,nametranslations,1,FALSE),IF(Introduction!$A$2="Spanish",VLOOKUP('_Data inputs (reported)'!D20,nametranslations,2,FALSE),IF(Introduction!$A$2="French",VLOOKUP('_Data inputs (reported)'!D20,nametranslations,3,FALSE),IF(Introduction!$A$2="Arabic",VLOOKUP('_Data inputs (reported)'!D20,nametranslations,4,FALSE),IF(Introduction!$A$2="Russian",VLOOKUP('_Data inputs (reported)'!D20,nametranslations,5,FALSE),IF(Introduction!$A$2="Chinese",VLOOKUP('_Data inputs (reported)'!D20,nametranslations,6,FALSE),IF(Introduction!$A$2="Other",VLOOKUP('_Data inputs (reported)'!D20,nametranslations,7,FALSE)))))))),"")</f>
        <v/>
      </c>
      <c r="E20" s="1" t="str">
        <f>IF(ISTEXT('_Data inputs (reported)'!E20),'_Data inputs (reported)'!E20,"")</f>
        <v/>
      </c>
      <c r="F20" s="8" t="str">
        <f>IF(ISNUMBER('_Data inputs (reported)'!F20),'_Data inputs (reported)'!F20,"")</f>
        <v/>
      </c>
      <c r="G20" s="105" t="str">
        <f>IF(ISTEXT(VLOOKUP('_Data inputs (reported)'!G20,nametranslations,1,FALSE)),IF(Introduction!$A$2="English",VLOOKUP('_Data inputs (reported)'!G20,nametranslations,1,FALSE),IF(Introduction!$A$2="Spanish",VLOOKUP('_Data inputs (reported)'!G20,nametranslations,2,FALSE),IF(Introduction!$A$2="French",VLOOKUP('_Data inputs (reported)'!G20,nametranslations,3,FALSE),IF(Introduction!$A$2="Arabic",VLOOKUP('_Data inputs (reported)'!G20,nametranslations,4,FALSE),IF(Introduction!$A$2="Russian",VLOOKUP('_Data inputs (reported)'!G20,nametranslations,5,FALSE),IF(Introduction!$A$2="Chinese",VLOOKUP('_Data inputs (reported)'!G20,nametranslations,6,FALSE),IF(Introduction!$A$2="Other",VLOOKUP('_Data inputs (reported)'!G20,nametranslations,7,FALSE)))))))),"")</f>
        <v/>
      </c>
      <c r="H20" s="1" t="str">
        <f>IF(ISTEXT('_Data inputs (reported)'!H20),'_Data inputs (reported)'!H20,"")</f>
        <v/>
      </c>
      <c r="I20" s="42" t="str">
        <f>IF(ISNUMBER('_Data inputs (reported)'!I20),'_Data inputs (reported)'!I20,"")</f>
        <v/>
      </c>
      <c r="J20" s="1" t="str">
        <f>IF(ISTEXT('_Data inputs (reported)'!J20),'_Data inputs (reported)'!J20,"")</f>
        <v/>
      </c>
      <c r="K20" s="105" t="str">
        <f>IF(ISTEXT('_Data inputs (reported)'!K20),'_Data inputs (reported)'!K20,"")</f>
        <v/>
      </c>
      <c r="L20" s="105" t="str">
        <f>IF(ISTEXT('_Data inputs (reported)'!L20),'_Data inputs (reported)'!L20,"")</f>
        <v/>
      </c>
      <c r="M20" s="1" t="str">
        <f>IF(ISTEXT('_Data inputs (reported)'!M20),'_Data inputs (reported)'!M20,"")</f>
        <v/>
      </c>
      <c r="N20" s="105" t="str">
        <f>IF(ISTEXT('_Data inputs (reported)'!N20),'_Data inputs (reported)'!N20,"")</f>
        <v/>
      </c>
    </row>
    <row xmlns:x14ac="http://schemas.microsoft.com/office/spreadsheetml/2009/9/ac" r="21" x14ac:dyDescent="0.2">
      <c r="A21" s="105" t="str">
        <f>IF(ISTEXT(VLOOKUP('_Data inputs (reported)'!B21,countryname,2,FALSE)),IF(Introduction!$A$2="English",VLOOKUP('_Data inputs (reported)'!B21,countryname,2,FALSE),IF(Introduction!$A$2="French",VLOOKUP('_Data inputs (reported)'!B21,countryname,3,FALSE),IF(Introduction!$A$2="Spanish",VLOOKUP('_Data inputs (reported)'!B21,countryname,4,FALSE),IF(Introduction!$A$2="Russian",VLOOKUP('_Data inputs (reported)'!B21,countryname,5,FALSE),IF(Introduction!$A$2="Arabic",VLOOKUP('_Data inputs (reported)'!B21,countryname,6,FALSE),IF(Introduction!$A$2="Chinese",VLOOKUP('_Data inputs (reported)'!B21,countryname,7,FALSE),IF(Introduction!$A$2="Other",VLOOKUP('_Data inputs (reported)'!B21,countryname,8,FALSE)))))))),"")</f>
        <v/>
      </c>
      <c r="B21" s="1" t="str">
        <f>IF(ISTEXT('_Data inputs (reported)'!B21),'_Data inputs (reported)'!B21,"")</f>
        <v/>
      </c>
      <c r="C21" s="179" t="str">
        <f>IF(ISBLANK('_Data inputs (reported)'!C21),"",'_Data inputs (reported)'!C21)</f>
        <v/>
      </c>
      <c r="D21" s="105" t="str">
        <f>IF(ISTEXT(VLOOKUP('_Data inputs (reported)'!D21,nametranslations,1,FALSE)),IF(Introduction!$A$2="English",VLOOKUP('_Data inputs (reported)'!D21,nametranslations,1,FALSE),IF(Introduction!$A$2="Spanish",VLOOKUP('_Data inputs (reported)'!D21,nametranslations,2,FALSE),IF(Introduction!$A$2="French",VLOOKUP('_Data inputs (reported)'!D21,nametranslations,3,FALSE),IF(Introduction!$A$2="Arabic",VLOOKUP('_Data inputs (reported)'!D21,nametranslations,4,FALSE),IF(Introduction!$A$2="Russian",VLOOKUP('_Data inputs (reported)'!D21,nametranslations,5,FALSE),IF(Introduction!$A$2="Chinese",VLOOKUP('_Data inputs (reported)'!D21,nametranslations,6,FALSE),IF(Introduction!$A$2="Other",VLOOKUP('_Data inputs (reported)'!D21,nametranslations,7,FALSE)))))))),"")</f>
        <v/>
      </c>
      <c r="E21" s="1" t="str">
        <f>IF(ISTEXT('_Data inputs (reported)'!E21),'_Data inputs (reported)'!E21,"")</f>
        <v/>
      </c>
      <c r="F21" s="8" t="str">
        <f>IF(ISNUMBER('_Data inputs (reported)'!F21),'_Data inputs (reported)'!F21,"")</f>
        <v/>
      </c>
      <c r="G21" s="105" t="str">
        <f>IF(ISTEXT(VLOOKUP('_Data inputs (reported)'!G21,nametranslations,1,FALSE)),IF(Introduction!$A$2="English",VLOOKUP('_Data inputs (reported)'!G21,nametranslations,1,FALSE),IF(Introduction!$A$2="Spanish",VLOOKUP('_Data inputs (reported)'!G21,nametranslations,2,FALSE),IF(Introduction!$A$2="French",VLOOKUP('_Data inputs (reported)'!G21,nametranslations,3,FALSE),IF(Introduction!$A$2="Arabic",VLOOKUP('_Data inputs (reported)'!G21,nametranslations,4,FALSE),IF(Introduction!$A$2="Russian",VLOOKUP('_Data inputs (reported)'!G21,nametranslations,5,FALSE),IF(Introduction!$A$2="Chinese",VLOOKUP('_Data inputs (reported)'!G21,nametranslations,6,FALSE),IF(Introduction!$A$2="Other",VLOOKUP('_Data inputs (reported)'!G21,nametranslations,7,FALSE)))))))),"")</f>
        <v/>
      </c>
      <c r="H21" s="1" t="str">
        <f>IF(ISTEXT('_Data inputs (reported)'!H21),'_Data inputs (reported)'!H21,"")</f>
        <v/>
      </c>
      <c r="I21" s="42" t="str">
        <f>IF(ISNUMBER('_Data inputs (reported)'!I21),'_Data inputs (reported)'!I21,"")</f>
        <v/>
      </c>
      <c r="J21" s="1" t="str">
        <f>IF(ISTEXT('_Data inputs (reported)'!J21),'_Data inputs (reported)'!J21,"")</f>
        <v/>
      </c>
      <c r="K21" s="105" t="str">
        <f>IF(ISTEXT('_Data inputs (reported)'!K21),'_Data inputs (reported)'!K21,"")</f>
        <v/>
      </c>
      <c r="L21" s="105" t="str">
        <f>IF(ISTEXT('_Data inputs (reported)'!L21),'_Data inputs (reported)'!L21,"")</f>
        <v/>
      </c>
      <c r="M21" s="1" t="str">
        <f>IF(ISTEXT('_Data inputs (reported)'!M21),'_Data inputs (reported)'!M21,"")</f>
        <v/>
      </c>
      <c r="N21" s="105" t="str">
        <f>IF(ISTEXT('_Data inputs (reported)'!N21),'_Data inputs (reported)'!N21,"")</f>
        <v/>
      </c>
    </row>
    <row xmlns:x14ac="http://schemas.microsoft.com/office/spreadsheetml/2009/9/ac" r="22" x14ac:dyDescent="0.2">
      <c r="A22" s="105" t="str">
        <f>IF(ISTEXT(VLOOKUP('_Data inputs (reported)'!B22,countryname,2,FALSE)),IF(Introduction!$A$2="English",VLOOKUP('_Data inputs (reported)'!B22,countryname,2,FALSE),IF(Introduction!$A$2="French",VLOOKUP('_Data inputs (reported)'!B22,countryname,3,FALSE),IF(Introduction!$A$2="Spanish",VLOOKUP('_Data inputs (reported)'!B22,countryname,4,FALSE),IF(Introduction!$A$2="Russian",VLOOKUP('_Data inputs (reported)'!B22,countryname,5,FALSE),IF(Introduction!$A$2="Arabic",VLOOKUP('_Data inputs (reported)'!B22,countryname,6,FALSE),IF(Introduction!$A$2="Chinese",VLOOKUP('_Data inputs (reported)'!B22,countryname,7,FALSE),IF(Introduction!$A$2="Other",VLOOKUP('_Data inputs (reported)'!B22,countryname,8,FALSE)))))))),"")</f>
        <v/>
      </c>
      <c r="B22" s="1" t="str">
        <f>IF(ISTEXT('_Data inputs (reported)'!B22),'_Data inputs (reported)'!B22,"")</f>
        <v/>
      </c>
      <c r="C22" s="179" t="str">
        <f>IF(ISBLANK('_Data inputs (reported)'!C22),"",'_Data inputs (reported)'!C22)</f>
        <v/>
      </c>
      <c r="D22" s="105" t="str">
        <f>IF(ISTEXT(VLOOKUP('_Data inputs (reported)'!D22,nametranslations,1,FALSE)),IF(Introduction!$A$2="English",VLOOKUP('_Data inputs (reported)'!D22,nametranslations,1,FALSE),IF(Introduction!$A$2="Spanish",VLOOKUP('_Data inputs (reported)'!D22,nametranslations,2,FALSE),IF(Introduction!$A$2="French",VLOOKUP('_Data inputs (reported)'!D22,nametranslations,3,FALSE),IF(Introduction!$A$2="Arabic",VLOOKUP('_Data inputs (reported)'!D22,nametranslations,4,FALSE),IF(Introduction!$A$2="Russian",VLOOKUP('_Data inputs (reported)'!D22,nametranslations,5,FALSE),IF(Introduction!$A$2="Chinese",VLOOKUP('_Data inputs (reported)'!D22,nametranslations,6,FALSE),IF(Introduction!$A$2="Other",VLOOKUP('_Data inputs (reported)'!D22,nametranslations,7,FALSE)))))))),"")</f>
        <v/>
      </c>
      <c r="E22" s="1" t="str">
        <f>IF(ISTEXT('_Data inputs (reported)'!E22),'_Data inputs (reported)'!E22,"")</f>
        <v/>
      </c>
      <c r="F22" s="8" t="str">
        <f>IF(ISNUMBER('_Data inputs (reported)'!F22),'_Data inputs (reported)'!F22,"")</f>
        <v/>
      </c>
      <c r="G22" s="105" t="str">
        <f>IF(ISTEXT(VLOOKUP('_Data inputs (reported)'!G22,nametranslations,1,FALSE)),IF(Introduction!$A$2="English",VLOOKUP('_Data inputs (reported)'!G22,nametranslations,1,FALSE),IF(Introduction!$A$2="Spanish",VLOOKUP('_Data inputs (reported)'!G22,nametranslations,2,FALSE),IF(Introduction!$A$2="French",VLOOKUP('_Data inputs (reported)'!G22,nametranslations,3,FALSE),IF(Introduction!$A$2="Arabic",VLOOKUP('_Data inputs (reported)'!G22,nametranslations,4,FALSE),IF(Introduction!$A$2="Russian",VLOOKUP('_Data inputs (reported)'!G22,nametranslations,5,FALSE),IF(Introduction!$A$2="Chinese",VLOOKUP('_Data inputs (reported)'!G22,nametranslations,6,FALSE),IF(Introduction!$A$2="Other",VLOOKUP('_Data inputs (reported)'!G22,nametranslations,7,FALSE)))))))),"")</f>
        <v/>
      </c>
      <c r="H22" s="1" t="str">
        <f>IF(ISTEXT('_Data inputs (reported)'!H22),'_Data inputs (reported)'!H22,"")</f>
        <v/>
      </c>
      <c r="I22" s="42" t="str">
        <f>IF(ISNUMBER('_Data inputs (reported)'!I22),'_Data inputs (reported)'!I22,"")</f>
        <v/>
      </c>
      <c r="J22" s="1" t="str">
        <f>IF(ISTEXT('_Data inputs (reported)'!J22),'_Data inputs (reported)'!J22,"")</f>
        <v/>
      </c>
      <c r="K22" s="105" t="str">
        <f>IF(ISTEXT('_Data inputs (reported)'!K22),'_Data inputs (reported)'!K22,"")</f>
        <v/>
      </c>
      <c r="L22" s="105" t="str">
        <f>IF(ISTEXT('_Data inputs (reported)'!L22),'_Data inputs (reported)'!L22,"")</f>
        <v/>
      </c>
      <c r="M22" s="1" t="str">
        <f>IF(ISTEXT('_Data inputs (reported)'!M22),'_Data inputs (reported)'!M22,"")</f>
        <v/>
      </c>
      <c r="N22" s="105" t="str">
        <f>IF(ISTEXT('_Data inputs (reported)'!N22),'_Data inputs (reported)'!N22,"")</f>
        <v/>
      </c>
    </row>
    <row xmlns:x14ac="http://schemas.microsoft.com/office/spreadsheetml/2009/9/ac" r="23" x14ac:dyDescent="0.2">
      <c r="A23" s="105" t="str">
        <f>IF(ISTEXT(VLOOKUP('_Data inputs (reported)'!B23,countryname,2,FALSE)),IF(Introduction!$A$2="English",VLOOKUP('_Data inputs (reported)'!B23,countryname,2,FALSE),IF(Introduction!$A$2="French",VLOOKUP('_Data inputs (reported)'!B23,countryname,3,FALSE),IF(Introduction!$A$2="Spanish",VLOOKUP('_Data inputs (reported)'!B23,countryname,4,FALSE),IF(Introduction!$A$2="Russian",VLOOKUP('_Data inputs (reported)'!B23,countryname,5,FALSE),IF(Introduction!$A$2="Arabic",VLOOKUP('_Data inputs (reported)'!B23,countryname,6,FALSE),IF(Introduction!$A$2="Chinese",VLOOKUP('_Data inputs (reported)'!B23,countryname,7,FALSE),IF(Introduction!$A$2="Other",VLOOKUP('_Data inputs (reported)'!B23,countryname,8,FALSE)))))))),"")</f>
        <v/>
      </c>
      <c r="B23" s="1" t="str">
        <f>IF(ISTEXT('_Data inputs (reported)'!B23),'_Data inputs (reported)'!B23,"")</f>
        <v/>
      </c>
      <c r="C23" s="179" t="str">
        <f>IF(ISBLANK('_Data inputs (reported)'!C23),"",'_Data inputs (reported)'!C23)</f>
        <v/>
      </c>
      <c r="D23" s="105" t="str">
        <f>IF(ISTEXT(VLOOKUP('_Data inputs (reported)'!D23,nametranslations,1,FALSE)),IF(Introduction!$A$2="English",VLOOKUP('_Data inputs (reported)'!D23,nametranslations,1,FALSE),IF(Introduction!$A$2="Spanish",VLOOKUP('_Data inputs (reported)'!D23,nametranslations,2,FALSE),IF(Introduction!$A$2="French",VLOOKUP('_Data inputs (reported)'!D23,nametranslations,3,FALSE),IF(Introduction!$A$2="Arabic",VLOOKUP('_Data inputs (reported)'!D23,nametranslations,4,FALSE),IF(Introduction!$A$2="Russian",VLOOKUP('_Data inputs (reported)'!D23,nametranslations,5,FALSE),IF(Introduction!$A$2="Chinese",VLOOKUP('_Data inputs (reported)'!D23,nametranslations,6,FALSE),IF(Introduction!$A$2="Other",VLOOKUP('_Data inputs (reported)'!D23,nametranslations,7,FALSE)))))))),"")</f>
        <v/>
      </c>
      <c r="E23" s="1" t="str">
        <f>IF(ISTEXT('_Data inputs (reported)'!E23),'_Data inputs (reported)'!E23,"")</f>
        <v/>
      </c>
      <c r="F23" s="8" t="str">
        <f>IF(ISNUMBER('_Data inputs (reported)'!F23),'_Data inputs (reported)'!F23,"")</f>
        <v/>
      </c>
      <c r="G23" s="105" t="str">
        <f>IF(ISTEXT(VLOOKUP('_Data inputs (reported)'!G23,nametranslations,1,FALSE)),IF(Introduction!$A$2="English",VLOOKUP('_Data inputs (reported)'!G23,nametranslations,1,FALSE),IF(Introduction!$A$2="Spanish",VLOOKUP('_Data inputs (reported)'!G23,nametranslations,2,FALSE),IF(Introduction!$A$2="French",VLOOKUP('_Data inputs (reported)'!G23,nametranslations,3,FALSE),IF(Introduction!$A$2="Arabic",VLOOKUP('_Data inputs (reported)'!G23,nametranslations,4,FALSE),IF(Introduction!$A$2="Russian",VLOOKUP('_Data inputs (reported)'!G23,nametranslations,5,FALSE),IF(Introduction!$A$2="Chinese",VLOOKUP('_Data inputs (reported)'!G23,nametranslations,6,FALSE),IF(Introduction!$A$2="Other",VLOOKUP('_Data inputs (reported)'!G23,nametranslations,7,FALSE)))))))),"")</f>
        <v/>
      </c>
      <c r="H23" s="1" t="str">
        <f>IF(ISTEXT('_Data inputs (reported)'!H23),'_Data inputs (reported)'!H23,"")</f>
        <v/>
      </c>
      <c r="I23" s="42" t="str">
        <f>IF(ISNUMBER('_Data inputs (reported)'!I23),'_Data inputs (reported)'!I23,"")</f>
        <v/>
      </c>
      <c r="J23" s="1" t="str">
        <f>IF(ISTEXT('_Data inputs (reported)'!J23),'_Data inputs (reported)'!J23,"")</f>
        <v/>
      </c>
      <c r="K23" s="105" t="str">
        <f>IF(ISTEXT('_Data inputs (reported)'!K23),'_Data inputs (reported)'!K23,"")</f>
        <v/>
      </c>
      <c r="L23" s="105" t="str">
        <f>IF(ISTEXT('_Data inputs (reported)'!L23),'_Data inputs (reported)'!L23,"")</f>
        <v/>
      </c>
      <c r="M23" s="1" t="str">
        <f>IF(ISTEXT('_Data inputs (reported)'!M23),'_Data inputs (reported)'!M23,"")</f>
        <v/>
      </c>
      <c r="N23" s="105" t="str">
        <f>IF(ISTEXT('_Data inputs (reported)'!N23),'_Data inputs (reported)'!N23,"")</f>
        <v/>
      </c>
    </row>
    <row xmlns:x14ac="http://schemas.microsoft.com/office/spreadsheetml/2009/9/ac" r="24" x14ac:dyDescent="0.2">
      <c r="A24" s="105" t="str">
        <f>IF(ISTEXT(VLOOKUP('_Data inputs (reported)'!B24,countryname,2,FALSE)),IF(Introduction!$A$2="English",VLOOKUP('_Data inputs (reported)'!B24,countryname,2,FALSE),IF(Introduction!$A$2="French",VLOOKUP('_Data inputs (reported)'!B24,countryname,3,FALSE),IF(Introduction!$A$2="Spanish",VLOOKUP('_Data inputs (reported)'!B24,countryname,4,FALSE),IF(Introduction!$A$2="Russian",VLOOKUP('_Data inputs (reported)'!B24,countryname,5,FALSE),IF(Introduction!$A$2="Arabic",VLOOKUP('_Data inputs (reported)'!B24,countryname,6,FALSE),IF(Introduction!$A$2="Chinese",VLOOKUP('_Data inputs (reported)'!B24,countryname,7,FALSE),IF(Introduction!$A$2="Other",VLOOKUP('_Data inputs (reported)'!B24,countryname,8,FALSE)))))))),"")</f>
        <v/>
      </c>
      <c r="B24" s="1" t="str">
        <f>IF(ISTEXT('_Data inputs (reported)'!B24),'_Data inputs (reported)'!B24,"")</f>
        <v/>
      </c>
      <c r="C24" s="179" t="str">
        <f>IF(ISBLANK('_Data inputs (reported)'!C24),"",'_Data inputs (reported)'!C24)</f>
        <v/>
      </c>
      <c r="D24" s="105" t="str">
        <f>IF(ISTEXT(VLOOKUP('_Data inputs (reported)'!D24,nametranslations,1,FALSE)),IF(Introduction!$A$2="English",VLOOKUP('_Data inputs (reported)'!D24,nametranslations,1,FALSE),IF(Introduction!$A$2="Spanish",VLOOKUP('_Data inputs (reported)'!D24,nametranslations,2,FALSE),IF(Introduction!$A$2="French",VLOOKUP('_Data inputs (reported)'!D24,nametranslations,3,FALSE),IF(Introduction!$A$2="Arabic",VLOOKUP('_Data inputs (reported)'!D24,nametranslations,4,FALSE),IF(Introduction!$A$2="Russian",VLOOKUP('_Data inputs (reported)'!D24,nametranslations,5,FALSE),IF(Introduction!$A$2="Chinese",VLOOKUP('_Data inputs (reported)'!D24,nametranslations,6,FALSE),IF(Introduction!$A$2="Other",VLOOKUP('_Data inputs (reported)'!D24,nametranslations,7,FALSE)))))))),"")</f>
        <v/>
      </c>
      <c r="E24" s="1" t="str">
        <f>IF(ISTEXT('_Data inputs (reported)'!E24),'_Data inputs (reported)'!E24,"")</f>
        <v/>
      </c>
      <c r="F24" s="8" t="str">
        <f>IF(ISNUMBER('_Data inputs (reported)'!F24),'_Data inputs (reported)'!F24,"")</f>
        <v/>
      </c>
      <c r="G24" s="105" t="str">
        <f>IF(ISTEXT(VLOOKUP('_Data inputs (reported)'!G24,nametranslations,1,FALSE)),IF(Introduction!$A$2="English",VLOOKUP('_Data inputs (reported)'!G24,nametranslations,1,FALSE),IF(Introduction!$A$2="Spanish",VLOOKUP('_Data inputs (reported)'!G24,nametranslations,2,FALSE),IF(Introduction!$A$2="French",VLOOKUP('_Data inputs (reported)'!G24,nametranslations,3,FALSE),IF(Introduction!$A$2="Arabic",VLOOKUP('_Data inputs (reported)'!G24,nametranslations,4,FALSE),IF(Introduction!$A$2="Russian",VLOOKUP('_Data inputs (reported)'!G24,nametranslations,5,FALSE),IF(Introduction!$A$2="Chinese",VLOOKUP('_Data inputs (reported)'!G24,nametranslations,6,FALSE),IF(Introduction!$A$2="Other",VLOOKUP('_Data inputs (reported)'!G24,nametranslations,7,FALSE)))))))),"")</f>
        <v/>
      </c>
      <c r="H24" s="1" t="str">
        <f>IF(ISTEXT('_Data inputs (reported)'!H24),'_Data inputs (reported)'!H24,"")</f>
        <v/>
      </c>
      <c r="I24" s="42" t="str">
        <f>IF(ISNUMBER('_Data inputs (reported)'!I24),'_Data inputs (reported)'!I24,"")</f>
        <v/>
      </c>
      <c r="J24" s="1" t="str">
        <f>IF(ISTEXT('_Data inputs (reported)'!J24),'_Data inputs (reported)'!J24,"")</f>
        <v/>
      </c>
      <c r="K24" s="105" t="str">
        <f>IF(ISTEXT('_Data inputs (reported)'!K24),'_Data inputs (reported)'!K24,"")</f>
        <v/>
      </c>
      <c r="L24" s="105" t="str">
        <f>IF(ISTEXT('_Data inputs (reported)'!L24),'_Data inputs (reported)'!L24,"")</f>
        <v/>
      </c>
      <c r="M24" s="1" t="str">
        <f>IF(ISTEXT('_Data inputs (reported)'!M24),'_Data inputs (reported)'!M24,"")</f>
        <v/>
      </c>
      <c r="N24" s="105" t="str">
        <f>IF(ISTEXT('_Data inputs (reported)'!N24),'_Data inputs (reported)'!N24,"")</f>
        <v/>
      </c>
    </row>
    <row xmlns:x14ac="http://schemas.microsoft.com/office/spreadsheetml/2009/9/ac" r="25" x14ac:dyDescent="0.2">
      <c r="A25" s="105" t="str">
        <f>IF(ISTEXT(VLOOKUP('_Data inputs (reported)'!B25,countryname,2,FALSE)),IF(Introduction!$A$2="English",VLOOKUP('_Data inputs (reported)'!B25,countryname,2,FALSE),IF(Introduction!$A$2="French",VLOOKUP('_Data inputs (reported)'!B25,countryname,3,FALSE),IF(Introduction!$A$2="Spanish",VLOOKUP('_Data inputs (reported)'!B25,countryname,4,FALSE),IF(Introduction!$A$2="Russian",VLOOKUP('_Data inputs (reported)'!B25,countryname,5,FALSE),IF(Introduction!$A$2="Arabic",VLOOKUP('_Data inputs (reported)'!B25,countryname,6,FALSE),IF(Introduction!$A$2="Chinese",VLOOKUP('_Data inputs (reported)'!B25,countryname,7,FALSE),IF(Introduction!$A$2="Other",VLOOKUP('_Data inputs (reported)'!B25,countryname,8,FALSE)))))))),"")</f>
        <v/>
      </c>
      <c r="B25" s="1" t="str">
        <f>IF(ISTEXT('_Data inputs (reported)'!B25),'_Data inputs (reported)'!B25,"")</f>
        <v/>
      </c>
      <c r="C25" s="179" t="str">
        <f>IF(ISBLANK('_Data inputs (reported)'!C25),"",'_Data inputs (reported)'!C25)</f>
        <v/>
      </c>
      <c r="D25" s="105" t="str">
        <f>IF(ISTEXT(VLOOKUP('_Data inputs (reported)'!D25,nametranslations,1,FALSE)),IF(Introduction!$A$2="English",VLOOKUP('_Data inputs (reported)'!D25,nametranslations,1,FALSE),IF(Introduction!$A$2="Spanish",VLOOKUP('_Data inputs (reported)'!D25,nametranslations,2,FALSE),IF(Introduction!$A$2="French",VLOOKUP('_Data inputs (reported)'!D25,nametranslations,3,FALSE),IF(Introduction!$A$2="Arabic",VLOOKUP('_Data inputs (reported)'!D25,nametranslations,4,FALSE),IF(Introduction!$A$2="Russian",VLOOKUP('_Data inputs (reported)'!D25,nametranslations,5,FALSE),IF(Introduction!$A$2="Chinese",VLOOKUP('_Data inputs (reported)'!D25,nametranslations,6,FALSE),IF(Introduction!$A$2="Other",VLOOKUP('_Data inputs (reported)'!D25,nametranslations,7,FALSE)))))))),"")</f>
        <v/>
      </c>
      <c r="E25" s="1" t="str">
        <f>IF(ISTEXT('_Data inputs (reported)'!E25),'_Data inputs (reported)'!E25,"")</f>
        <v/>
      </c>
      <c r="F25" s="8" t="str">
        <f>IF(ISNUMBER('_Data inputs (reported)'!F25),'_Data inputs (reported)'!F25,"")</f>
        <v/>
      </c>
      <c r="G25" s="105" t="str">
        <f>IF(ISTEXT(VLOOKUP('_Data inputs (reported)'!G25,nametranslations,1,FALSE)),IF(Introduction!$A$2="English",VLOOKUP('_Data inputs (reported)'!G25,nametranslations,1,FALSE),IF(Introduction!$A$2="Spanish",VLOOKUP('_Data inputs (reported)'!G25,nametranslations,2,FALSE),IF(Introduction!$A$2="French",VLOOKUP('_Data inputs (reported)'!G25,nametranslations,3,FALSE),IF(Introduction!$A$2="Arabic",VLOOKUP('_Data inputs (reported)'!G25,nametranslations,4,FALSE),IF(Introduction!$A$2="Russian",VLOOKUP('_Data inputs (reported)'!G25,nametranslations,5,FALSE),IF(Introduction!$A$2="Chinese",VLOOKUP('_Data inputs (reported)'!G25,nametranslations,6,FALSE),IF(Introduction!$A$2="Other",VLOOKUP('_Data inputs (reported)'!G25,nametranslations,7,FALSE)))))))),"")</f>
        <v/>
      </c>
      <c r="H25" s="1" t="str">
        <f>IF(ISTEXT('_Data inputs (reported)'!H25),'_Data inputs (reported)'!H25,"")</f>
        <v/>
      </c>
      <c r="I25" s="42" t="str">
        <f>IF(ISNUMBER('_Data inputs (reported)'!I25),'_Data inputs (reported)'!I25,"")</f>
        <v/>
      </c>
      <c r="J25" s="1" t="str">
        <f>IF(ISTEXT('_Data inputs (reported)'!J25),'_Data inputs (reported)'!J25,"")</f>
        <v/>
      </c>
      <c r="K25" s="105" t="str">
        <f>IF(ISTEXT('_Data inputs (reported)'!K25),'_Data inputs (reported)'!K25,"")</f>
        <v/>
      </c>
      <c r="L25" s="105" t="str">
        <f>IF(ISTEXT('_Data inputs (reported)'!L25),'_Data inputs (reported)'!L25,"")</f>
        <v/>
      </c>
      <c r="M25" s="1" t="str">
        <f>IF(ISTEXT('_Data inputs (reported)'!M25),'_Data inputs (reported)'!M25,"")</f>
        <v/>
      </c>
      <c r="N25" s="105" t="str">
        <f>IF(ISTEXT('_Data inputs (reported)'!N25),'_Data inputs (reported)'!N25,"")</f>
        <v/>
      </c>
    </row>
    <row xmlns:x14ac="http://schemas.microsoft.com/office/spreadsheetml/2009/9/ac" r="26" x14ac:dyDescent="0.2">
      <c r="A26" s="105" t="str">
        <f>IF(ISTEXT(VLOOKUP('_Data inputs (reported)'!B26,countryname,2,FALSE)),IF(Introduction!$A$2="English",VLOOKUP('_Data inputs (reported)'!B26,countryname,2,FALSE),IF(Introduction!$A$2="French",VLOOKUP('_Data inputs (reported)'!B26,countryname,3,FALSE),IF(Introduction!$A$2="Spanish",VLOOKUP('_Data inputs (reported)'!B26,countryname,4,FALSE),IF(Introduction!$A$2="Russian",VLOOKUP('_Data inputs (reported)'!B26,countryname,5,FALSE),IF(Introduction!$A$2="Arabic",VLOOKUP('_Data inputs (reported)'!B26,countryname,6,FALSE),IF(Introduction!$A$2="Chinese",VLOOKUP('_Data inputs (reported)'!B26,countryname,7,FALSE),IF(Introduction!$A$2="Other",VLOOKUP('_Data inputs (reported)'!B26,countryname,8,FALSE)))))))),"")</f>
        <v/>
      </c>
      <c r="B26" s="1" t="str">
        <f>IF(ISTEXT('_Data inputs (reported)'!B26),'_Data inputs (reported)'!B26,"")</f>
        <v/>
      </c>
      <c r="C26" s="179" t="str">
        <f>IF(ISBLANK('_Data inputs (reported)'!C26),"",'_Data inputs (reported)'!C26)</f>
        <v/>
      </c>
      <c r="D26" s="105" t="str">
        <f>IF(ISTEXT(VLOOKUP('_Data inputs (reported)'!D26,nametranslations,1,FALSE)),IF(Introduction!$A$2="English",VLOOKUP('_Data inputs (reported)'!D26,nametranslations,1,FALSE),IF(Introduction!$A$2="Spanish",VLOOKUP('_Data inputs (reported)'!D26,nametranslations,2,FALSE),IF(Introduction!$A$2="French",VLOOKUP('_Data inputs (reported)'!D26,nametranslations,3,FALSE),IF(Introduction!$A$2="Arabic",VLOOKUP('_Data inputs (reported)'!D26,nametranslations,4,FALSE),IF(Introduction!$A$2="Russian",VLOOKUP('_Data inputs (reported)'!D26,nametranslations,5,FALSE),IF(Introduction!$A$2="Chinese",VLOOKUP('_Data inputs (reported)'!D26,nametranslations,6,FALSE),IF(Introduction!$A$2="Other",VLOOKUP('_Data inputs (reported)'!D26,nametranslations,7,FALSE)))))))),"")</f>
        <v/>
      </c>
      <c r="E26" s="1" t="str">
        <f>IF(ISTEXT('_Data inputs (reported)'!E26),'_Data inputs (reported)'!E26,"")</f>
        <v/>
      </c>
      <c r="F26" s="8" t="str">
        <f>IF(ISNUMBER('_Data inputs (reported)'!F26),'_Data inputs (reported)'!F26,"")</f>
        <v/>
      </c>
      <c r="G26" s="105" t="str">
        <f>IF(ISTEXT(VLOOKUP('_Data inputs (reported)'!G26,nametranslations,1,FALSE)),IF(Introduction!$A$2="English",VLOOKUP('_Data inputs (reported)'!G26,nametranslations,1,FALSE),IF(Introduction!$A$2="Spanish",VLOOKUP('_Data inputs (reported)'!G26,nametranslations,2,FALSE),IF(Introduction!$A$2="French",VLOOKUP('_Data inputs (reported)'!G26,nametranslations,3,FALSE),IF(Introduction!$A$2="Arabic",VLOOKUP('_Data inputs (reported)'!G26,nametranslations,4,FALSE),IF(Introduction!$A$2="Russian",VLOOKUP('_Data inputs (reported)'!G26,nametranslations,5,FALSE),IF(Introduction!$A$2="Chinese",VLOOKUP('_Data inputs (reported)'!G26,nametranslations,6,FALSE),IF(Introduction!$A$2="Other",VLOOKUP('_Data inputs (reported)'!G26,nametranslations,7,FALSE)))))))),"")</f>
        <v/>
      </c>
      <c r="H26" s="1" t="str">
        <f>IF(ISTEXT('_Data inputs (reported)'!H26),'_Data inputs (reported)'!H26,"")</f>
        <v/>
      </c>
      <c r="I26" s="42" t="str">
        <f>IF(ISNUMBER('_Data inputs (reported)'!I26),'_Data inputs (reported)'!I26,"")</f>
        <v/>
      </c>
      <c r="J26" s="1" t="str">
        <f>IF(ISTEXT('_Data inputs (reported)'!J26),'_Data inputs (reported)'!J26,"")</f>
        <v/>
      </c>
      <c r="K26" s="105" t="str">
        <f>IF(ISTEXT('_Data inputs (reported)'!K26),'_Data inputs (reported)'!K26,"")</f>
        <v/>
      </c>
      <c r="L26" s="105" t="str">
        <f>IF(ISTEXT('_Data inputs (reported)'!L26),'_Data inputs (reported)'!L26,"")</f>
        <v/>
      </c>
      <c r="M26" s="1" t="str">
        <f>IF(ISTEXT('_Data inputs (reported)'!M26),'_Data inputs (reported)'!M26,"")</f>
        <v/>
      </c>
      <c r="N26" s="105" t="str">
        <f>IF(ISTEXT('_Data inputs (reported)'!N26),'_Data inputs (reported)'!N26,"")</f>
        <v/>
      </c>
    </row>
    <row xmlns:x14ac="http://schemas.microsoft.com/office/spreadsheetml/2009/9/ac" r="27" x14ac:dyDescent="0.2">
      <c r="A27" s="105" t="str">
        <f>IF(ISTEXT(VLOOKUP('_Data inputs (reported)'!B27,countryname,2,FALSE)),IF(Introduction!$A$2="English",VLOOKUP('_Data inputs (reported)'!B27,countryname,2,FALSE),IF(Introduction!$A$2="French",VLOOKUP('_Data inputs (reported)'!B27,countryname,3,FALSE),IF(Introduction!$A$2="Spanish",VLOOKUP('_Data inputs (reported)'!B27,countryname,4,FALSE),IF(Introduction!$A$2="Russian",VLOOKUP('_Data inputs (reported)'!B27,countryname,5,FALSE),IF(Introduction!$A$2="Arabic",VLOOKUP('_Data inputs (reported)'!B27,countryname,6,FALSE),IF(Introduction!$A$2="Chinese",VLOOKUP('_Data inputs (reported)'!B27,countryname,7,FALSE),IF(Introduction!$A$2="Other",VLOOKUP('_Data inputs (reported)'!B27,countryname,8,FALSE)))))))),"")</f>
        <v/>
      </c>
      <c r="B27" s="1" t="str">
        <f>IF(ISTEXT('_Data inputs (reported)'!B27),'_Data inputs (reported)'!B27,"")</f>
        <v/>
      </c>
      <c r="C27" s="179" t="str">
        <f>IF(ISBLANK('_Data inputs (reported)'!C27),"",'_Data inputs (reported)'!C27)</f>
        <v/>
      </c>
      <c r="D27" s="105" t="str">
        <f>IF(ISTEXT(VLOOKUP('_Data inputs (reported)'!D27,nametranslations,1,FALSE)),IF(Introduction!$A$2="English",VLOOKUP('_Data inputs (reported)'!D27,nametranslations,1,FALSE),IF(Introduction!$A$2="Spanish",VLOOKUP('_Data inputs (reported)'!D27,nametranslations,2,FALSE),IF(Introduction!$A$2="French",VLOOKUP('_Data inputs (reported)'!D27,nametranslations,3,FALSE),IF(Introduction!$A$2="Arabic",VLOOKUP('_Data inputs (reported)'!D27,nametranslations,4,FALSE),IF(Introduction!$A$2="Russian",VLOOKUP('_Data inputs (reported)'!D27,nametranslations,5,FALSE),IF(Introduction!$A$2="Chinese",VLOOKUP('_Data inputs (reported)'!D27,nametranslations,6,FALSE),IF(Introduction!$A$2="Other",VLOOKUP('_Data inputs (reported)'!D27,nametranslations,7,FALSE)))))))),"")</f>
        <v/>
      </c>
      <c r="E27" s="1" t="str">
        <f>IF(ISTEXT('_Data inputs (reported)'!E27),'_Data inputs (reported)'!E27,"")</f>
        <v/>
      </c>
      <c r="F27" s="8" t="str">
        <f>IF(ISNUMBER('_Data inputs (reported)'!F27),'_Data inputs (reported)'!F27,"")</f>
        <v/>
      </c>
      <c r="G27" s="105" t="str">
        <f>IF(ISTEXT(VLOOKUP('_Data inputs (reported)'!G27,nametranslations,1,FALSE)),IF(Introduction!$A$2="English",VLOOKUP('_Data inputs (reported)'!G27,nametranslations,1,FALSE),IF(Introduction!$A$2="Spanish",VLOOKUP('_Data inputs (reported)'!G27,nametranslations,2,FALSE),IF(Introduction!$A$2="French",VLOOKUP('_Data inputs (reported)'!G27,nametranslations,3,FALSE),IF(Introduction!$A$2="Arabic",VLOOKUP('_Data inputs (reported)'!G27,nametranslations,4,FALSE),IF(Introduction!$A$2="Russian",VLOOKUP('_Data inputs (reported)'!G27,nametranslations,5,FALSE),IF(Introduction!$A$2="Chinese",VLOOKUP('_Data inputs (reported)'!G27,nametranslations,6,FALSE),IF(Introduction!$A$2="Other",VLOOKUP('_Data inputs (reported)'!G27,nametranslations,7,FALSE)))))))),"")</f>
        <v/>
      </c>
      <c r="H27" s="1" t="str">
        <f>IF(ISTEXT('_Data inputs (reported)'!H27),'_Data inputs (reported)'!H27,"")</f>
        <v/>
      </c>
      <c r="I27" s="42" t="str">
        <f>IF(ISNUMBER('_Data inputs (reported)'!I27),'_Data inputs (reported)'!I27,"")</f>
        <v/>
      </c>
      <c r="J27" s="1" t="str">
        <f>IF(ISTEXT('_Data inputs (reported)'!J27),'_Data inputs (reported)'!J27,"")</f>
        <v/>
      </c>
      <c r="K27" s="105" t="str">
        <f>IF(ISTEXT('_Data inputs (reported)'!K27),'_Data inputs (reported)'!K27,"")</f>
        <v/>
      </c>
      <c r="L27" s="105" t="str">
        <f>IF(ISTEXT('_Data inputs (reported)'!L27),'_Data inputs (reported)'!L27,"")</f>
        <v/>
      </c>
      <c r="M27" s="1" t="str">
        <f>IF(ISTEXT('_Data inputs (reported)'!M27),'_Data inputs (reported)'!M27,"")</f>
        <v/>
      </c>
      <c r="N27" s="105" t="str">
        <f>IF(ISTEXT('_Data inputs (reported)'!N27),'_Data inputs (reported)'!N27,"")</f>
        <v/>
      </c>
    </row>
    <row xmlns:x14ac="http://schemas.microsoft.com/office/spreadsheetml/2009/9/ac" r="28" x14ac:dyDescent="0.2">
      <c r="A28" s="105" t="str">
        <f>IF(ISTEXT(VLOOKUP('_Data inputs (reported)'!B28,countryname,2,FALSE)),IF(Introduction!$A$2="English",VLOOKUP('_Data inputs (reported)'!B28,countryname,2,FALSE),IF(Introduction!$A$2="French",VLOOKUP('_Data inputs (reported)'!B28,countryname,3,FALSE),IF(Introduction!$A$2="Spanish",VLOOKUP('_Data inputs (reported)'!B28,countryname,4,FALSE),IF(Introduction!$A$2="Russian",VLOOKUP('_Data inputs (reported)'!B28,countryname,5,FALSE),IF(Introduction!$A$2="Arabic",VLOOKUP('_Data inputs (reported)'!B28,countryname,6,FALSE),IF(Introduction!$A$2="Chinese",VLOOKUP('_Data inputs (reported)'!B28,countryname,7,FALSE),IF(Introduction!$A$2="Other",VLOOKUP('_Data inputs (reported)'!B28,countryname,8,FALSE)))))))),"")</f>
        <v/>
      </c>
      <c r="B28" s="1" t="str">
        <f>IF(ISTEXT('_Data inputs (reported)'!B28),'_Data inputs (reported)'!B28,"")</f>
        <v/>
      </c>
      <c r="C28" s="179" t="str">
        <f>IF(ISBLANK('_Data inputs (reported)'!C28),"",'_Data inputs (reported)'!C28)</f>
        <v/>
      </c>
      <c r="D28" s="105" t="str">
        <f>IF(ISTEXT(VLOOKUP('_Data inputs (reported)'!D28,nametranslations,1,FALSE)),IF(Introduction!$A$2="English",VLOOKUP('_Data inputs (reported)'!D28,nametranslations,1,FALSE),IF(Introduction!$A$2="Spanish",VLOOKUP('_Data inputs (reported)'!D28,nametranslations,2,FALSE),IF(Introduction!$A$2="French",VLOOKUP('_Data inputs (reported)'!D28,nametranslations,3,FALSE),IF(Introduction!$A$2="Arabic",VLOOKUP('_Data inputs (reported)'!D28,nametranslations,4,FALSE),IF(Introduction!$A$2="Russian",VLOOKUP('_Data inputs (reported)'!D28,nametranslations,5,FALSE),IF(Introduction!$A$2="Chinese",VLOOKUP('_Data inputs (reported)'!D28,nametranslations,6,FALSE),IF(Introduction!$A$2="Other",VLOOKUP('_Data inputs (reported)'!D28,nametranslations,7,FALSE)))))))),"")</f>
        <v/>
      </c>
      <c r="E28" s="1" t="str">
        <f>IF(ISTEXT('_Data inputs (reported)'!E28),'_Data inputs (reported)'!E28,"")</f>
        <v/>
      </c>
      <c r="F28" s="8" t="str">
        <f>IF(ISNUMBER('_Data inputs (reported)'!F28),'_Data inputs (reported)'!F28,"")</f>
        <v/>
      </c>
      <c r="G28" s="105" t="str">
        <f>IF(ISTEXT(VLOOKUP('_Data inputs (reported)'!G28,nametranslations,1,FALSE)),IF(Introduction!$A$2="English",VLOOKUP('_Data inputs (reported)'!G28,nametranslations,1,FALSE),IF(Introduction!$A$2="Spanish",VLOOKUP('_Data inputs (reported)'!G28,nametranslations,2,FALSE),IF(Introduction!$A$2="French",VLOOKUP('_Data inputs (reported)'!G28,nametranslations,3,FALSE),IF(Introduction!$A$2="Arabic",VLOOKUP('_Data inputs (reported)'!G28,nametranslations,4,FALSE),IF(Introduction!$A$2="Russian",VLOOKUP('_Data inputs (reported)'!G28,nametranslations,5,FALSE),IF(Introduction!$A$2="Chinese",VLOOKUP('_Data inputs (reported)'!G28,nametranslations,6,FALSE),IF(Introduction!$A$2="Other",VLOOKUP('_Data inputs (reported)'!G28,nametranslations,7,FALSE)))))))),"")</f>
        <v/>
      </c>
      <c r="H28" s="1" t="str">
        <f>IF(ISTEXT('_Data inputs (reported)'!H28),'_Data inputs (reported)'!H28,"")</f>
        <v/>
      </c>
      <c r="I28" s="42" t="str">
        <f>IF(ISNUMBER('_Data inputs (reported)'!I28),'_Data inputs (reported)'!I28,"")</f>
        <v/>
      </c>
      <c r="J28" s="1" t="str">
        <f>IF(ISTEXT('_Data inputs (reported)'!J28),'_Data inputs (reported)'!J28,"")</f>
        <v/>
      </c>
      <c r="K28" s="105" t="str">
        <f>IF(ISTEXT('_Data inputs (reported)'!K28),'_Data inputs (reported)'!K28,"")</f>
        <v/>
      </c>
      <c r="L28" s="105" t="str">
        <f>IF(ISTEXT('_Data inputs (reported)'!L28),'_Data inputs (reported)'!L28,"")</f>
        <v/>
      </c>
      <c r="M28" s="1" t="str">
        <f>IF(ISTEXT('_Data inputs (reported)'!M28),'_Data inputs (reported)'!M28,"")</f>
        <v/>
      </c>
      <c r="N28" s="105" t="str">
        <f>IF(ISTEXT('_Data inputs (reported)'!N28),'_Data inputs (reported)'!N28,"")</f>
        <v/>
      </c>
    </row>
    <row xmlns:x14ac="http://schemas.microsoft.com/office/spreadsheetml/2009/9/ac" r="29" x14ac:dyDescent="0.2">
      <c r="A29" s="105" t="str">
        <f>IF(ISTEXT(VLOOKUP('_Data inputs (reported)'!B29,countryname,2,FALSE)),IF(Introduction!$A$2="English",VLOOKUP('_Data inputs (reported)'!B29,countryname,2,FALSE),IF(Introduction!$A$2="French",VLOOKUP('_Data inputs (reported)'!B29,countryname,3,FALSE),IF(Introduction!$A$2="Spanish",VLOOKUP('_Data inputs (reported)'!B29,countryname,4,FALSE),IF(Introduction!$A$2="Russian",VLOOKUP('_Data inputs (reported)'!B29,countryname,5,FALSE),IF(Introduction!$A$2="Arabic",VLOOKUP('_Data inputs (reported)'!B29,countryname,6,FALSE),IF(Introduction!$A$2="Chinese",VLOOKUP('_Data inputs (reported)'!B29,countryname,7,FALSE),IF(Introduction!$A$2="Other",VLOOKUP('_Data inputs (reported)'!B29,countryname,8,FALSE)))))))),"")</f>
        <v/>
      </c>
      <c r="B29" s="1" t="str">
        <f>IF(ISTEXT('_Data inputs (reported)'!B29),'_Data inputs (reported)'!B29,"")</f>
        <v/>
      </c>
      <c r="C29" s="179" t="str">
        <f>IF(ISBLANK('_Data inputs (reported)'!C29),"",'_Data inputs (reported)'!C29)</f>
        <v/>
      </c>
      <c r="D29" s="105" t="str">
        <f>IF(ISTEXT(VLOOKUP('_Data inputs (reported)'!D29,nametranslations,1,FALSE)),IF(Introduction!$A$2="English",VLOOKUP('_Data inputs (reported)'!D29,nametranslations,1,FALSE),IF(Introduction!$A$2="Spanish",VLOOKUP('_Data inputs (reported)'!D29,nametranslations,2,FALSE),IF(Introduction!$A$2="French",VLOOKUP('_Data inputs (reported)'!D29,nametranslations,3,FALSE),IF(Introduction!$A$2="Arabic",VLOOKUP('_Data inputs (reported)'!D29,nametranslations,4,FALSE),IF(Introduction!$A$2="Russian",VLOOKUP('_Data inputs (reported)'!D29,nametranslations,5,FALSE),IF(Introduction!$A$2="Chinese",VLOOKUP('_Data inputs (reported)'!D29,nametranslations,6,FALSE),IF(Introduction!$A$2="Other",VLOOKUP('_Data inputs (reported)'!D29,nametranslations,7,FALSE)))))))),"")</f>
        <v/>
      </c>
      <c r="E29" s="1" t="str">
        <f>IF(ISTEXT('_Data inputs (reported)'!E29),'_Data inputs (reported)'!E29,"")</f>
        <v/>
      </c>
      <c r="F29" s="8" t="str">
        <f>IF(ISNUMBER('_Data inputs (reported)'!F29),'_Data inputs (reported)'!F29,"")</f>
        <v/>
      </c>
      <c r="G29" s="105" t="str">
        <f>IF(ISTEXT(VLOOKUP('_Data inputs (reported)'!G29,nametranslations,1,FALSE)),IF(Introduction!$A$2="English",VLOOKUP('_Data inputs (reported)'!G29,nametranslations,1,FALSE),IF(Introduction!$A$2="Spanish",VLOOKUP('_Data inputs (reported)'!G29,nametranslations,2,FALSE),IF(Introduction!$A$2="French",VLOOKUP('_Data inputs (reported)'!G29,nametranslations,3,FALSE),IF(Introduction!$A$2="Arabic",VLOOKUP('_Data inputs (reported)'!G29,nametranslations,4,FALSE),IF(Introduction!$A$2="Russian",VLOOKUP('_Data inputs (reported)'!G29,nametranslations,5,FALSE),IF(Introduction!$A$2="Chinese",VLOOKUP('_Data inputs (reported)'!G29,nametranslations,6,FALSE),IF(Introduction!$A$2="Other",VLOOKUP('_Data inputs (reported)'!G29,nametranslations,7,FALSE)))))))),"")</f>
        <v/>
      </c>
      <c r="H29" s="1" t="str">
        <f>IF(ISTEXT('_Data inputs (reported)'!H29),'_Data inputs (reported)'!H29,"")</f>
        <v/>
      </c>
      <c r="I29" s="42" t="str">
        <f>IF(ISNUMBER('_Data inputs (reported)'!I29),'_Data inputs (reported)'!I29,"")</f>
        <v/>
      </c>
      <c r="J29" s="1" t="str">
        <f>IF(ISTEXT('_Data inputs (reported)'!J29),'_Data inputs (reported)'!J29,"")</f>
        <v/>
      </c>
      <c r="K29" s="105" t="str">
        <f>IF(ISTEXT('_Data inputs (reported)'!K29),'_Data inputs (reported)'!K29,"")</f>
        <v/>
      </c>
      <c r="L29" s="105" t="str">
        <f>IF(ISTEXT('_Data inputs (reported)'!L29),'_Data inputs (reported)'!L29,"")</f>
        <v/>
      </c>
      <c r="M29" s="1" t="str">
        <f>IF(ISTEXT('_Data inputs (reported)'!M29),'_Data inputs (reported)'!M29,"")</f>
        <v/>
      </c>
      <c r="N29" s="105" t="str">
        <f>IF(ISTEXT('_Data inputs (reported)'!N29),'_Data inputs (reported)'!N29,"")</f>
        <v/>
      </c>
    </row>
    <row xmlns:x14ac="http://schemas.microsoft.com/office/spreadsheetml/2009/9/ac" r="30" x14ac:dyDescent="0.2">
      <c r="A30" s="105" t="str">
        <f>IF(ISTEXT(VLOOKUP('_Data inputs (reported)'!B30,countryname,2,FALSE)),IF(Introduction!$A$2="English",VLOOKUP('_Data inputs (reported)'!B30,countryname,2,FALSE),IF(Introduction!$A$2="French",VLOOKUP('_Data inputs (reported)'!B30,countryname,3,FALSE),IF(Introduction!$A$2="Spanish",VLOOKUP('_Data inputs (reported)'!B30,countryname,4,FALSE),IF(Introduction!$A$2="Russian",VLOOKUP('_Data inputs (reported)'!B30,countryname,5,FALSE),IF(Introduction!$A$2="Arabic",VLOOKUP('_Data inputs (reported)'!B30,countryname,6,FALSE),IF(Introduction!$A$2="Chinese",VLOOKUP('_Data inputs (reported)'!B30,countryname,7,FALSE),IF(Introduction!$A$2="Other",VLOOKUP('_Data inputs (reported)'!B30,countryname,8,FALSE)))))))),"")</f>
        <v/>
      </c>
      <c r="B30" s="1" t="str">
        <f>IF(ISTEXT('_Data inputs (reported)'!B30),'_Data inputs (reported)'!B30,"")</f>
        <v/>
      </c>
      <c r="C30" s="179" t="str">
        <f>IF(ISBLANK('_Data inputs (reported)'!C30),"",'_Data inputs (reported)'!C30)</f>
        <v/>
      </c>
      <c r="D30" s="105" t="str">
        <f>IF(ISTEXT(VLOOKUP('_Data inputs (reported)'!D30,nametranslations,1,FALSE)),IF(Introduction!$A$2="English",VLOOKUP('_Data inputs (reported)'!D30,nametranslations,1,FALSE),IF(Introduction!$A$2="Spanish",VLOOKUP('_Data inputs (reported)'!D30,nametranslations,2,FALSE),IF(Introduction!$A$2="French",VLOOKUP('_Data inputs (reported)'!D30,nametranslations,3,FALSE),IF(Introduction!$A$2="Arabic",VLOOKUP('_Data inputs (reported)'!D30,nametranslations,4,FALSE),IF(Introduction!$A$2="Russian",VLOOKUP('_Data inputs (reported)'!D30,nametranslations,5,FALSE),IF(Introduction!$A$2="Chinese",VLOOKUP('_Data inputs (reported)'!D30,nametranslations,6,FALSE),IF(Introduction!$A$2="Other",VLOOKUP('_Data inputs (reported)'!D30,nametranslations,7,FALSE)))))))),"")</f>
        <v/>
      </c>
      <c r="E30" s="1" t="str">
        <f>IF(ISTEXT('_Data inputs (reported)'!E30),'_Data inputs (reported)'!E30,"")</f>
        <v/>
      </c>
      <c r="F30" s="8" t="str">
        <f>IF(ISNUMBER('_Data inputs (reported)'!F30),'_Data inputs (reported)'!F30,"")</f>
        <v/>
      </c>
      <c r="G30" s="105" t="str">
        <f>IF(ISTEXT(VLOOKUP('_Data inputs (reported)'!G30,nametranslations,1,FALSE)),IF(Introduction!$A$2="English",VLOOKUP('_Data inputs (reported)'!G30,nametranslations,1,FALSE),IF(Introduction!$A$2="Spanish",VLOOKUP('_Data inputs (reported)'!G30,nametranslations,2,FALSE),IF(Introduction!$A$2="French",VLOOKUP('_Data inputs (reported)'!G30,nametranslations,3,FALSE),IF(Introduction!$A$2="Arabic",VLOOKUP('_Data inputs (reported)'!G30,nametranslations,4,FALSE),IF(Introduction!$A$2="Russian",VLOOKUP('_Data inputs (reported)'!G30,nametranslations,5,FALSE),IF(Introduction!$A$2="Chinese",VLOOKUP('_Data inputs (reported)'!G30,nametranslations,6,FALSE),IF(Introduction!$A$2="Other",VLOOKUP('_Data inputs (reported)'!G30,nametranslations,7,FALSE)))))))),"")</f>
        <v/>
      </c>
      <c r="H30" s="1" t="str">
        <f>IF(ISTEXT('_Data inputs (reported)'!H30),'_Data inputs (reported)'!H30,"")</f>
        <v/>
      </c>
      <c r="I30" s="42" t="str">
        <f>IF(ISNUMBER('_Data inputs (reported)'!I30),'_Data inputs (reported)'!I30,"")</f>
        <v/>
      </c>
      <c r="J30" s="1" t="str">
        <f>IF(ISTEXT('_Data inputs (reported)'!J30),'_Data inputs (reported)'!J30,"")</f>
        <v/>
      </c>
      <c r="K30" s="105" t="str">
        <f>IF(ISTEXT('_Data inputs (reported)'!K30),'_Data inputs (reported)'!K30,"")</f>
        <v/>
      </c>
      <c r="L30" s="105" t="str">
        <f>IF(ISTEXT('_Data inputs (reported)'!L30),'_Data inputs (reported)'!L30,"")</f>
        <v/>
      </c>
      <c r="M30" s="1" t="str">
        <f>IF(ISTEXT('_Data inputs (reported)'!M30),'_Data inputs (reported)'!M30,"")</f>
        <v/>
      </c>
      <c r="N30" s="105" t="str">
        <f>IF(ISTEXT('_Data inputs (reported)'!N30),'_Data inputs (reported)'!N30,"")</f>
        <v/>
      </c>
    </row>
    <row xmlns:x14ac="http://schemas.microsoft.com/office/spreadsheetml/2009/9/ac" r="31" x14ac:dyDescent="0.2">
      <c r="A31" s="105" t="str">
        <f>IF(ISTEXT(VLOOKUP('_Data inputs (reported)'!B31,countryname,2,FALSE)),IF(Introduction!$A$2="English",VLOOKUP('_Data inputs (reported)'!B31,countryname,2,FALSE),IF(Introduction!$A$2="French",VLOOKUP('_Data inputs (reported)'!B31,countryname,3,FALSE),IF(Introduction!$A$2="Spanish",VLOOKUP('_Data inputs (reported)'!B31,countryname,4,FALSE),IF(Introduction!$A$2="Russian",VLOOKUP('_Data inputs (reported)'!B31,countryname,5,FALSE),IF(Introduction!$A$2="Arabic",VLOOKUP('_Data inputs (reported)'!B31,countryname,6,FALSE),IF(Introduction!$A$2="Chinese",VLOOKUP('_Data inputs (reported)'!B31,countryname,7,FALSE),IF(Introduction!$A$2="Other",VLOOKUP('_Data inputs (reported)'!B31,countryname,8,FALSE)))))))),"")</f>
        <v/>
      </c>
      <c r="B31" s="1" t="str">
        <f>IF(ISTEXT('_Data inputs (reported)'!B31),'_Data inputs (reported)'!B31,"")</f>
        <v/>
      </c>
      <c r="C31" s="179" t="str">
        <f>IF(ISBLANK('_Data inputs (reported)'!C31),"",'_Data inputs (reported)'!C31)</f>
        <v/>
      </c>
      <c r="D31" s="105" t="str">
        <f>IF(ISTEXT(VLOOKUP('_Data inputs (reported)'!D31,nametranslations,1,FALSE)),IF(Introduction!$A$2="English",VLOOKUP('_Data inputs (reported)'!D31,nametranslations,1,FALSE),IF(Introduction!$A$2="Spanish",VLOOKUP('_Data inputs (reported)'!D31,nametranslations,2,FALSE),IF(Introduction!$A$2="French",VLOOKUP('_Data inputs (reported)'!D31,nametranslations,3,FALSE),IF(Introduction!$A$2="Arabic",VLOOKUP('_Data inputs (reported)'!D31,nametranslations,4,FALSE),IF(Introduction!$A$2="Russian",VLOOKUP('_Data inputs (reported)'!D31,nametranslations,5,FALSE),IF(Introduction!$A$2="Chinese",VLOOKUP('_Data inputs (reported)'!D31,nametranslations,6,FALSE),IF(Introduction!$A$2="Other",VLOOKUP('_Data inputs (reported)'!D31,nametranslations,7,FALSE)))))))),"")</f>
        <v/>
      </c>
      <c r="E31" s="1" t="str">
        <f>IF(ISTEXT('_Data inputs (reported)'!E31),'_Data inputs (reported)'!E31,"")</f>
        <v/>
      </c>
      <c r="F31" s="8" t="str">
        <f>IF(ISNUMBER('_Data inputs (reported)'!F31),'_Data inputs (reported)'!F31,"")</f>
        <v/>
      </c>
      <c r="G31" s="105" t="str">
        <f>IF(ISTEXT(VLOOKUP('_Data inputs (reported)'!G31,nametranslations,1,FALSE)),IF(Introduction!$A$2="English",VLOOKUP('_Data inputs (reported)'!G31,nametranslations,1,FALSE),IF(Introduction!$A$2="Spanish",VLOOKUP('_Data inputs (reported)'!G31,nametranslations,2,FALSE),IF(Introduction!$A$2="French",VLOOKUP('_Data inputs (reported)'!G31,nametranslations,3,FALSE),IF(Introduction!$A$2="Arabic",VLOOKUP('_Data inputs (reported)'!G31,nametranslations,4,FALSE),IF(Introduction!$A$2="Russian",VLOOKUP('_Data inputs (reported)'!G31,nametranslations,5,FALSE),IF(Introduction!$A$2="Chinese",VLOOKUP('_Data inputs (reported)'!G31,nametranslations,6,FALSE),IF(Introduction!$A$2="Other",VLOOKUP('_Data inputs (reported)'!G31,nametranslations,7,FALSE)))))))),"")</f>
        <v/>
      </c>
      <c r="H31" s="1" t="str">
        <f>IF(ISTEXT('_Data inputs (reported)'!H31),'_Data inputs (reported)'!H31,"")</f>
        <v/>
      </c>
      <c r="I31" s="42" t="str">
        <f>IF(ISNUMBER('_Data inputs (reported)'!I31),'_Data inputs (reported)'!I31,"")</f>
        <v/>
      </c>
      <c r="J31" s="1" t="str">
        <f>IF(ISTEXT('_Data inputs (reported)'!J31),'_Data inputs (reported)'!J31,"")</f>
        <v/>
      </c>
      <c r="K31" s="105" t="str">
        <f>IF(ISTEXT('_Data inputs (reported)'!K31),'_Data inputs (reported)'!K31,"")</f>
        <v/>
      </c>
      <c r="L31" s="105" t="str">
        <f>IF(ISTEXT('_Data inputs (reported)'!L31),'_Data inputs (reported)'!L31,"")</f>
        <v/>
      </c>
      <c r="M31" s="1" t="str">
        <f>IF(ISTEXT('_Data inputs (reported)'!M31),'_Data inputs (reported)'!M31,"")</f>
        <v/>
      </c>
      <c r="N31" s="105" t="str">
        <f>IF(ISTEXT('_Data inputs (reported)'!N31),'_Data inputs (reported)'!N31,"")</f>
        <v/>
      </c>
    </row>
    <row xmlns:x14ac="http://schemas.microsoft.com/office/spreadsheetml/2009/9/ac" r="32" x14ac:dyDescent="0.2">
      <c r="A32" s="105" t="str">
        <f>IF(ISTEXT(VLOOKUP('_Data inputs (reported)'!B32,countryname,2,FALSE)),IF(Introduction!$A$2="English",VLOOKUP('_Data inputs (reported)'!B32,countryname,2,FALSE),IF(Introduction!$A$2="French",VLOOKUP('_Data inputs (reported)'!B32,countryname,3,FALSE),IF(Introduction!$A$2="Spanish",VLOOKUP('_Data inputs (reported)'!B32,countryname,4,FALSE),IF(Introduction!$A$2="Russian",VLOOKUP('_Data inputs (reported)'!B32,countryname,5,FALSE),IF(Introduction!$A$2="Arabic",VLOOKUP('_Data inputs (reported)'!B32,countryname,6,FALSE),IF(Introduction!$A$2="Chinese",VLOOKUP('_Data inputs (reported)'!B32,countryname,7,FALSE),IF(Introduction!$A$2="Other",VLOOKUP('_Data inputs (reported)'!B32,countryname,8,FALSE)))))))),"")</f>
        <v/>
      </c>
      <c r="B32" s="1" t="str">
        <f>IF(ISTEXT('_Data inputs (reported)'!B32),'_Data inputs (reported)'!B32,"")</f>
        <v/>
      </c>
      <c r="C32" s="179" t="str">
        <f>IF(ISBLANK('_Data inputs (reported)'!C32),"",'_Data inputs (reported)'!C32)</f>
        <v/>
      </c>
      <c r="D32" s="105" t="str">
        <f>IF(ISTEXT(VLOOKUP('_Data inputs (reported)'!D32,nametranslations,1,FALSE)),IF(Introduction!$A$2="English",VLOOKUP('_Data inputs (reported)'!D32,nametranslations,1,FALSE),IF(Introduction!$A$2="Spanish",VLOOKUP('_Data inputs (reported)'!D32,nametranslations,2,FALSE),IF(Introduction!$A$2="French",VLOOKUP('_Data inputs (reported)'!D32,nametranslations,3,FALSE),IF(Introduction!$A$2="Arabic",VLOOKUP('_Data inputs (reported)'!D32,nametranslations,4,FALSE),IF(Introduction!$A$2="Russian",VLOOKUP('_Data inputs (reported)'!D32,nametranslations,5,FALSE),IF(Introduction!$A$2="Chinese",VLOOKUP('_Data inputs (reported)'!D32,nametranslations,6,FALSE),IF(Introduction!$A$2="Other",VLOOKUP('_Data inputs (reported)'!D32,nametranslations,7,FALSE)))))))),"")</f>
        <v/>
      </c>
      <c r="E32" s="1" t="str">
        <f>IF(ISTEXT('_Data inputs (reported)'!E32),'_Data inputs (reported)'!E32,"")</f>
        <v/>
      </c>
      <c r="F32" s="8" t="str">
        <f>IF(ISNUMBER('_Data inputs (reported)'!F32),'_Data inputs (reported)'!F32,"")</f>
        <v/>
      </c>
      <c r="G32" s="105" t="str">
        <f>IF(ISTEXT(VLOOKUP('_Data inputs (reported)'!G32,nametranslations,1,FALSE)),IF(Introduction!$A$2="English",VLOOKUP('_Data inputs (reported)'!G32,nametranslations,1,FALSE),IF(Introduction!$A$2="Spanish",VLOOKUP('_Data inputs (reported)'!G32,nametranslations,2,FALSE),IF(Introduction!$A$2="French",VLOOKUP('_Data inputs (reported)'!G32,nametranslations,3,FALSE),IF(Introduction!$A$2="Arabic",VLOOKUP('_Data inputs (reported)'!G32,nametranslations,4,FALSE),IF(Introduction!$A$2="Russian",VLOOKUP('_Data inputs (reported)'!G32,nametranslations,5,FALSE),IF(Introduction!$A$2="Chinese",VLOOKUP('_Data inputs (reported)'!G32,nametranslations,6,FALSE),IF(Introduction!$A$2="Other",VLOOKUP('_Data inputs (reported)'!G32,nametranslations,7,FALSE)))))))),"")</f>
        <v/>
      </c>
      <c r="H32" s="1" t="str">
        <f>IF(ISTEXT('_Data inputs (reported)'!H32),'_Data inputs (reported)'!H32,"")</f>
        <v/>
      </c>
      <c r="I32" s="42" t="str">
        <f>IF(ISNUMBER('_Data inputs (reported)'!I32),'_Data inputs (reported)'!I32,"")</f>
        <v/>
      </c>
      <c r="J32" s="1" t="str">
        <f>IF(ISTEXT('_Data inputs (reported)'!J32),'_Data inputs (reported)'!J32,"")</f>
        <v/>
      </c>
      <c r="K32" s="105" t="str">
        <f>IF(ISTEXT('_Data inputs (reported)'!K32),'_Data inputs (reported)'!K32,"")</f>
        <v/>
      </c>
      <c r="L32" s="105" t="str">
        <f>IF(ISTEXT('_Data inputs (reported)'!L32),'_Data inputs (reported)'!L32,"")</f>
        <v/>
      </c>
      <c r="M32" s="1" t="str">
        <f>IF(ISTEXT('_Data inputs (reported)'!M32),'_Data inputs (reported)'!M32,"")</f>
        <v/>
      </c>
      <c r="N32" s="105" t="str">
        <f>IF(ISTEXT('_Data inputs (reported)'!N32),'_Data inputs (reported)'!N32,"")</f>
        <v/>
      </c>
    </row>
    <row xmlns:x14ac="http://schemas.microsoft.com/office/spreadsheetml/2009/9/ac" r="33" x14ac:dyDescent="0.2">
      <c r="A33" s="105" t="str">
        <f>IF(ISTEXT(VLOOKUP('_Data inputs (reported)'!B33,countryname,2,FALSE)),IF(Introduction!$A$2="English",VLOOKUP('_Data inputs (reported)'!B33,countryname,2,FALSE),IF(Introduction!$A$2="French",VLOOKUP('_Data inputs (reported)'!B33,countryname,3,FALSE),IF(Introduction!$A$2="Spanish",VLOOKUP('_Data inputs (reported)'!B33,countryname,4,FALSE),IF(Introduction!$A$2="Russian",VLOOKUP('_Data inputs (reported)'!B33,countryname,5,FALSE),IF(Introduction!$A$2="Arabic",VLOOKUP('_Data inputs (reported)'!B33,countryname,6,FALSE),IF(Introduction!$A$2="Chinese",VLOOKUP('_Data inputs (reported)'!B33,countryname,7,FALSE),IF(Introduction!$A$2="Other",VLOOKUP('_Data inputs (reported)'!B33,countryname,8,FALSE)))))))),"")</f>
        <v/>
      </c>
      <c r="B33" s="1" t="str">
        <f>IF(ISTEXT('_Data inputs (reported)'!B33),'_Data inputs (reported)'!B33,"")</f>
        <v/>
      </c>
      <c r="C33" s="179" t="str">
        <f>IF(ISBLANK('_Data inputs (reported)'!C33),"",'_Data inputs (reported)'!C33)</f>
        <v/>
      </c>
      <c r="D33" s="105" t="str">
        <f>IF(ISTEXT(VLOOKUP('_Data inputs (reported)'!D33,nametranslations,1,FALSE)),IF(Introduction!$A$2="English",VLOOKUP('_Data inputs (reported)'!D33,nametranslations,1,FALSE),IF(Introduction!$A$2="Spanish",VLOOKUP('_Data inputs (reported)'!D33,nametranslations,2,FALSE),IF(Introduction!$A$2="French",VLOOKUP('_Data inputs (reported)'!D33,nametranslations,3,FALSE),IF(Introduction!$A$2="Arabic",VLOOKUP('_Data inputs (reported)'!D33,nametranslations,4,FALSE),IF(Introduction!$A$2="Russian",VLOOKUP('_Data inputs (reported)'!D33,nametranslations,5,FALSE),IF(Introduction!$A$2="Chinese",VLOOKUP('_Data inputs (reported)'!D33,nametranslations,6,FALSE),IF(Introduction!$A$2="Other",VLOOKUP('_Data inputs (reported)'!D33,nametranslations,7,FALSE)))))))),"")</f>
        <v/>
      </c>
      <c r="E33" s="1" t="str">
        <f>IF(ISTEXT('_Data inputs (reported)'!E33),'_Data inputs (reported)'!E33,"")</f>
        <v/>
      </c>
      <c r="F33" s="8" t="str">
        <f>IF(ISNUMBER('_Data inputs (reported)'!F33),'_Data inputs (reported)'!F33,"")</f>
        <v/>
      </c>
      <c r="G33" s="105" t="str">
        <f>IF(ISTEXT(VLOOKUP('_Data inputs (reported)'!G33,nametranslations,1,FALSE)),IF(Introduction!$A$2="English",VLOOKUP('_Data inputs (reported)'!G33,nametranslations,1,FALSE),IF(Introduction!$A$2="Spanish",VLOOKUP('_Data inputs (reported)'!G33,nametranslations,2,FALSE),IF(Introduction!$A$2="French",VLOOKUP('_Data inputs (reported)'!G33,nametranslations,3,FALSE),IF(Introduction!$A$2="Arabic",VLOOKUP('_Data inputs (reported)'!G33,nametranslations,4,FALSE),IF(Introduction!$A$2="Russian",VLOOKUP('_Data inputs (reported)'!G33,nametranslations,5,FALSE),IF(Introduction!$A$2="Chinese",VLOOKUP('_Data inputs (reported)'!G33,nametranslations,6,FALSE),IF(Introduction!$A$2="Other",VLOOKUP('_Data inputs (reported)'!G33,nametranslations,7,FALSE)))))))),"")</f>
        <v/>
      </c>
      <c r="H33" s="1" t="str">
        <f>IF(ISTEXT('_Data inputs (reported)'!H33),'_Data inputs (reported)'!H33,"")</f>
        <v/>
      </c>
      <c r="I33" s="42" t="str">
        <f>IF(ISNUMBER('_Data inputs (reported)'!I33),'_Data inputs (reported)'!I33,"")</f>
        <v/>
      </c>
      <c r="J33" s="1" t="str">
        <f>IF(ISTEXT('_Data inputs (reported)'!J33),'_Data inputs (reported)'!J33,"")</f>
        <v/>
      </c>
      <c r="K33" s="105" t="str">
        <f>IF(ISTEXT('_Data inputs (reported)'!K33),'_Data inputs (reported)'!K33,"")</f>
        <v/>
      </c>
      <c r="L33" s="105" t="str">
        <f>IF(ISTEXT('_Data inputs (reported)'!L33),'_Data inputs (reported)'!L33,"")</f>
        <v/>
      </c>
      <c r="M33" s="1" t="str">
        <f>IF(ISTEXT('_Data inputs (reported)'!M33),'_Data inputs (reported)'!M33,"")</f>
        <v/>
      </c>
      <c r="N33" s="105" t="str">
        <f>IF(ISTEXT('_Data inputs (reported)'!N33),'_Data inputs (reported)'!N33,"")</f>
        <v/>
      </c>
    </row>
    <row xmlns:x14ac="http://schemas.microsoft.com/office/spreadsheetml/2009/9/ac" r="34" x14ac:dyDescent="0.2">
      <c r="A34" s="105" t="str">
        <f>IF(ISTEXT(VLOOKUP('_Data inputs (reported)'!B34,countryname,2,FALSE)),IF(Introduction!$A$2="English",VLOOKUP('_Data inputs (reported)'!B34,countryname,2,FALSE),IF(Introduction!$A$2="French",VLOOKUP('_Data inputs (reported)'!B34,countryname,3,FALSE),IF(Introduction!$A$2="Spanish",VLOOKUP('_Data inputs (reported)'!B34,countryname,4,FALSE),IF(Introduction!$A$2="Russian",VLOOKUP('_Data inputs (reported)'!B34,countryname,5,FALSE),IF(Introduction!$A$2="Arabic",VLOOKUP('_Data inputs (reported)'!B34,countryname,6,FALSE),IF(Introduction!$A$2="Chinese",VLOOKUP('_Data inputs (reported)'!B34,countryname,7,FALSE),IF(Introduction!$A$2="Other",VLOOKUP('_Data inputs (reported)'!B34,countryname,8,FALSE)))))))),"")</f>
        <v/>
      </c>
      <c r="B34" s="1" t="str">
        <f>IF(ISTEXT('_Data inputs (reported)'!B34),'_Data inputs (reported)'!B34,"")</f>
        <v/>
      </c>
      <c r="C34" s="179" t="str">
        <f>IF(ISBLANK('_Data inputs (reported)'!C34),"",'_Data inputs (reported)'!C34)</f>
        <v/>
      </c>
      <c r="D34" s="105" t="str">
        <f>IF(ISTEXT(VLOOKUP('_Data inputs (reported)'!D34,nametranslations,1,FALSE)),IF(Introduction!$A$2="English",VLOOKUP('_Data inputs (reported)'!D34,nametranslations,1,FALSE),IF(Introduction!$A$2="Spanish",VLOOKUP('_Data inputs (reported)'!D34,nametranslations,2,FALSE),IF(Introduction!$A$2="French",VLOOKUP('_Data inputs (reported)'!D34,nametranslations,3,FALSE),IF(Introduction!$A$2="Arabic",VLOOKUP('_Data inputs (reported)'!D34,nametranslations,4,FALSE),IF(Introduction!$A$2="Russian",VLOOKUP('_Data inputs (reported)'!D34,nametranslations,5,FALSE),IF(Introduction!$A$2="Chinese",VLOOKUP('_Data inputs (reported)'!D34,nametranslations,6,FALSE),IF(Introduction!$A$2="Other",VLOOKUP('_Data inputs (reported)'!D34,nametranslations,7,FALSE)))))))),"")</f>
        <v/>
      </c>
      <c r="E34" s="1" t="str">
        <f>IF(ISTEXT('_Data inputs (reported)'!E34),'_Data inputs (reported)'!E34,"")</f>
        <v/>
      </c>
      <c r="F34" s="8" t="str">
        <f>IF(ISNUMBER('_Data inputs (reported)'!F34),'_Data inputs (reported)'!F34,"")</f>
        <v/>
      </c>
      <c r="G34" s="105" t="str">
        <f>IF(ISTEXT(VLOOKUP('_Data inputs (reported)'!G34,nametranslations,1,FALSE)),IF(Introduction!$A$2="English",VLOOKUP('_Data inputs (reported)'!G34,nametranslations,1,FALSE),IF(Introduction!$A$2="Spanish",VLOOKUP('_Data inputs (reported)'!G34,nametranslations,2,FALSE),IF(Introduction!$A$2="French",VLOOKUP('_Data inputs (reported)'!G34,nametranslations,3,FALSE),IF(Introduction!$A$2="Arabic",VLOOKUP('_Data inputs (reported)'!G34,nametranslations,4,FALSE),IF(Introduction!$A$2="Russian",VLOOKUP('_Data inputs (reported)'!G34,nametranslations,5,FALSE),IF(Introduction!$A$2="Chinese",VLOOKUP('_Data inputs (reported)'!G34,nametranslations,6,FALSE),IF(Introduction!$A$2="Other",VLOOKUP('_Data inputs (reported)'!G34,nametranslations,7,FALSE)))))))),"")</f>
        <v/>
      </c>
      <c r="H34" s="1" t="str">
        <f>IF(ISTEXT('_Data inputs (reported)'!H34),'_Data inputs (reported)'!H34,"")</f>
        <v/>
      </c>
      <c r="I34" s="42" t="str">
        <f>IF(ISNUMBER('_Data inputs (reported)'!I34),'_Data inputs (reported)'!I34,"")</f>
        <v/>
      </c>
      <c r="J34" s="1" t="str">
        <f>IF(ISTEXT('_Data inputs (reported)'!J34),'_Data inputs (reported)'!J34,"")</f>
        <v/>
      </c>
      <c r="K34" s="105" t="str">
        <f>IF(ISTEXT('_Data inputs (reported)'!K34),'_Data inputs (reported)'!K34,"")</f>
        <v/>
      </c>
      <c r="L34" s="105" t="str">
        <f>IF(ISTEXT('_Data inputs (reported)'!L34),'_Data inputs (reported)'!L34,"")</f>
        <v/>
      </c>
      <c r="M34" s="1" t="str">
        <f>IF(ISTEXT('_Data inputs (reported)'!M34),'_Data inputs (reported)'!M34,"")</f>
        <v/>
      </c>
      <c r="N34" s="105" t="str">
        <f>IF(ISTEXT('_Data inputs (reported)'!N34),'_Data inputs (reported)'!N34,"")</f>
        <v/>
      </c>
    </row>
    <row xmlns:x14ac="http://schemas.microsoft.com/office/spreadsheetml/2009/9/ac" r="35" x14ac:dyDescent="0.2">
      <c r="A35" s="105" t="str">
        <f>IF(ISTEXT(VLOOKUP('_Data inputs (reported)'!B35,countryname,2,FALSE)),IF(Introduction!$A$2="English",VLOOKUP('_Data inputs (reported)'!B35,countryname,2,FALSE),IF(Introduction!$A$2="French",VLOOKUP('_Data inputs (reported)'!B35,countryname,3,FALSE),IF(Introduction!$A$2="Spanish",VLOOKUP('_Data inputs (reported)'!B35,countryname,4,FALSE),IF(Introduction!$A$2="Russian",VLOOKUP('_Data inputs (reported)'!B35,countryname,5,FALSE),IF(Introduction!$A$2="Arabic",VLOOKUP('_Data inputs (reported)'!B35,countryname,6,FALSE),IF(Introduction!$A$2="Chinese",VLOOKUP('_Data inputs (reported)'!B35,countryname,7,FALSE),IF(Introduction!$A$2="Other",VLOOKUP('_Data inputs (reported)'!B35,countryname,8,FALSE)))))))),"")</f>
        <v/>
      </c>
      <c r="B35" s="1" t="str">
        <f>IF(ISTEXT('_Data inputs (reported)'!B35),'_Data inputs (reported)'!B35,"")</f>
        <v/>
      </c>
      <c r="C35" s="179" t="str">
        <f>IF(ISBLANK('_Data inputs (reported)'!C35),"",'_Data inputs (reported)'!C35)</f>
        <v/>
      </c>
      <c r="D35" s="105" t="str">
        <f>IF(ISTEXT(VLOOKUP('_Data inputs (reported)'!D35,nametranslations,1,FALSE)),IF(Introduction!$A$2="English",VLOOKUP('_Data inputs (reported)'!D35,nametranslations,1,FALSE),IF(Introduction!$A$2="Spanish",VLOOKUP('_Data inputs (reported)'!D35,nametranslations,2,FALSE),IF(Introduction!$A$2="French",VLOOKUP('_Data inputs (reported)'!D35,nametranslations,3,FALSE),IF(Introduction!$A$2="Arabic",VLOOKUP('_Data inputs (reported)'!D35,nametranslations,4,FALSE),IF(Introduction!$A$2="Russian",VLOOKUP('_Data inputs (reported)'!D35,nametranslations,5,FALSE),IF(Introduction!$A$2="Chinese",VLOOKUP('_Data inputs (reported)'!D35,nametranslations,6,FALSE),IF(Introduction!$A$2="Other",VLOOKUP('_Data inputs (reported)'!D35,nametranslations,7,FALSE)))))))),"")</f>
        <v/>
      </c>
      <c r="E35" s="1" t="str">
        <f>IF(ISTEXT('_Data inputs (reported)'!E35),'_Data inputs (reported)'!E35,"")</f>
        <v/>
      </c>
      <c r="F35" s="8" t="str">
        <f>IF(ISNUMBER('_Data inputs (reported)'!F35),'_Data inputs (reported)'!F35,"")</f>
        <v/>
      </c>
      <c r="G35" s="105" t="str">
        <f>IF(ISTEXT(VLOOKUP('_Data inputs (reported)'!G35,nametranslations,1,FALSE)),IF(Introduction!$A$2="English",VLOOKUP('_Data inputs (reported)'!G35,nametranslations,1,FALSE),IF(Introduction!$A$2="Spanish",VLOOKUP('_Data inputs (reported)'!G35,nametranslations,2,FALSE),IF(Introduction!$A$2="French",VLOOKUP('_Data inputs (reported)'!G35,nametranslations,3,FALSE),IF(Introduction!$A$2="Arabic",VLOOKUP('_Data inputs (reported)'!G35,nametranslations,4,FALSE),IF(Introduction!$A$2="Russian",VLOOKUP('_Data inputs (reported)'!G35,nametranslations,5,FALSE),IF(Introduction!$A$2="Chinese",VLOOKUP('_Data inputs (reported)'!G35,nametranslations,6,FALSE),IF(Introduction!$A$2="Other",VLOOKUP('_Data inputs (reported)'!G35,nametranslations,7,FALSE)))))))),"")</f>
        <v/>
      </c>
      <c r="H35" s="1" t="str">
        <f>IF(ISTEXT('_Data inputs (reported)'!H35),'_Data inputs (reported)'!H35,"")</f>
        <v/>
      </c>
      <c r="I35" s="42" t="str">
        <f>IF(ISNUMBER('_Data inputs (reported)'!I35),'_Data inputs (reported)'!I35,"")</f>
        <v/>
      </c>
      <c r="J35" s="1" t="str">
        <f>IF(ISTEXT('_Data inputs (reported)'!J35),'_Data inputs (reported)'!J35,"")</f>
        <v/>
      </c>
      <c r="K35" s="105" t="str">
        <f>IF(ISTEXT('_Data inputs (reported)'!K35),'_Data inputs (reported)'!K35,"")</f>
        <v/>
      </c>
      <c r="L35" s="105" t="str">
        <f>IF(ISTEXT('_Data inputs (reported)'!L35),'_Data inputs (reported)'!L35,"")</f>
        <v/>
      </c>
      <c r="M35" s="1" t="str">
        <f>IF(ISTEXT('_Data inputs (reported)'!M35),'_Data inputs (reported)'!M35,"")</f>
        <v/>
      </c>
      <c r="N35" s="105" t="str">
        <f>IF(ISTEXT('_Data inputs (reported)'!N35),'_Data inputs (reported)'!N35,"")</f>
        <v/>
      </c>
    </row>
    <row xmlns:x14ac="http://schemas.microsoft.com/office/spreadsheetml/2009/9/ac" r="36" x14ac:dyDescent="0.2">
      <c r="A36" s="105" t="str">
        <f>IF(ISTEXT(VLOOKUP('_Data inputs (reported)'!B36,countryname,2,FALSE)),IF(Introduction!$A$2="English",VLOOKUP('_Data inputs (reported)'!B36,countryname,2,FALSE),IF(Introduction!$A$2="French",VLOOKUP('_Data inputs (reported)'!B36,countryname,3,FALSE),IF(Introduction!$A$2="Spanish",VLOOKUP('_Data inputs (reported)'!B36,countryname,4,FALSE),IF(Introduction!$A$2="Russian",VLOOKUP('_Data inputs (reported)'!B36,countryname,5,FALSE),IF(Introduction!$A$2="Arabic",VLOOKUP('_Data inputs (reported)'!B36,countryname,6,FALSE),IF(Introduction!$A$2="Chinese",VLOOKUP('_Data inputs (reported)'!B36,countryname,7,FALSE),IF(Introduction!$A$2="Other",VLOOKUP('_Data inputs (reported)'!B36,countryname,8,FALSE)))))))),"")</f>
        <v/>
      </c>
      <c r="B36" s="1" t="str">
        <f>IF(ISTEXT('_Data inputs (reported)'!B36),'_Data inputs (reported)'!B36,"")</f>
        <v/>
      </c>
      <c r="C36" s="179" t="str">
        <f>IF(ISBLANK('_Data inputs (reported)'!C36),"",'_Data inputs (reported)'!C36)</f>
        <v/>
      </c>
      <c r="D36" s="105" t="str">
        <f>IF(ISTEXT(VLOOKUP('_Data inputs (reported)'!D36,nametranslations,1,FALSE)),IF(Introduction!$A$2="English",VLOOKUP('_Data inputs (reported)'!D36,nametranslations,1,FALSE),IF(Introduction!$A$2="Spanish",VLOOKUP('_Data inputs (reported)'!D36,nametranslations,2,FALSE),IF(Introduction!$A$2="French",VLOOKUP('_Data inputs (reported)'!D36,nametranslations,3,FALSE),IF(Introduction!$A$2="Arabic",VLOOKUP('_Data inputs (reported)'!D36,nametranslations,4,FALSE),IF(Introduction!$A$2="Russian",VLOOKUP('_Data inputs (reported)'!D36,nametranslations,5,FALSE),IF(Introduction!$A$2="Chinese",VLOOKUP('_Data inputs (reported)'!D36,nametranslations,6,FALSE),IF(Introduction!$A$2="Other",VLOOKUP('_Data inputs (reported)'!D36,nametranslations,7,FALSE)))))))),"")</f>
        <v/>
      </c>
      <c r="E36" s="1" t="str">
        <f>IF(ISTEXT('_Data inputs (reported)'!E36),'_Data inputs (reported)'!E36,"")</f>
        <v/>
      </c>
      <c r="F36" s="8" t="str">
        <f>IF(ISNUMBER('_Data inputs (reported)'!F36),'_Data inputs (reported)'!F36,"")</f>
        <v/>
      </c>
      <c r="G36" s="105" t="str">
        <f>IF(ISTEXT(VLOOKUP('_Data inputs (reported)'!G36,nametranslations,1,FALSE)),IF(Introduction!$A$2="English",VLOOKUP('_Data inputs (reported)'!G36,nametranslations,1,FALSE),IF(Introduction!$A$2="Spanish",VLOOKUP('_Data inputs (reported)'!G36,nametranslations,2,FALSE),IF(Introduction!$A$2="French",VLOOKUP('_Data inputs (reported)'!G36,nametranslations,3,FALSE),IF(Introduction!$A$2="Arabic",VLOOKUP('_Data inputs (reported)'!G36,nametranslations,4,FALSE),IF(Introduction!$A$2="Russian",VLOOKUP('_Data inputs (reported)'!G36,nametranslations,5,FALSE),IF(Introduction!$A$2="Chinese",VLOOKUP('_Data inputs (reported)'!G36,nametranslations,6,FALSE),IF(Introduction!$A$2="Other",VLOOKUP('_Data inputs (reported)'!G36,nametranslations,7,FALSE)))))))),"")</f>
        <v/>
      </c>
      <c r="H36" s="1" t="str">
        <f>IF(ISTEXT('_Data inputs (reported)'!H36),'_Data inputs (reported)'!H36,"")</f>
        <v/>
      </c>
      <c r="I36" s="42" t="str">
        <f>IF(ISNUMBER('_Data inputs (reported)'!I36),'_Data inputs (reported)'!I36,"")</f>
        <v/>
      </c>
      <c r="J36" s="1" t="str">
        <f>IF(ISTEXT('_Data inputs (reported)'!J36),'_Data inputs (reported)'!J36,"")</f>
        <v/>
      </c>
      <c r="K36" s="105" t="str">
        <f>IF(ISTEXT('_Data inputs (reported)'!K36),'_Data inputs (reported)'!K36,"")</f>
        <v/>
      </c>
      <c r="L36" s="105" t="str">
        <f>IF(ISTEXT('_Data inputs (reported)'!L36),'_Data inputs (reported)'!L36,"")</f>
        <v/>
      </c>
      <c r="M36" s="1" t="str">
        <f>IF(ISTEXT('_Data inputs (reported)'!M36),'_Data inputs (reported)'!M36,"")</f>
        <v/>
      </c>
      <c r="N36" s="105" t="str">
        <f>IF(ISTEXT('_Data inputs (reported)'!N36),'_Data inputs (reported)'!N36,"")</f>
        <v/>
      </c>
    </row>
    <row xmlns:x14ac="http://schemas.microsoft.com/office/spreadsheetml/2009/9/ac" r="37" x14ac:dyDescent="0.2">
      <c r="A37" s="105" t="str">
        <f>IF(ISTEXT(VLOOKUP('_Data inputs (reported)'!B37,countryname,2,FALSE)),IF(Introduction!$A$2="English",VLOOKUP('_Data inputs (reported)'!B37,countryname,2,FALSE),IF(Introduction!$A$2="French",VLOOKUP('_Data inputs (reported)'!B37,countryname,3,FALSE),IF(Introduction!$A$2="Spanish",VLOOKUP('_Data inputs (reported)'!B37,countryname,4,FALSE),IF(Introduction!$A$2="Russian",VLOOKUP('_Data inputs (reported)'!B37,countryname,5,FALSE),IF(Introduction!$A$2="Arabic",VLOOKUP('_Data inputs (reported)'!B37,countryname,6,FALSE),IF(Introduction!$A$2="Chinese",VLOOKUP('_Data inputs (reported)'!B37,countryname,7,FALSE),IF(Introduction!$A$2="Other",VLOOKUP('_Data inputs (reported)'!B37,countryname,8,FALSE)))))))),"")</f>
        <v/>
      </c>
      <c r="B37" s="1" t="str">
        <f>IF(ISTEXT('_Data inputs (reported)'!B37),'_Data inputs (reported)'!B37,"")</f>
        <v/>
      </c>
      <c r="C37" s="179" t="str">
        <f>IF(ISBLANK('_Data inputs (reported)'!C37),"",'_Data inputs (reported)'!C37)</f>
        <v/>
      </c>
      <c r="D37" s="105" t="str">
        <f>IF(ISTEXT(VLOOKUP('_Data inputs (reported)'!D37,nametranslations,1,FALSE)),IF(Introduction!$A$2="English",VLOOKUP('_Data inputs (reported)'!D37,nametranslations,1,FALSE),IF(Introduction!$A$2="Spanish",VLOOKUP('_Data inputs (reported)'!D37,nametranslations,2,FALSE),IF(Introduction!$A$2="French",VLOOKUP('_Data inputs (reported)'!D37,nametranslations,3,FALSE),IF(Introduction!$A$2="Arabic",VLOOKUP('_Data inputs (reported)'!D37,nametranslations,4,FALSE),IF(Introduction!$A$2="Russian",VLOOKUP('_Data inputs (reported)'!D37,nametranslations,5,FALSE),IF(Introduction!$A$2="Chinese",VLOOKUP('_Data inputs (reported)'!D37,nametranslations,6,FALSE),IF(Introduction!$A$2="Other",VLOOKUP('_Data inputs (reported)'!D37,nametranslations,7,FALSE)))))))),"")</f>
        <v/>
      </c>
      <c r="E37" s="1" t="str">
        <f>IF(ISTEXT('_Data inputs (reported)'!E37),'_Data inputs (reported)'!E37,"")</f>
        <v/>
      </c>
      <c r="F37" s="8" t="str">
        <f>IF(ISNUMBER('_Data inputs (reported)'!F37),'_Data inputs (reported)'!F37,"")</f>
        <v/>
      </c>
      <c r="G37" s="105" t="str">
        <f>IF(ISTEXT(VLOOKUP('_Data inputs (reported)'!G37,nametranslations,1,FALSE)),IF(Introduction!$A$2="English",VLOOKUP('_Data inputs (reported)'!G37,nametranslations,1,FALSE),IF(Introduction!$A$2="Spanish",VLOOKUP('_Data inputs (reported)'!G37,nametranslations,2,FALSE),IF(Introduction!$A$2="French",VLOOKUP('_Data inputs (reported)'!G37,nametranslations,3,FALSE),IF(Introduction!$A$2="Arabic",VLOOKUP('_Data inputs (reported)'!G37,nametranslations,4,FALSE),IF(Introduction!$A$2="Russian",VLOOKUP('_Data inputs (reported)'!G37,nametranslations,5,FALSE),IF(Introduction!$A$2="Chinese",VLOOKUP('_Data inputs (reported)'!G37,nametranslations,6,FALSE),IF(Introduction!$A$2="Other",VLOOKUP('_Data inputs (reported)'!G37,nametranslations,7,FALSE)))))))),"")</f>
        <v/>
      </c>
      <c r="H37" s="1" t="str">
        <f>IF(ISTEXT('_Data inputs (reported)'!H37),'_Data inputs (reported)'!H37,"")</f>
        <v/>
      </c>
      <c r="I37" s="42" t="str">
        <f>IF(ISNUMBER('_Data inputs (reported)'!I37),'_Data inputs (reported)'!I37,"")</f>
        <v/>
      </c>
      <c r="J37" s="1" t="str">
        <f>IF(ISTEXT('_Data inputs (reported)'!J37),'_Data inputs (reported)'!J37,"")</f>
        <v/>
      </c>
      <c r="K37" s="105" t="str">
        <f>IF(ISTEXT('_Data inputs (reported)'!K37),'_Data inputs (reported)'!K37,"")</f>
        <v/>
      </c>
      <c r="L37" s="105" t="str">
        <f>IF(ISTEXT('_Data inputs (reported)'!L37),'_Data inputs (reported)'!L37,"")</f>
        <v/>
      </c>
      <c r="M37" s="1" t="str">
        <f>IF(ISTEXT('_Data inputs (reported)'!M37),'_Data inputs (reported)'!M37,"")</f>
        <v/>
      </c>
      <c r="N37" s="105" t="str">
        <f>IF(ISTEXT('_Data inputs (reported)'!N37),'_Data inputs (reported)'!N37,"")</f>
        <v/>
      </c>
    </row>
    <row xmlns:x14ac="http://schemas.microsoft.com/office/spreadsheetml/2009/9/ac" r="38" x14ac:dyDescent="0.2">
      <c r="A38" s="105" t="str">
        <f>IF(ISTEXT(VLOOKUP('_Data inputs (reported)'!B38,countryname,2,FALSE)),IF(Introduction!$A$2="English",VLOOKUP('_Data inputs (reported)'!B38,countryname,2,FALSE),IF(Introduction!$A$2="French",VLOOKUP('_Data inputs (reported)'!B38,countryname,3,FALSE),IF(Introduction!$A$2="Spanish",VLOOKUP('_Data inputs (reported)'!B38,countryname,4,FALSE),IF(Introduction!$A$2="Russian",VLOOKUP('_Data inputs (reported)'!B38,countryname,5,FALSE),IF(Introduction!$A$2="Arabic",VLOOKUP('_Data inputs (reported)'!B38,countryname,6,FALSE),IF(Introduction!$A$2="Chinese",VLOOKUP('_Data inputs (reported)'!B38,countryname,7,FALSE),IF(Introduction!$A$2="Other",VLOOKUP('_Data inputs (reported)'!B38,countryname,8,FALSE)))))))),"")</f>
        <v/>
      </c>
      <c r="B38" s="1" t="str">
        <f>IF(ISTEXT('_Data inputs (reported)'!B38),'_Data inputs (reported)'!B38,"")</f>
        <v/>
      </c>
      <c r="C38" s="179" t="str">
        <f>IF(ISBLANK('_Data inputs (reported)'!C38),"",'_Data inputs (reported)'!C38)</f>
        <v/>
      </c>
      <c r="D38" s="105" t="str">
        <f>IF(ISTEXT(VLOOKUP('_Data inputs (reported)'!D38,nametranslations,1,FALSE)),IF(Introduction!$A$2="English",VLOOKUP('_Data inputs (reported)'!D38,nametranslations,1,FALSE),IF(Introduction!$A$2="Spanish",VLOOKUP('_Data inputs (reported)'!D38,nametranslations,2,FALSE),IF(Introduction!$A$2="French",VLOOKUP('_Data inputs (reported)'!D38,nametranslations,3,FALSE),IF(Introduction!$A$2="Arabic",VLOOKUP('_Data inputs (reported)'!D38,nametranslations,4,FALSE),IF(Introduction!$A$2="Russian",VLOOKUP('_Data inputs (reported)'!D38,nametranslations,5,FALSE),IF(Introduction!$A$2="Chinese",VLOOKUP('_Data inputs (reported)'!D38,nametranslations,6,FALSE),IF(Introduction!$A$2="Other",VLOOKUP('_Data inputs (reported)'!D38,nametranslations,7,FALSE)))))))),"")</f>
        <v/>
      </c>
      <c r="E38" s="1" t="str">
        <f>IF(ISTEXT('_Data inputs (reported)'!E38),'_Data inputs (reported)'!E38,"")</f>
        <v/>
      </c>
      <c r="F38" s="8" t="str">
        <f>IF(ISNUMBER('_Data inputs (reported)'!F38),'_Data inputs (reported)'!F38,"")</f>
        <v/>
      </c>
      <c r="G38" s="105" t="str">
        <f>IF(ISTEXT(VLOOKUP('_Data inputs (reported)'!G38,nametranslations,1,FALSE)),IF(Introduction!$A$2="English",VLOOKUP('_Data inputs (reported)'!G38,nametranslations,1,FALSE),IF(Introduction!$A$2="Spanish",VLOOKUP('_Data inputs (reported)'!G38,nametranslations,2,FALSE),IF(Introduction!$A$2="French",VLOOKUP('_Data inputs (reported)'!G38,nametranslations,3,FALSE),IF(Introduction!$A$2="Arabic",VLOOKUP('_Data inputs (reported)'!G38,nametranslations,4,FALSE),IF(Introduction!$A$2="Russian",VLOOKUP('_Data inputs (reported)'!G38,nametranslations,5,FALSE),IF(Introduction!$A$2="Chinese",VLOOKUP('_Data inputs (reported)'!G38,nametranslations,6,FALSE),IF(Introduction!$A$2="Other",VLOOKUP('_Data inputs (reported)'!G38,nametranslations,7,FALSE)))))))),"")</f>
        <v/>
      </c>
      <c r="H38" s="1" t="str">
        <f>IF(ISTEXT('_Data inputs (reported)'!H38),'_Data inputs (reported)'!H38,"")</f>
        <v/>
      </c>
      <c r="I38" s="42" t="str">
        <f>IF(ISNUMBER('_Data inputs (reported)'!I38),'_Data inputs (reported)'!I38,"")</f>
        <v/>
      </c>
      <c r="J38" s="1" t="str">
        <f>IF(ISTEXT('_Data inputs (reported)'!J38),'_Data inputs (reported)'!J38,"")</f>
        <v/>
      </c>
      <c r="K38" s="105" t="str">
        <f>IF(ISTEXT('_Data inputs (reported)'!K38),'_Data inputs (reported)'!K38,"")</f>
        <v/>
      </c>
      <c r="L38" s="105" t="str">
        <f>IF(ISTEXT('_Data inputs (reported)'!L38),'_Data inputs (reported)'!L38,"")</f>
        <v/>
      </c>
      <c r="M38" s="1" t="str">
        <f>IF(ISTEXT('_Data inputs (reported)'!M38),'_Data inputs (reported)'!M38,"")</f>
        <v/>
      </c>
      <c r="N38" s="105" t="str">
        <f>IF(ISTEXT('_Data inputs (reported)'!N38),'_Data inputs (reported)'!N38,"")</f>
        <v/>
      </c>
    </row>
    <row xmlns:x14ac="http://schemas.microsoft.com/office/spreadsheetml/2009/9/ac" r="39" x14ac:dyDescent="0.2">
      <c r="A39" s="105" t="str">
        <f>IF(ISTEXT(VLOOKUP('_Data inputs (reported)'!B39,countryname,2,FALSE)),IF(Introduction!$A$2="English",VLOOKUP('_Data inputs (reported)'!B39,countryname,2,FALSE),IF(Introduction!$A$2="French",VLOOKUP('_Data inputs (reported)'!B39,countryname,3,FALSE),IF(Introduction!$A$2="Spanish",VLOOKUP('_Data inputs (reported)'!B39,countryname,4,FALSE),IF(Introduction!$A$2="Russian",VLOOKUP('_Data inputs (reported)'!B39,countryname,5,FALSE),IF(Introduction!$A$2="Arabic",VLOOKUP('_Data inputs (reported)'!B39,countryname,6,FALSE),IF(Introduction!$A$2="Chinese",VLOOKUP('_Data inputs (reported)'!B39,countryname,7,FALSE),IF(Introduction!$A$2="Other",VLOOKUP('_Data inputs (reported)'!B39,countryname,8,FALSE)))))))),"")</f>
        <v/>
      </c>
      <c r="B39" s="1" t="str">
        <f>IF(ISTEXT('_Data inputs (reported)'!B39),'_Data inputs (reported)'!B39,"")</f>
        <v/>
      </c>
      <c r="C39" s="179" t="str">
        <f>IF(ISBLANK('_Data inputs (reported)'!C39),"",'_Data inputs (reported)'!C39)</f>
        <v/>
      </c>
      <c r="D39" s="105" t="str">
        <f>IF(ISTEXT(VLOOKUP('_Data inputs (reported)'!D39,nametranslations,1,FALSE)),IF(Introduction!$A$2="English",VLOOKUP('_Data inputs (reported)'!D39,nametranslations,1,FALSE),IF(Introduction!$A$2="Spanish",VLOOKUP('_Data inputs (reported)'!D39,nametranslations,2,FALSE),IF(Introduction!$A$2="French",VLOOKUP('_Data inputs (reported)'!D39,nametranslations,3,FALSE),IF(Introduction!$A$2="Arabic",VLOOKUP('_Data inputs (reported)'!D39,nametranslations,4,FALSE),IF(Introduction!$A$2="Russian",VLOOKUP('_Data inputs (reported)'!D39,nametranslations,5,FALSE),IF(Introduction!$A$2="Chinese",VLOOKUP('_Data inputs (reported)'!D39,nametranslations,6,FALSE),IF(Introduction!$A$2="Other",VLOOKUP('_Data inputs (reported)'!D39,nametranslations,7,FALSE)))))))),"")</f>
        <v/>
      </c>
      <c r="E39" s="1" t="str">
        <f>IF(ISTEXT('_Data inputs (reported)'!E39),'_Data inputs (reported)'!E39,"")</f>
        <v/>
      </c>
      <c r="F39" s="8" t="str">
        <f>IF(ISNUMBER('_Data inputs (reported)'!F39),'_Data inputs (reported)'!F39,"")</f>
        <v/>
      </c>
      <c r="G39" s="105" t="str">
        <f>IF(ISTEXT(VLOOKUP('_Data inputs (reported)'!G39,nametranslations,1,FALSE)),IF(Introduction!$A$2="English",VLOOKUP('_Data inputs (reported)'!G39,nametranslations,1,FALSE),IF(Introduction!$A$2="Spanish",VLOOKUP('_Data inputs (reported)'!G39,nametranslations,2,FALSE),IF(Introduction!$A$2="French",VLOOKUP('_Data inputs (reported)'!G39,nametranslations,3,FALSE),IF(Introduction!$A$2="Arabic",VLOOKUP('_Data inputs (reported)'!G39,nametranslations,4,FALSE),IF(Introduction!$A$2="Russian",VLOOKUP('_Data inputs (reported)'!G39,nametranslations,5,FALSE),IF(Introduction!$A$2="Chinese",VLOOKUP('_Data inputs (reported)'!G39,nametranslations,6,FALSE),IF(Introduction!$A$2="Other",VLOOKUP('_Data inputs (reported)'!G39,nametranslations,7,FALSE)))))))),"")</f>
        <v/>
      </c>
      <c r="H39" s="1" t="str">
        <f>IF(ISTEXT('_Data inputs (reported)'!H39),'_Data inputs (reported)'!H39,"")</f>
        <v/>
      </c>
      <c r="I39" s="42" t="str">
        <f>IF(ISNUMBER('_Data inputs (reported)'!I39),'_Data inputs (reported)'!I39,"")</f>
        <v/>
      </c>
      <c r="J39" s="1" t="str">
        <f>IF(ISTEXT('_Data inputs (reported)'!J39),'_Data inputs (reported)'!J39,"")</f>
        <v/>
      </c>
      <c r="K39" s="105" t="str">
        <f>IF(ISTEXT('_Data inputs (reported)'!K39),'_Data inputs (reported)'!K39,"")</f>
        <v/>
      </c>
      <c r="L39" s="105" t="str">
        <f>IF(ISTEXT('_Data inputs (reported)'!L39),'_Data inputs (reported)'!L39,"")</f>
        <v/>
      </c>
      <c r="M39" s="1" t="str">
        <f>IF(ISTEXT('_Data inputs (reported)'!M39),'_Data inputs (reported)'!M39,"")</f>
        <v/>
      </c>
      <c r="N39" s="105" t="str">
        <f>IF(ISTEXT('_Data inputs (reported)'!N39),'_Data inputs (reported)'!N39,"")</f>
        <v/>
      </c>
    </row>
    <row xmlns:x14ac="http://schemas.microsoft.com/office/spreadsheetml/2009/9/ac" r="40" x14ac:dyDescent="0.2">
      <c r="A40" s="105" t="str">
        <f>IF(ISTEXT(VLOOKUP('_Data inputs (reported)'!B40,countryname,2,FALSE)),IF(Introduction!$A$2="English",VLOOKUP('_Data inputs (reported)'!B40,countryname,2,FALSE),IF(Introduction!$A$2="French",VLOOKUP('_Data inputs (reported)'!B40,countryname,3,FALSE),IF(Introduction!$A$2="Spanish",VLOOKUP('_Data inputs (reported)'!B40,countryname,4,FALSE),IF(Introduction!$A$2="Russian",VLOOKUP('_Data inputs (reported)'!B40,countryname,5,FALSE),IF(Introduction!$A$2="Arabic",VLOOKUP('_Data inputs (reported)'!B40,countryname,6,FALSE),IF(Introduction!$A$2="Chinese",VLOOKUP('_Data inputs (reported)'!B40,countryname,7,FALSE),IF(Introduction!$A$2="Other",VLOOKUP('_Data inputs (reported)'!B40,countryname,8,FALSE)))))))),"")</f>
        <v/>
      </c>
      <c r="B40" s="1" t="str">
        <f>IF(ISTEXT('_Data inputs (reported)'!B40),'_Data inputs (reported)'!B40,"")</f>
        <v/>
      </c>
      <c r="C40" s="179" t="str">
        <f>IF(ISBLANK('_Data inputs (reported)'!C40),"",'_Data inputs (reported)'!C40)</f>
        <v/>
      </c>
      <c r="D40" s="105" t="str">
        <f>IF(ISTEXT(VLOOKUP('_Data inputs (reported)'!D40,nametranslations,1,FALSE)),IF(Introduction!$A$2="English",VLOOKUP('_Data inputs (reported)'!D40,nametranslations,1,FALSE),IF(Introduction!$A$2="Spanish",VLOOKUP('_Data inputs (reported)'!D40,nametranslations,2,FALSE),IF(Introduction!$A$2="French",VLOOKUP('_Data inputs (reported)'!D40,nametranslations,3,FALSE),IF(Introduction!$A$2="Arabic",VLOOKUP('_Data inputs (reported)'!D40,nametranslations,4,FALSE),IF(Introduction!$A$2="Russian",VLOOKUP('_Data inputs (reported)'!D40,nametranslations,5,FALSE),IF(Introduction!$A$2="Chinese",VLOOKUP('_Data inputs (reported)'!D40,nametranslations,6,FALSE),IF(Introduction!$A$2="Other",VLOOKUP('_Data inputs (reported)'!D40,nametranslations,7,FALSE)))))))),"")</f>
        <v/>
      </c>
      <c r="E40" s="1" t="str">
        <f>IF(ISTEXT('_Data inputs (reported)'!E40),'_Data inputs (reported)'!E40,"")</f>
        <v/>
      </c>
      <c r="F40" s="8" t="str">
        <f>IF(ISNUMBER('_Data inputs (reported)'!F40),'_Data inputs (reported)'!F40,"")</f>
        <v/>
      </c>
      <c r="G40" s="105" t="str">
        <f>IF(ISTEXT(VLOOKUP('_Data inputs (reported)'!G40,nametranslations,1,FALSE)),IF(Introduction!$A$2="English",VLOOKUP('_Data inputs (reported)'!G40,nametranslations,1,FALSE),IF(Introduction!$A$2="Spanish",VLOOKUP('_Data inputs (reported)'!G40,nametranslations,2,FALSE),IF(Introduction!$A$2="French",VLOOKUP('_Data inputs (reported)'!G40,nametranslations,3,FALSE),IF(Introduction!$A$2="Arabic",VLOOKUP('_Data inputs (reported)'!G40,nametranslations,4,FALSE),IF(Introduction!$A$2="Russian",VLOOKUP('_Data inputs (reported)'!G40,nametranslations,5,FALSE),IF(Introduction!$A$2="Chinese",VLOOKUP('_Data inputs (reported)'!G40,nametranslations,6,FALSE),IF(Introduction!$A$2="Other",VLOOKUP('_Data inputs (reported)'!G40,nametranslations,7,FALSE)))))))),"")</f>
        <v/>
      </c>
      <c r="H40" s="1" t="str">
        <f>IF(ISTEXT('_Data inputs (reported)'!H40),'_Data inputs (reported)'!H40,"")</f>
        <v/>
      </c>
      <c r="I40" s="42" t="str">
        <f>IF(ISNUMBER('_Data inputs (reported)'!I40),'_Data inputs (reported)'!I40,"")</f>
        <v/>
      </c>
      <c r="J40" s="1" t="str">
        <f>IF(ISTEXT('_Data inputs (reported)'!J40),'_Data inputs (reported)'!J40,"")</f>
        <v/>
      </c>
      <c r="K40" s="105" t="str">
        <f>IF(ISTEXT('_Data inputs (reported)'!K40),'_Data inputs (reported)'!K40,"")</f>
        <v/>
      </c>
      <c r="L40" s="105" t="str">
        <f>IF(ISTEXT('_Data inputs (reported)'!L40),'_Data inputs (reported)'!L40,"")</f>
        <v/>
      </c>
      <c r="M40" s="1" t="str">
        <f>IF(ISTEXT('_Data inputs (reported)'!M40),'_Data inputs (reported)'!M40,"")</f>
        <v/>
      </c>
      <c r="N40" s="105" t="str">
        <f>IF(ISTEXT('_Data inputs (reported)'!N40),'_Data inputs (reported)'!N40,"")</f>
        <v/>
      </c>
    </row>
    <row xmlns:x14ac="http://schemas.microsoft.com/office/spreadsheetml/2009/9/ac" r="41" x14ac:dyDescent="0.2">
      <c r="A41" s="105" t="str">
        <f>IF(ISTEXT(VLOOKUP('_Data inputs (reported)'!B41,countryname,2,FALSE)),IF(Introduction!$A$2="English",VLOOKUP('_Data inputs (reported)'!B41,countryname,2,FALSE),IF(Introduction!$A$2="French",VLOOKUP('_Data inputs (reported)'!B41,countryname,3,FALSE),IF(Introduction!$A$2="Spanish",VLOOKUP('_Data inputs (reported)'!B41,countryname,4,FALSE),IF(Introduction!$A$2="Russian",VLOOKUP('_Data inputs (reported)'!B41,countryname,5,FALSE),IF(Introduction!$A$2="Arabic",VLOOKUP('_Data inputs (reported)'!B41,countryname,6,FALSE),IF(Introduction!$A$2="Chinese",VLOOKUP('_Data inputs (reported)'!B41,countryname,7,FALSE),IF(Introduction!$A$2="Other",VLOOKUP('_Data inputs (reported)'!B41,countryname,8,FALSE)))))))),"")</f>
        <v/>
      </c>
      <c r="B41" s="1" t="str">
        <f>IF(ISTEXT('_Data inputs (reported)'!B41),'_Data inputs (reported)'!B41,"")</f>
        <v/>
      </c>
      <c r="C41" s="179" t="str">
        <f>IF(ISBLANK('_Data inputs (reported)'!C41),"",'_Data inputs (reported)'!C41)</f>
        <v/>
      </c>
      <c r="D41" s="105" t="str">
        <f>IF(ISTEXT(VLOOKUP('_Data inputs (reported)'!D41,nametranslations,1,FALSE)),IF(Introduction!$A$2="English",VLOOKUP('_Data inputs (reported)'!D41,nametranslations,1,FALSE),IF(Introduction!$A$2="Spanish",VLOOKUP('_Data inputs (reported)'!D41,nametranslations,2,FALSE),IF(Introduction!$A$2="French",VLOOKUP('_Data inputs (reported)'!D41,nametranslations,3,FALSE),IF(Introduction!$A$2="Arabic",VLOOKUP('_Data inputs (reported)'!D41,nametranslations,4,FALSE),IF(Introduction!$A$2="Russian",VLOOKUP('_Data inputs (reported)'!D41,nametranslations,5,FALSE),IF(Introduction!$A$2="Chinese",VLOOKUP('_Data inputs (reported)'!D41,nametranslations,6,FALSE),IF(Introduction!$A$2="Other",VLOOKUP('_Data inputs (reported)'!D41,nametranslations,7,FALSE)))))))),"")</f>
        <v/>
      </c>
      <c r="E41" s="1" t="str">
        <f>IF(ISTEXT('_Data inputs (reported)'!E41),'_Data inputs (reported)'!E41,"")</f>
        <v/>
      </c>
      <c r="F41" s="8" t="str">
        <f>IF(ISNUMBER('_Data inputs (reported)'!F41),'_Data inputs (reported)'!F41,"")</f>
        <v/>
      </c>
      <c r="G41" s="105" t="str">
        <f>IF(ISTEXT(VLOOKUP('_Data inputs (reported)'!G41,nametranslations,1,FALSE)),IF(Introduction!$A$2="English",VLOOKUP('_Data inputs (reported)'!G41,nametranslations,1,FALSE),IF(Introduction!$A$2="Spanish",VLOOKUP('_Data inputs (reported)'!G41,nametranslations,2,FALSE),IF(Introduction!$A$2="French",VLOOKUP('_Data inputs (reported)'!G41,nametranslations,3,FALSE),IF(Introduction!$A$2="Arabic",VLOOKUP('_Data inputs (reported)'!G41,nametranslations,4,FALSE),IF(Introduction!$A$2="Russian",VLOOKUP('_Data inputs (reported)'!G41,nametranslations,5,FALSE),IF(Introduction!$A$2="Chinese",VLOOKUP('_Data inputs (reported)'!G41,nametranslations,6,FALSE),IF(Introduction!$A$2="Other",VLOOKUP('_Data inputs (reported)'!G41,nametranslations,7,FALSE)))))))),"")</f>
        <v/>
      </c>
      <c r="H41" s="1" t="str">
        <f>IF(ISTEXT('_Data inputs (reported)'!H41),'_Data inputs (reported)'!H41,"")</f>
        <v/>
      </c>
      <c r="I41" s="42" t="str">
        <f>IF(ISNUMBER('_Data inputs (reported)'!I41),'_Data inputs (reported)'!I41,"")</f>
        <v/>
      </c>
      <c r="J41" s="1" t="str">
        <f>IF(ISTEXT('_Data inputs (reported)'!J41),'_Data inputs (reported)'!J41,"")</f>
        <v/>
      </c>
      <c r="K41" s="105" t="str">
        <f>IF(ISTEXT('_Data inputs (reported)'!K41),'_Data inputs (reported)'!K41,"")</f>
        <v/>
      </c>
      <c r="L41" s="105" t="str">
        <f>IF(ISTEXT('_Data inputs (reported)'!L41),'_Data inputs (reported)'!L41,"")</f>
        <v/>
      </c>
      <c r="M41" s="1" t="str">
        <f>IF(ISTEXT('_Data inputs (reported)'!M41),'_Data inputs (reported)'!M41,"")</f>
        <v/>
      </c>
      <c r="N41" s="105" t="str">
        <f>IF(ISTEXT('_Data inputs (reported)'!N41),'_Data inputs (reported)'!N41,"")</f>
        <v/>
      </c>
    </row>
    <row xmlns:x14ac="http://schemas.microsoft.com/office/spreadsheetml/2009/9/ac" r="42" x14ac:dyDescent="0.2">
      <c r="A42" s="105" t="str">
        <f>IF(ISTEXT(VLOOKUP('_Data inputs (reported)'!B42,countryname,2,FALSE)),IF(Introduction!$A$2="English",VLOOKUP('_Data inputs (reported)'!B42,countryname,2,FALSE),IF(Introduction!$A$2="French",VLOOKUP('_Data inputs (reported)'!B42,countryname,3,FALSE),IF(Introduction!$A$2="Spanish",VLOOKUP('_Data inputs (reported)'!B42,countryname,4,FALSE),IF(Introduction!$A$2="Russian",VLOOKUP('_Data inputs (reported)'!B42,countryname,5,FALSE),IF(Introduction!$A$2="Arabic",VLOOKUP('_Data inputs (reported)'!B42,countryname,6,FALSE),IF(Introduction!$A$2="Chinese",VLOOKUP('_Data inputs (reported)'!B42,countryname,7,FALSE),IF(Introduction!$A$2="Other",VLOOKUP('_Data inputs (reported)'!B42,countryname,8,FALSE)))))))),"")</f>
        <v/>
      </c>
      <c r="B42" s="1" t="str">
        <f>IF(ISTEXT('_Data inputs (reported)'!B42),'_Data inputs (reported)'!B42,"")</f>
        <v/>
      </c>
      <c r="C42" s="179" t="str">
        <f>IF(ISBLANK('_Data inputs (reported)'!C42),"",'_Data inputs (reported)'!C42)</f>
        <v/>
      </c>
      <c r="D42" s="105" t="str">
        <f>IF(ISTEXT(VLOOKUP('_Data inputs (reported)'!D42,nametranslations,1,FALSE)),IF(Introduction!$A$2="English",VLOOKUP('_Data inputs (reported)'!D42,nametranslations,1,FALSE),IF(Introduction!$A$2="Spanish",VLOOKUP('_Data inputs (reported)'!D42,nametranslations,2,FALSE),IF(Introduction!$A$2="French",VLOOKUP('_Data inputs (reported)'!D42,nametranslations,3,FALSE),IF(Introduction!$A$2="Arabic",VLOOKUP('_Data inputs (reported)'!D42,nametranslations,4,FALSE),IF(Introduction!$A$2="Russian",VLOOKUP('_Data inputs (reported)'!D42,nametranslations,5,FALSE),IF(Introduction!$A$2="Chinese",VLOOKUP('_Data inputs (reported)'!D42,nametranslations,6,FALSE),IF(Introduction!$A$2="Other",VLOOKUP('_Data inputs (reported)'!D42,nametranslations,7,FALSE)))))))),"")</f>
        <v/>
      </c>
      <c r="E42" s="1" t="str">
        <f>IF(ISTEXT('_Data inputs (reported)'!E42),'_Data inputs (reported)'!E42,"")</f>
        <v/>
      </c>
      <c r="F42" s="8" t="str">
        <f>IF(ISNUMBER('_Data inputs (reported)'!F42),'_Data inputs (reported)'!F42,"")</f>
        <v/>
      </c>
      <c r="G42" s="105" t="str">
        <f>IF(ISTEXT(VLOOKUP('_Data inputs (reported)'!G42,nametranslations,1,FALSE)),IF(Introduction!$A$2="English",VLOOKUP('_Data inputs (reported)'!G42,nametranslations,1,FALSE),IF(Introduction!$A$2="Spanish",VLOOKUP('_Data inputs (reported)'!G42,nametranslations,2,FALSE),IF(Introduction!$A$2="French",VLOOKUP('_Data inputs (reported)'!G42,nametranslations,3,FALSE),IF(Introduction!$A$2="Arabic",VLOOKUP('_Data inputs (reported)'!G42,nametranslations,4,FALSE),IF(Introduction!$A$2="Russian",VLOOKUP('_Data inputs (reported)'!G42,nametranslations,5,FALSE),IF(Introduction!$A$2="Chinese",VLOOKUP('_Data inputs (reported)'!G42,nametranslations,6,FALSE),IF(Introduction!$A$2="Other",VLOOKUP('_Data inputs (reported)'!G42,nametranslations,7,FALSE)))))))),"")</f>
        <v/>
      </c>
      <c r="H42" s="1" t="str">
        <f>IF(ISTEXT('_Data inputs (reported)'!H42),'_Data inputs (reported)'!H42,"")</f>
        <v/>
      </c>
      <c r="I42" s="42" t="str">
        <f>IF(ISNUMBER('_Data inputs (reported)'!I42),'_Data inputs (reported)'!I42,"")</f>
        <v/>
      </c>
      <c r="J42" s="1" t="str">
        <f>IF(ISTEXT('_Data inputs (reported)'!J42),'_Data inputs (reported)'!J42,"")</f>
        <v/>
      </c>
      <c r="K42" s="105" t="str">
        <f>IF(ISTEXT('_Data inputs (reported)'!K42),'_Data inputs (reported)'!K42,"")</f>
        <v/>
      </c>
      <c r="L42" s="105" t="str">
        <f>IF(ISTEXT('_Data inputs (reported)'!L42),'_Data inputs (reported)'!L42,"")</f>
        <v/>
      </c>
      <c r="M42" s="1" t="str">
        <f>IF(ISTEXT('_Data inputs (reported)'!M42),'_Data inputs (reported)'!M42,"")</f>
        <v/>
      </c>
      <c r="N42" s="105" t="str">
        <f>IF(ISTEXT('_Data inputs (reported)'!N42),'_Data inputs (reported)'!N42,"")</f>
        <v/>
      </c>
    </row>
    <row xmlns:x14ac="http://schemas.microsoft.com/office/spreadsheetml/2009/9/ac" r="43" x14ac:dyDescent="0.2">
      <c r="A43" s="105" t="str">
        <f>IF(ISTEXT(VLOOKUP('_Data inputs (reported)'!B43,countryname,2,FALSE)),IF(Introduction!$A$2="English",VLOOKUP('_Data inputs (reported)'!B43,countryname,2,FALSE),IF(Introduction!$A$2="French",VLOOKUP('_Data inputs (reported)'!B43,countryname,3,FALSE),IF(Introduction!$A$2="Spanish",VLOOKUP('_Data inputs (reported)'!B43,countryname,4,FALSE),IF(Introduction!$A$2="Russian",VLOOKUP('_Data inputs (reported)'!B43,countryname,5,FALSE),IF(Introduction!$A$2="Arabic",VLOOKUP('_Data inputs (reported)'!B43,countryname,6,FALSE),IF(Introduction!$A$2="Chinese",VLOOKUP('_Data inputs (reported)'!B43,countryname,7,FALSE),IF(Introduction!$A$2="Other",VLOOKUP('_Data inputs (reported)'!B43,countryname,8,FALSE)))))))),"")</f>
        <v/>
      </c>
      <c r="B43" s="1" t="str">
        <f>IF(ISTEXT('_Data inputs (reported)'!B43),'_Data inputs (reported)'!B43,"")</f>
        <v/>
      </c>
      <c r="C43" s="179" t="str">
        <f>IF(ISBLANK('_Data inputs (reported)'!C43),"",'_Data inputs (reported)'!C43)</f>
        <v/>
      </c>
      <c r="D43" s="105" t="str">
        <f>IF(ISTEXT(VLOOKUP('_Data inputs (reported)'!D43,nametranslations,1,FALSE)),IF(Introduction!$A$2="English",VLOOKUP('_Data inputs (reported)'!D43,nametranslations,1,FALSE),IF(Introduction!$A$2="Spanish",VLOOKUP('_Data inputs (reported)'!D43,nametranslations,2,FALSE),IF(Introduction!$A$2="French",VLOOKUP('_Data inputs (reported)'!D43,nametranslations,3,FALSE),IF(Introduction!$A$2="Arabic",VLOOKUP('_Data inputs (reported)'!D43,nametranslations,4,FALSE),IF(Introduction!$A$2="Russian",VLOOKUP('_Data inputs (reported)'!D43,nametranslations,5,FALSE),IF(Introduction!$A$2="Chinese",VLOOKUP('_Data inputs (reported)'!D43,nametranslations,6,FALSE),IF(Introduction!$A$2="Other",VLOOKUP('_Data inputs (reported)'!D43,nametranslations,7,FALSE)))))))),"")</f>
        <v/>
      </c>
      <c r="E43" s="1" t="str">
        <f>IF(ISTEXT('_Data inputs (reported)'!E43),'_Data inputs (reported)'!E43,"")</f>
        <v/>
      </c>
      <c r="F43" s="8" t="str">
        <f>IF(ISNUMBER('_Data inputs (reported)'!F43),'_Data inputs (reported)'!F43,"")</f>
        <v/>
      </c>
      <c r="G43" s="105" t="str">
        <f>IF(ISTEXT(VLOOKUP('_Data inputs (reported)'!G43,nametranslations,1,FALSE)),IF(Introduction!$A$2="English",VLOOKUP('_Data inputs (reported)'!G43,nametranslations,1,FALSE),IF(Introduction!$A$2="Spanish",VLOOKUP('_Data inputs (reported)'!G43,nametranslations,2,FALSE),IF(Introduction!$A$2="French",VLOOKUP('_Data inputs (reported)'!G43,nametranslations,3,FALSE),IF(Introduction!$A$2="Arabic",VLOOKUP('_Data inputs (reported)'!G43,nametranslations,4,FALSE),IF(Introduction!$A$2="Russian",VLOOKUP('_Data inputs (reported)'!G43,nametranslations,5,FALSE),IF(Introduction!$A$2="Chinese",VLOOKUP('_Data inputs (reported)'!G43,nametranslations,6,FALSE),IF(Introduction!$A$2="Other",VLOOKUP('_Data inputs (reported)'!G43,nametranslations,7,FALSE)))))))),"")</f>
        <v/>
      </c>
      <c r="H43" s="1" t="str">
        <f>IF(ISTEXT('_Data inputs (reported)'!H43),'_Data inputs (reported)'!H43,"")</f>
        <v/>
      </c>
      <c r="I43" s="42" t="str">
        <f>IF(ISNUMBER('_Data inputs (reported)'!I43),'_Data inputs (reported)'!I43,"")</f>
        <v/>
      </c>
      <c r="J43" s="1" t="str">
        <f>IF(ISTEXT('_Data inputs (reported)'!J43),'_Data inputs (reported)'!J43,"")</f>
        <v/>
      </c>
      <c r="K43" s="105" t="str">
        <f>IF(ISTEXT('_Data inputs (reported)'!K43),'_Data inputs (reported)'!K43,"")</f>
        <v/>
      </c>
      <c r="L43" s="105" t="str">
        <f>IF(ISTEXT('_Data inputs (reported)'!L43),'_Data inputs (reported)'!L43,"")</f>
        <v/>
      </c>
      <c r="M43" s="1" t="str">
        <f>IF(ISTEXT('_Data inputs (reported)'!M43),'_Data inputs (reported)'!M43,"")</f>
        <v/>
      </c>
      <c r="N43" s="105" t="str">
        <f>IF(ISTEXT('_Data inputs (reported)'!N43),'_Data inputs (reported)'!N43,"")</f>
        <v/>
      </c>
    </row>
    <row xmlns:x14ac="http://schemas.microsoft.com/office/spreadsheetml/2009/9/ac" r="44" x14ac:dyDescent="0.2">
      <c r="A44" s="105" t="str">
        <f>IF(ISTEXT(VLOOKUP('_Data inputs (reported)'!B44,countryname,2,FALSE)),IF(Introduction!$A$2="English",VLOOKUP('_Data inputs (reported)'!B44,countryname,2,FALSE),IF(Introduction!$A$2="French",VLOOKUP('_Data inputs (reported)'!B44,countryname,3,FALSE),IF(Introduction!$A$2="Spanish",VLOOKUP('_Data inputs (reported)'!B44,countryname,4,FALSE),IF(Introduction!$A$2="Russian",VLOOKUP('_Data inputs (reported)'!B44,countryname,5,FALSE),IF(Introduction!$A$2="Arabic",VLOOKUP('_Data inputs (reported)'!B44,countryname,6,FALSE),IF(Introduction!$A$2="Chinese",VLOOKUP('_Data inputs (reported)'!B44,countryname,7,FALSE),IF(Introduction!$A$2="Other",VLOOKUP('_Data inputs (reported)'!B44,countryname,8,FALSE)))))))),"")</f>
        <v/>
      </c>
      <c r="B44" s="1" t="str">
        <f>IF(ISTEXT('_Data inputs (reported)'!B44),'_Data inputs (reported)'!B44,"")</f>
        <v/>
      </c>
      <c r="C44" s="179" t="str">
        <f>IF(ISBLANK('_Data inputs (reported)'!C44),"",'_Data inputs (reported)'!C44)</f>
        <v/>
      </c>
      <c r="D44" s="105" t="str">
        <f>IF(ISTEXT(VLOOKUP('_Data inputs (reported)'!D44,nametranslations,1,FALSE)),IF(Introduction!$A$2="English",VLOOKUP('_Data inputs (reported)'!D44,nametranslations,1,FALSE),IF(Introduction!$A$2="Spanish",VLOOKUP('_Data inputs (reported)'!D44,nametranslations,2,FALSE),IF(Introduction!$A$2="French",VLOOKUP('_Data inputs (reported)'!D44,nametranslations,3,FALSE),IF(Introduction!$A$2="Arabic",VLOOKUP('_Data inputs (reported)'!D44,nametranslations,4,FALSE),IF(Introduction!$A$2="Russian",VLOOKUP('_Data inputs (reported)'!D44,nametranslations,5,FALSE),IF(Introduction!$A$2="Chinese",VLOOKUP('_Data inputs (reported)'!D44,nametranslations,6,FALSE),IF(Introduction!$A$2="Other",VLOOKUP('_Data inputs (reported)'!D44,nametranslations,7,FALSE)))))))),"")</f>
        <v/>
      </c>
      <c r="E44" s="1" t="str">
        <f>IF(ISTEXT('_Data inputs (reported)'!E44),'_Data inputs (reported)'!E44,"")</f>
        <v/>
      </c>
      <c r="F44" s="8" t="str">
        <f>IF(ISNUMBER('_Data inputs (reported)'!F44),'_Data inputs (reported)'!F44,"")</f>
        <v/>
      </c>
      <c r="G44" s="105" t="str">
        <f>IF(ISTEXT(VLOOKUP('_Data inputs (reported)'!G44,nametranslations,1,FALSE)),IF(Introduction!$A$2="English",VLOOKUP('_Data inputs (reported)'!G44,nametranslations,1,FALSE),IF(Introduction!$A$2="Spanish",VLOOKUP('_Data inputs (reported)'!G44,nametranslations,2,FALSE),IF(Introduction!$A$2="French",VLOOKUP('_Data inputs (reported)'!G44,nametranslations,3,FALSE),IF(Introduction!$A$2="Arabic",VLOOKUP('_Data inputs (reported)'!G44,nametranslations,4,FALSE),IF(Introduction!$A$2="Russian",VLOOKUP('_Data inputs (reported)'!G44,nametranslations,5,FALSE),IF(Introduction!$A$2="Chinese",VLOOKUP('_Data inputs (reported)'!G44,nametranslations,6,FALSE),IF(Introduction!$A$2="Other",VLOOKUP('_Data inputs (reported)'!G44,nametranslations,7,FALSE)))))))),"")</f>
        <v/>
      </c>
      <c r="H44" s="1" t="str">
        <f>IF(ISTEXT('_Data inputs (reported)'!H44),'_Data inputs (reported)'!H44,"")</f>
        <v/>
      </c>
      <c r="I44" s="42" t="str">
        <f>IF(ISNUMBER('_Data inputs (reported)'!I44),'_Data inputs (reported)'!I44,"")</f>
        <v/>
      </c>
      <c r="J44" s="1" t="str">
        <f>IF(ISTEXT('_Data inputs (reported)'!J44),'_Data inputs (reported)'!J44,"")</f>
        <v/>
      </c>
      <c r="K44" s="105" t="str">
        <f>IF(ISTEXT('_Data inputs (reported)'!K44),'_Data inputs (reported)'!K44,"")</f>
        <v/>
      </c>
      <c r="L44" s="105" t="str">
        <f>IF(ISTEXT('_Data inputs (reported)'!L44),'_Data inputs (reported)'!L44,"")</f>
        <v/>
      </c>
      <c r="M44" s="1" t="str">
        <f>IF(ISTEXT('_Data inputs (reported)'!M44),'_Data inputs (reported)'!M44,"")</f>
        <v/>
      </c>
      <c r="N44" s="105" t="str">
        <f>IF(ISTEXT('_Data inputs (reported)'!N44),'_Data inputs (reported)'!N44,"")</f>
        <v/>
      </c>
    </row>
    <row xmlns:x14ac="http://schemas.microsoft.com/office/spreadsheetml/2009/9/ac" r="45" x14ac:dyDescent="0.2">
      <c r="A45" s="105" t="str">
        <f>IF(ISTEXT(VLOOKUP('_Data inputs (reported)'!B45,countryname,2,FALSE)),IF(Introduction!$A$2="English",VLOOKUP('_Data inputs (reported)'!B45,countryname,2,FALSE),IF(Introduction!$A$2="French",VLOOKUP('_Data inputs (reported)'!B45,countryname,3,FALSE),IF(Introduction!$A$2="Spanish",VLOOKUP('_Data inputs (reported)'!B45,countryname,4,FALSE),IF(Introduction!$A$2="Russian",VLOOKUP('_Data inputs (reported)'!B45,countryname,5,FALSE),IF(Introduction!$A$2="Arabic",VLOOKUP('_Data inputs (reported)'!B45,countryname,6,FALSE),IF(Introduction!$A$2="Chinese",VLOOKUP('_Data inputs (reported)'!B45,countryname,7,FALSE),IF(Introduction!$A$2="Other",VLOOKUP('_Data inputs (reported)'!B45,countryname,8,FALSE)))))))),"")</f>
        <v/>
      </c>
      <c r="B45" s="1" t="str">
        <f>IF(ISTEXT('_Data inputs (reported)'!B45),'_Data inputs (reported)'!B45,"")</f>
        <v/>
      </c>
      <c r="C45" s="179" t="str">
        <f>IF(ISBLANK('_Data inputs (reported)'!C45),"",'_Data inputs (reported)'!C45)</f>
        <v/>
      </c>
      <c r="D45" s="105" t="str">
        <f>IF(ISTEXT(VLOOKUP('_Data inputs (reported)'!D45,nametranslations,1,FALSE)),IF(Introduction!$A$2="English",VLOOKUP('_Data inputs (reported)'!D45,nametranslations,1,FALSE),IF(Introduction!$A$2="Spanish",VLOOKUP('_Data inputs (reported)'!D45,nametranslations,2,FALSE),IF(Introduction!$A$2="French",VLOOKUP('_Data inputs (reported)'!D45,nametranslations,3,FALSE),IF(Introduction!$A$2="Arabic",VLOOKUP('_Data inputs (reported)'!D45,nametranslations,4,FALSE),IF(Introduction!$A$2="Russian",VLOOKUP('_Data inputs (reported)'!D45,nametranslations,5,FALSE),IF(Introduction!$A$2="Chinese",VLOOKUP('_Data inputs (reported)'!D45,nametranslations,6,FALSE),IF(Introduction!$A$2="Other",VLOOKUP('_Data inputs (reported)'!D45,nametranslations,7,FALSE)))))))),"")</f>
        <v/>
      </c>
      <c r="E45" s="1" t="str">
        <f>IF(ISTEXT('_Data inputs (reported)'!E45),'_Data inputs (reported)'!E45,"")</f>
        <v/>
      </c>
      <c r="F45" s="8" t="str">
        <f>IF(ISNUMBER('_Data inputs (reported)'!F45),'_Data inputs (reported)'!F45,"")</f>
        <v/>
      </c>
      <c r="G45" s="105" t="str">
        <f>IF(ISTEXT(VLOOKUP('_Data inputs (reported)'!G45,nametranslations,1,FALSE)),IF(Introduction!$A$2="English",VLOOKUP('_Data inputs (reported)'!G45,nametranslations,1,FALSE),IF(Introduction!$A$2="Spanish",VLOOKUP('_Data inputs (reported)'!G45,nametranslations,2,FALSE),IF(Introduction!$A$2="French",VLOOKUP('_Data inputs (reported)'!G45,nametranslations,3,FALSE),IF(Introduction!$A$2="Arabic",VLOOKUP('_Data inputs (reported)'!G45,nametranslations,4,FALSE),IF(Introduction!$A$2="Russian",VLOOKUP('_Data inputs (reported)'!G45,nametranslations,5,FALSE),IF(Introduction!$A$2="Chinese",VLOOKUP('_Data inputs (reported)'!G45,nametranslations,6,FALSE),IF(Introduction!$A$2="Other",VLOOKUP('_Data inputs (reported)'!G45,nametranslations,7,FALSE)))))))),"")</f>
        <v/>
      </c>
      <c r="H45" s="1" t="str">
        <f>IF(ISTEXT('_Data inputs (reported)'!H45),'_Data inputs (reported)'!H45,"")</f>
        <v/>
      </c>
      <c r="I45" s="42" t="str">
        <f>IF(ISNUMBER('_Data inputs (reported)'!I45),'_Data inputs (reported)'!I45,"")</f>
        <v/>
      </c>
      <c r="J45" s="1" t="str">
        <f>IF(ISTEXT('_Data inputs (reported)'!J45),'_Data inputs (reported)'!J45,"")</f>
        <v/>
      </c>
      <c r="K45" s="105" t="str">
        <f>IF(ISTEXT('_Data inputs (reported)'!K45),'_Data inputs (reported)'!K45,"")</f>
        <v/>
      </c>
      <c r="L45" s="105" t="str">
        <f>IF(ISTEXT('_Data inputs (reported)'!L45),'_Data inputs (reported)'!L45,"")</f>
        <v/>
      </c>
      <c r="M45" s="1" t="str">
        <f>IF(ISTEXT('_Data inputs (reported)'!M45),'_Data inputs (reported)'!M45,"")</f>
        <v/>
      </c>
      <c r="N45" s="105" t="str">
        <f>IF(ISTEXT('_Data inputs (reported)'!N45),'_Data inputs (reported)'!N45,"")</f>
        <v/>
      </c>
    </row>
    <row xmlns:x14ac="http://schemas.microsoft.com/office/spreadsheetml/2009/9/ac" r="46" x14ac:dyDescent="0.2">
      <c r="A46" s="105" t="str">
        <f>IF(ISTEXT(VLOOKUP('_Data inputs (reported)'!B46,countryname,2,FALSE)),IF(Introduction!$A$2="English",VLOOKUP('_Data inputs (reported)'!B46,countryname,2,FALSE),IF(Introduction!$A$2="French",VLOOKUP('_Data inputs (reported)'!B46,countryname,3,FALSE),IF(Introduction!$A$2="Spanish",VLOOKUP('_Data inputs (reported)'!B46,countryname,4,FALSE),IF(Introduction!$A$2="Russian",VLOOKUP('_Data inputs (reported)'!B46,countryname,5,FALSE),IF(Introduction!$A$2="Arabic",VLOOKUP('_Data inputs (reported)'!B46,countryname,6,FALSE),IF(Introduction!$A$2="Chinese",VLOOKUP('_Data inputs (reported)'!B46,countryname,7,FALSE),IF(Introduction!$A$2="Other",VLOOKUP('_Data inputs (reported)'!B46,countryname,8,FALSE)))))))),"")</f>
        <v/>
      </c>
      <c r="B46" s="1" t="str">
        <f>IF(ISTEXT('_Data inputs (reported)'!B46),'_Data inputs (reported)'!B46,"")</f>
        <v/>
      </c>
      <c r="C46" s="179" t="str">
        <f>IF(ISBLANK('_Data inputs (reported)'!C46),"",'_Data inputs (reported)'!C46)</f>
        <v/>
      </c>
      <c r="D46" s="105" t="str">
        <f>IF(ISTEXT(VLOOKUP('_Data inputs (reported)'!D46,nametranslations,1,FALSE)),IF(Introduction!$A$2="English",VLOOKUP('_Data inputs (reported)'!D46,nametranslations,1,FALSE),IF(Introduction!$A$2="Spanish",VLOOKUP('_Data inputs (reported)'!D46,nametranslations,2,FALSE),IF(Introduction!$A$2="French",VLOOKUP('_Data inputs (reported)'!D46,nametranslations,3,FALSE),IF(Introduction!$A$2="Arabic",VLOOKUP('_Data inputs (reported)'!D46,nametranslations,4,FALSE),IF(Introduction!$A$2="Russian",VLOOKUP('_Data inputs (reported)'!D46,nametranslations,5,FALSE),IF(Introduction!$A$2="Chinese",VLOOKUP('_Data inputs (reported)'!D46,nametranslations,6,FALSE),IF(Introduction!$A$2="Other",VLOOKUP('_Data inputs (reported)'!D46,nametranslations,7,FALSE)))))))),"")</f>
        <v/>
      </c>
      <c r="E46" s="1" t="str">
        <f>IF(ISTEXT('_Data inputs (reported)'!E46),'_Data inputs (reported)'!E46,"")</f>
        <v/>
      </c>
      <c r="F46" s="8" t="str">
        <f>IF(ISNUMBER('_Data inputs (reported)'!F46),'_Data inputs (reported)'!F46,"")</f>
        <v/>
      </c>
      <c r="G46" s="105" t="str">
        <f>IF(ISTEXT(VLOOKUP('_Data inputs (reported)'!G46,nametranslations,1,FALSE)),IF(Introduction!$A$2="English",VLOOKUP('_Data inputs (reported)'!G46,nametranslations,1,FALSE),IF(Introduction!$A$2="Spanish",VLOOKUP('_Data inputs (reported)'!G46,nametranslations,2,FALSE),IF(Introduction!$A$2="French",VLOOKUP('_Data inputs (reported)'!G46,nametranslations,3,FALSE),IF(Introduction!$A$2="Arabic",VLOOKUP('_Data inputs (reported)'!G46,nametranslations,4,FALSE),IF(Introduction!$A$2="Russian",VLOOKUP('_Data inputs (reported)'!G46,nametranslations,5,FALSE),IF(Introduction!$A$2="Chinese",VLOOKUP('_Data inputs (reported)'!G46,nametranslations,6,FALSE),IF(Introduction!$A$2="Other",VLOOKUP('_Data inputs (reported)'!G46,nametranslations,7,FALSE)))))))),"")</f>
        <v/>
      </c>
      <c r="H46" s="1" t="str">
        <f>IF(ISTEXT('_Data inputs (reported)'!H46),'_Data inputs (reported)'!H46,"")</f>
        <v/>
      </c>
      <c r="I46" s="42" t="str">
        <f>IF(ISNUMBER('_Data inputs (reported)'!I46),'_Data inputs (reported)'!I46,"")</f>
        <v/>
      </c>
      <c r="J46" s="1" t="str">
        <f>IF(ISTEXT('_Data inputs (reported)'!J46),'_Data inputs (reported)'!J46,"")</f>
        <v/>
      </c>
      <c r="K46" s="105" t="str">
        <f>IF(ISTEXT('_Data inputs (reported)'!K46),'_Data inputs (reported)'!K46,"")</f>
        <v/>
      </c>
      <c r="L46" s="105" t="str">
        <f>IF(ISTEXT('_Data inputs (reported)'!L46),'_Data inputs (reported)'!L46,"")</f>
        <v/>
      </c>
      <c r="M46" s="1" t="str">
        <f>IF(ISTEXT('_Data inputs (reported)'!M46),'_Data inputs (reported)'!M46,"")</f>
        <v/>
      </c>
      <c r="N46" s="105" t="str">
        <f>IF(ISTEXT('_Data inputs (reported)'!N46),'_Data inputs (reported)'!N46,"")</f>
        <v/>
      </c>
    </row>
    <row xmlns:x14ac="http://schemas.microsoft.com/office/spreadsheetml/2009/9/ac" r="47" x14ac:dyDescent="0.2">
      <c r="A47" s="105" t="str">
        <f>IF(ISTEXT(VLOOKUP('_Data inputs (reported)'!B47,countryname,2,FALSE)),IF(Introduction!$A$2="English",VLOOKUP('_Data inputs (reported)'!B47,countryname,2,FALSE),IF(Introduction!$A$2="French",VLOOKUP('_Data inputs (reported)'!B47,countryname,3,FALSE),IF(Introduction!$A$2="Spanish",VLOOKUP('_Data inputs (reported)'!B47,countryname,4,FALSE),IF(Introduction!$A$2="Russian",VLOOKUP('_Data inputs (reported)'!B47,countryname,5,FALSE),IF(Introduction!$A$2="Arabic",VLOOKUP('_Data inputs (reported)'!B47,countryname,6,FALSE),IF(Introduction!$A$2="Chinese",VLOOKUP('_Data inputs (reported)'!B47,countryname,7,FALSE),IF(Introduction!$A$2="Other",VLOOKUP('_Data inputs (reported)'!B47,countryname,8,FALSE)))))))),"")</f>
        <v/>
      </c>
      <c r="B47" s="1" t="str">
        <f>IF(ISTEXT('_Data inputs (reported)'!B47),'_Data inputs (reported)'!B47,"")</f>
        <v/>
      </c>
      <c r="C47" s="179" t="str">
        <f>IF(ISBLANK('_Data inputs (reported)'!C47),"",'_Data inputs (reported)'!C47)</f>
        <v/>
      </c>
      <c r="D47" s="105" t="str">
        <f>IF(ISTEXT(VLOOKUP('_Data inputs (reported)'!D47,nametranslations,1,FALSE)),IF(Introduction!$A$2="English",VLOOKUP('_Data inputs (reported)'!D47,nametranslations,1,FALSE),IF(Introduction!$A$2="Spanish",VLOOKUP('_Data inputs (reported)'!D47,nametranslations,2,FALSE),IF(Introduction!$A$2="French",VLOOKUP('_Data inputs (reported)'!D47,nametranslations,3,FALSE),IF(Introduction!$A$2="Arabic",VLOOKUP('_Data inputs (reported)'!D47,nametranslations,4,FALSE),IF(Introduction!$A$2="Russian",VLOOKUP('_Data inputs (reported)'!D47,nametranslations,5,FALSE),IF(Introduction!$A$2="Chinese",VLOOKUP('_Data inputs (reported)'!D47,nametranslations,6,FALSE),IF(Introduction!$A$2="Other",VLOOKUP('_Data inputs (reported)'!D47,nametranslations,7,FALSE)))))))),"")</f>
        <v/>
      </c>
      <c r="E47" s="1" t="str">
        <f>IF(ISTEXT('_Data inputs (reported)'!E47),'_Data inputs (reported)'!E47,"")</f>
        <v/>
      </c>
      <c r="F47" s="8" t="str">
        <f>IF(ISNUMBER('_Data inputs (reported)'!F47),'_Data inputs (reported)'!F47,"")</f>
        <v/>
      </c>
      <c r="G47" s="105" t="str">
        <f>IF(ISTEXT(VLOOKUP('_Data inputs (reported)'!G47,nametranslations,1,FALSE)),IF(Introduction!$A$2="English",VLOOKUP('_Data inputs (reported)'!G47,nametranslations,1,FALSE),IF(Introduction!$A$2="Spanish",VLOOKUP('_Data inputs (reported)'!G47,nametranslations,2,FALSE),IF(Introduction!$A$2="French",VLOOKUP('_Data inputs (reported)'!G47,nametranslations,3,FALSE),IF(Introduction!$A$2="Arabic",VLOOKUP('_Data inputs (reported)'!G47,nametranslations,4,FALSE),IF(Introduction!$A$2="Russian",VLOOKUP('_Data inputs (reported)'!G47,nametranslations,5,FALSE),IF(Introduction!$A$2="Chinese",VLOOKUP('_Data inputs (reported)'!G47,nametranslations,6,FALSE),IF(Introduction!$A$2="Other",VLOOKUP('_Data inputs (reported)'!G47,nametranslations,7,FALSE)))))))),"")</f>
        <v/>
      </c>
      <c r="H47" s="1" t="str">
        <f>IF(ISTEXT('_Data inputs (reported)'!H47),'_Data inputs (reported)'!H47,"")</f>
        <v/>
      </c>
      <c r="I47" s="42" t="str">
        <f>IF(ISNUMBER('_Data inputs (reported)'!I47),'_Data inputs (reported)'!I47,"")</f>
        <v/>
      </c>
      <c r="J47" s="1" t="str">
        <f>IF(ISTEXT('_Data inputs (reported)'!J47),'_Data inputs (reported)'!J47,"")</f>
        <v/>
      </c>
      <c r="K47" s="105" t="str">
        <f>IF(ISTEXT('_Data inputs (reported)'!K47),'_Data inputs (reported)'!K47,"")</f>
        <v/>
      </c>
      <c r="L47" s="105" t="str">
        <f>IF(ISTEXT('_Data inputs (reported)'!L47),'_Data inputs (reported)'!L47,"")</f>
        <v/>
      </c>
      <c r="M47" s="1" t="str">
        <f>IF(ISTEXT('_Data inputs (reported)'!M47),'_Data inputs (reported)'!M47,"")</f>
        <v/>
      </c>
      <c r="N47" s="105" t="str">
        <f>IF(ISTEXT('_Data inputs (reported)'!N47),'_Data inputs (reported)'!N47,"")</f>
        <v/>
      </c>
    </row>
    <row xmlns:x14ac="http://schemas.microsoft.com/office/spreadsheetml/2009/9/ac" r="48" x14ac:dyDescent="0.2">
      <c r="A48" s="105" t="str">
        <f>IF(ISTEXT(VLOOKUP('_Data inputs (reported)'!B48,countryname,2,FALSE)),IF(Introduction!$A$2="English",VLOOKUP('_Data inputs (reported)'!B48,countryname,2,FALSE),IF(Introduction!$A$2="French",VLOOKUP('_Data inputs (reported)'!B48,countryname,3,FALSE),IF(Introduction!$A$2="Spanish",VLOOKUP('_Data inputs (reported)'!B48,countryname,4,FALSE),IF(Introduction!$A$2="Russian",VLOOKUP('_Data inputs (reported)'!B48,countryname,5,FALSE),IF(Introduction!$A$2="Arabic",VLOOKUP('_Data inputs (reported)'!B48,countryname,6,FALSE),IF(Introduction!$A$2="Chinese",VLOOKUP('_Data inputs (reported)'!B48,countryname,7,FALSE),IF(Introduction!$A$2="Other",VLOOKUP('_Data inputs (reported)'!B48,countryname,8,FALSE)))))))),"")</f>
        <v/>
      </c>
      <c r="B48" s="1" t="str">
        <f>IF(ISTEXT('_Data inputs (reported)'!B48),'_Data inputs (reported)'!B48,"")</f>
        <v/>
      </c>
      <c r="C48" s="179" t="str">
        <f>IF(ISBLANK('_Data inputs (reported)'!C48),"",'_Data inputs (reported)'!C48)</f>
        <v/>
      </c>
      <c r="D48" s="105" t="str">
        <f>IF(ISTEXT(VLOOKUP('_Data inputs (reported)'!D48,nametranslations,1,FALSE)),IF(Introduction!$A$2="English",VLOOKUP('_Data inputs (reported)'!D48,nametranslations,1,FALSE),IF(Introduction!$A$2="Spanish",VLOOKUP('_Data inputs (reported)'!D48,nametranslations,2,FALSE),IF(Introduction!$A$2="French",VLOOKUP('_Data inputs (reported)'!D48,nametranslations,3,FALSE),IF(Introduction!$A$2="Arabic",VLOOKUP('_Data inputs (reported)'!D48,nametranslations,4,FALSE),IF(Introduction!$A$2="Russian",VLOOKUP('_Data inputs (reported)'!D48,nametranslations,5,FALSE),IF(Introduction!$A$2="Chinese",VLOOKUP('_Data inputs (reported)'!D48,nametranslations,6,FALSE),IF(Introduction!$A$2="Other",VLOOKUP('_Data inputs (reported)'!D48,nametranslations,7,FALSE)))))))),"")</f>
        <v/>
      </c>
      <c r="E48" s="1" t="str">
        <f>IF(ISTEXT('_Data inputs (reported)'!E48),'_Data inputs (reported)'!E48,"")</f>
        <v/>
      </c>
      <c r="F48" s="8" t="str">
        <f>IF(ISNUMBER('_Data inputs (reported)'!F48),'_Data inputs (reported)'!F48,"")</f>
        <v/>
      </c>
      <c r="G48" s="105" t="str">
        <f>IF(ISTEXT(VLOOKUP('_Data inputs (reported)'!G48,nametranslations,1,FALSE)),IF(Introduction!$A$2="English",VLOOKUP('_Data inputs (reported)'!G48,nametranslations,1,FALSE),IF(Introduction!$A$2="Spanish",VLOOKUP('_Data inputs (reported)'!G48,nametranslations,2,FALSE),IF(Introduction!$A$2="French",VLOOKUP('_Data inputs (reported)'!G48,nametranslations,3,FALSE),IF(Introduction!$A$2="Arabic",VLOOKUP('_Data inputs (reported)'!G48,nametranslations,4,FALSE),IF(Introduction!$A$2="Russian",VLOOKUP('_Data inputs (reported)'!G48,nametranslations,5,FALSE),IF(Introduction!$A$2="Chinese",VLOOKUP('_Data inputs (reported)'!G48,nametranslations,6,FALSE),IF(Introduction!$A$2="Other",VLOOKUP('_Data inputs (reported)'!G48,nametranslations,7,FALSE)))))))),"")</f>
        <v/>
      </c>
      <c r="H48" s="1" t="str">
        <f>IF(ISTEXT('_Data inputs (reported)'!H48),'_Data inputs (reported)'!H48,"")</f>
        <v/>
      </c>
      <c r="I48" s="42" t="str">
        <f>IF(ISNUMBER('_Data inputs (reported)'!I48),'_Data inputs (reported)'!I48,"")</f>
        <v/>
      </c>
      <c r="J48" s="1" t="str">
        <f>IF(ISTEXT('_Data inputs (reported)'!J48),'_Data inputs (reported)'!J48,"")</f>
        <v/>
      </c>
      <c r="K48" s="105" t="str">
        <f>IF(ISTEXT('_Data inputs (reported)'!K48),'_Data inputs (reported)'!K48,"")</f>
        <v/>
      </c>
      <c r="L48" s="105" t="str">
        <f>IF(ISTEXT('_Data inputs (reported)'!L48),'_Data inputs (reported)'!L48,"")</f>
        <v/>
      </c>
      <c r="M48" s="1" t="str">
        <f>IF(ISTEXT('_Data inputs (reported)'!M48),'_Data inputs (reported)'!M48,"")</f>
        <v/>
      </c>
      <c r="N48" s="105" t="str">
        <f>IF(ISTEXT('_Data inputs (reported)'!N48),'_Data inputs (reported)'!N48,"")</f>
        <v/>
      </c>
    </row>
    <row xmlns:x14ac="http://schemas.microsoft.com/office/spreadsheetml/2009/9/ac" r="49" x14ac:dyDescent="0.2">
      <c r="A49" s="105" t="str">
        <f>IF(ISTEXT(VLOOKUP('_Data inputs (reported)'!B49,countryname,2,FALSE)),IF(Introduction!$A$2="English",VLOOKUP('_Data inputs (reported)'!B49,countryname,2,FALSE),IF(Introduction!$A$2="French",VLOOKUP('_Data inputs (reported)'!B49,countryname,3,FALSE),IF(Introduction!$A$2="Spanish",VLOOKUP('_Data inputs (reported)'!B49,countryname,4,FALSE),IF(Introduction!$A$2="Russian",VLOOKUP('_Data inputs (reported)'!B49,countryname,5,FALSE),IF(Introduction!$A$2="Arabic",VLOOKUP('_Data inputs (reported)'!B49,countryname,6,FALSE),IF(Introduction!$A$2="Chinese",VLOOKUP('_Data inputs (reported)'!B49,countryname,7,FALSE),IF(Introduction!$A$2="Other",VLOOKUP('_Data inputs (reported)'!B49,countryname,8,FALSE)))))))),"")</f>
        <v/>
      </c>
      <c r="B49" s="1" t="str">
        <f>IF(ISTEXT('_Data inputs (reported)'!B49),'_Data inputs (reported)'!B49,"")</f>
        <v/>
      </c>
      <c r="C49" s="179" t="str">
        <f>IF(ISBLANK('_Data inputs (reported)'!C49),"",'_Data inputs (reported)'!C49)</f>
        <v/>
      </c>
      <c r="D49" s="105" t="str">
        <f>IF(ISTEXT(VLOOKUP('_Data inputs (reported)'!D49,nametranslations,1,FALSE)),IF(Introduction!$A$2="English",VLOOKUP('_Data inputs (reported)'!D49,nametranslations,1,FALSE),IF(Introduction!$A$2="Spanish",VLOOKUP('_Data inputs (reported)'!D49,nametranslations,2,FALSE),IF(Introduction!$A$2="French",VLOOKUP('_Data inputs (reported)'!D49,nametranslations,3,FALSE),IF(Introduction!$A$2="Arabic",VLOOKUP('_Data inputs (reported)'!D49,nametranslations,4,FALSE),IF(Introduction!$A$2="Russian",VLOOKUP('_Data inputs (reported)'!D49,nametranslations,5,FALSE),IF(Introduction!$A$2="Chinese",VLOOKUP('_Data inputs (reported)'!D49,nametranslations,6,FALSE),IF(Introduction!$A$2="Other",VLOOKUP('_Data inputs (reported)'!D49,nametranslations,7,FALSE)))))))),"")</f>
        <v/>
      </c>
      <c r="E49" s="1" t="str">
        <f>IF(ISTEXT('_Data inputs (reported)'!E49),'_Data inputs (reported)'!E49,"")</f>
        <v/>
      </c>
      <c r="F49" s="8" t="str">
        <f>IF(ISNUMBER('_Data inputs (reported)'!F49),'_Data inputs (reported)'!F49,"")</f>
        <v/>
      </c>
      <c r="G49" s="105" t="str">
        <f>IF(ISTEXT(VLOOKUP('_Data inputs (reported)'!G49,nametranslations,1,FALSE)),IF(Introduction!$A$2="English",VLOOKUP('_Data inputs (reported)'!G49,nametranslations,1,FALSE),IF(Introduction!$A$2="Spanish",VLOOKUP('_Data inputs (reported)'!G49,nametranslations,2,FALSE),IF(Introduction!$A$2="French",VLOOKUP('_Data inputs (reported)'!G49,nametranslations,3,FALSE),IF(Introduction!$A$2="Arabic",VLOOKUP('_Data inputs (reported)'!G49,nametranslations,4,FALSE),IF(Introduction!$A$2="Russian",VLOOKUP('_Data inputs (reported)'!G49,nametranslations,5,FALSE),IF(Introduction!$A$2="Chinese",VLOOKUP('_Data inputs (reported)'!G49,nametranslations,6,FALSE),IF(Introduction!$A$2="Other",VLOOKUP('_Data inputs (reported)'!G49,nametranslations,7,FALSE)))))))),"")</f>
        <v/>
      </c>
      <c r="H49" s="1" t="str">
        <f>IF(ISTEXT('_Data inputs (reported)'!H49),'_Data inputs (reported)'!H49,"")</f>
        <v/>
      </c>
      <c r="I49" s="42" t="str">
        <f>IF(ISNUMBER('_Data inputs (reported)'!I49),'_Data inputs (reported)'!I49,"")</f>
        <v/>
      </c>
      <c r="J49" s="1" t="str">
        <f>IF(ISTEXT('_Data inputs (reported)'!J49),'_Data inputs (reported)'!J49,"")</f>
        <v/>
      </c>
      <c r="K49" s="105" t="str">
        <f>IF(ISTEXT('_Data inputs (reported)'!K49),'_Data inputs (reported)'!K49,"")</f>
        <v/>
      </c>
      <c r="L49" s="105" t="str">
        <f>IF(ISTEXT('_Data inputs (reported)'!L49),'_Data inputs (reported)'!L49,"")</f>
        <v/>
      </c>
      <c r="M49" s="1" t="str">
        <f>IF(ISTEXT('_Data inputs (reported)'!M49),'_Data inputs (reported)'!M49,"")</f>
        <v/>
      </c>
      <c r="N49" s="105" t="str">
        <f>IF(ISTEXT('_Data inputs (reported)'!N49),'_Data inputs (reported)'!N49,"")</f>
        <v/>
      </c>
    </row>
    <row xmlns:x14ac="http://schemas.microsoft.com/office/spreadsheetml/2009/9/ac" r="50" x14ac:dyDescent="0.2">
      <c r="A50" s="105" t="str">
        <f>IF(ISTEXT(VLOOKUP('_Data inputs (reported)'!B50,countryname,2,FALSE)),IF(Introduction!$A$2="English",VLOOKUP('_Data inputs (reported)'!B50,countryname,2,FALSE),IF(Introduction!$A$2="French",VLOOKUP('_Data inputs (reported)'!B50,countryname,3,FALSE),IF(Introduction!$A$2="Spanish",VLOOKUP('_Data inputs (reported)'!B50,countryname,4,FALSE),IF(Introduction!$A$2="Russian",VLOOKUP('_Data inputs (reported)'!B50,countryname,5,FALSE),IF(Introduction!$A$2="Arabic",VLOOKUP('_Data inputs (reported)'!B50,countryname,6,FALSE),IF(Introduction!$A$2="Chinese",VLOOKUP('_Data inputs (reported)'!B50,countryname,7,FALSE),IF(Introduction!$A$2="Other",VLOOKUP('_Data inputs (reported)'!B50,countryname,8,FALSE)))))))),"")</f>
        <v/>
      </c>
      <c r="B50" s="1" t="str">
        <f>IF(ISTEXT('_Data inputs (reported)'!B50),'_Data inputs (reported)'!B50,"")</f>
        <v/>
      </c>
      <c r="C50" s="179" t="str">
        <f>IF(ISBLANK('_Data inputs (reported)'!C50),"",'_Data inputs (reported)'!C50)</f>
        <v/>
      </c>
      <c r="D50" s="105" t="str">
        <f>IF(ISTEXT(VLOOKUP('_Data inputs (reported)'!D50,nametranslations,1,FALSE)),IF(Introduction!$A$2="English",VLOOKUP('_Data inputs (reported)'!D50,nametranslations,1,FALSE),IF(Introduction!$A$2="Spanish",VLOOKUP('_Data inputs (reported)'!D50,nametranslations,2,FALSE),IF(Introduction!$A$2="French",VLOOKUP('_Data inputs (reported)'!D50,nametranslations,3,FALSE),IF(Introduction!$A$2="Arabic",VLOOKUP('_Data inputs (reported)'!D50,nametranslations,4,FALSE),IF(Introduction!$A$2="Russian",VLOOKUP('_Data inputs (reported)'!D50,nametranslations,5,FALSE),IF(Introduction!$A$2="Chinese",VLOOKUP('_Data inputs (reported)'!D50,nametranslations,6,FALSE),IF(Introduction!$A$2="Other",VLOOKUP('_Data inputs (reported)'!D50,nametranslations,7,FALSE)))))))),"")</f>
        <v/>
      </c>
      <c r="E50" s="1" t="str">
        <f>IF(ISTEXT('_Data inputs (reported)'!E50),'_Data inputs (reported)'!E50,"")</f>
        <v/>
      </c>
      <c r="F50" s="8" t="str">
        <f>IF(ISNUMBER('_Data inputs (reported)'!F50),'_Data inputs (reported)'!F50,"")</f>
        <v/>
      </c>
      <c r="G50" s="105" t="str">
        <f>IF(ISTEXT(VLOOKUP('_Data inputs (reported)'!G50,nametranslations,1,FALSE)),IF(Introduction!$A$2="English",VLOOKUP('_Data inputs (reported)'!G50,nametranslations,1,FALSE),IF(Introduction!$A$2="Spanish",VLOOKUP('_Data inputs (reported)'!G50,nametranslations,2,FALSE),IF(Introduction!$A$2="French",VLOOKUP('_Data inputs (reported)'!G50,nametranslations,3,FALSE),IF(Introduction!$A$2="Arabic",VLOOKUP('_Data inputs (reported)'!G50,nametranslations,4,FALSE),IF(Introduction!$A$2="Russian",VLOOKUP('_Data inputs (reported)'!G50,nametranslations,5,FALSE),IF(Introduction!$A$2="Chinese",VLOOKUP('_Data inputs (reported)'!G50,nametranslations,6,FALSE),IF(Introduction!$A$2="Other",VLOOKUP('_Data inputs (reported)'!G50,nametranslations,7,FALSE)))))))),"")</f>
        <v/>
      </c>
      <c r="H50" s="1" t="str">
        <f>IF(ISTEXT('_Data inputs (reported)'!H50),'_Data inputs (reported)'!H50,"")</f>
        <v/>
      </c>
      <c r="I50" s="42" t="str">
        <f>IF(ISNUMBER('_Data inputs (reported)'!I50),'_Data inputs (reported)'!I50,"")</f>
        <v/>
      </c>
      <c r="J50" s="1" t="str">
        <f>IF(ISTEXT('_Data inputs (reported)'!J50),'_Data inputs (reported)'!J50,"")</f>
        <v/>
      </c>
      <c r="K50" s="105" t="str">
        <f>IF(ISTEXT('_Data inputs (reported)'!K50),'_Data inputs (reported)'!K50,"")</f>
        <v/>
      </c>
      <c r="L50" s="105" t="str">
        <f>IF(ISTEXT('_Data inputs (reported)'!L50),'_Data inputs (reported)'!L50,"")</f>
        <v/>
      </c>
      <c r="M50" s="1" t="str">
        <f>IF(ISTEXT('_Data inputs (reported)'!M50),'_Data inputs (reported)'!M50,"")</f>
        <v/>
      </c>
      <c r="N50" s="105" t="str">
        <f>IF(ISTEXT('_Data inputs (reported)'!N50),'_Data inputs (reported)'!N50,"")</f>
        <v/>
      </c>
    </row>
    <row xmlns:x14ac="http://schemas.microsoft.com/office/spreadsheetml/2009/9/ac" r="51" x14ac:dyDescent="0.2">
      <c r="A51" s="105" t="str">
        <f>IF(ISTEXT(VLOOKUP('_Data inputs (reported)'!B51,countryname,2,FALSE)),IF(Introduction!$A$2="English",VLOOKUP('_Data inputs (reported)'!B51,countryname,2,FALSE),IF(Introduction!$A$2="French",VLOOKUP('_Data inputs (reported)'!B51,countryname,3,FALSE),IF(Introduction!$A$2="Spanish",VLOOKUP('_Data inputs (reported)'!B51,countryname,4,FALSE),IF(Introduction!$A$2="Russian",VLOOKUP('_Data inputs (reported)'!B51,countryname,5,FALSE),IF(Introduction!$A$2="Arabic",VLOOKUP('_Data inputs (reported)'!B51,countryname,6,FALSE),IF(Introduction!$A$2="Chinese",VLOOKUP('_Data inputs (reported)'!B51,countryname,7,FALSE),IF(Introduction!$A$2="Other",VLOOKUP('_Data inputs (reported)'!B51,countryname,8,FALSE)))))))),"")</f>
        <v/>
      </c>
      <c r="B51" s="1" t="str">
        <f>IF(ISTEXT('_Data inputs (reported)'!B51),'_Data inputs (reported)'!B51,"")</f>
        <v/>
      </c>
      <c r="C51" s="179" t="str">
        <f>IF(ISBLANK('_Data inputs (reported)'!C51),"",'_Data inputs (reported)'!C51)</f>
        <v/>
      </c>
      <c r="D51" s="105" t="str">
        <f>IF(ISTEXT(VLOOKUP('_Data inputs (reported)'!D51,nametranslations,1,FALSE)),IF(Introduction!$A$2="English",VLOOKUP('_Data inputs (reported)'!D51,nametranslations,1,FALSE),IF(Introduction!$A$2="Spanish",VLOOKUP('_Data inputs (reported)'!D51,nametranslations,2,FALSE),IF(Introduction!$A$2="French",VLOOKUP('_Data inputs (reported)'!D51,nametranslations,3,FALSE),IF(Introduction!$A$2="Arabic",VLOOKUP('_Data inputs (reported)'!D51,nametranslations,4,FALSE),IF(Introduction!$A$2="Russian",VLOOKUP('_Data inputs (reported)'!D51,nametranslations,5,FALSE),IF(Introduction!$A$2="Chinese",VLOOKUP('_Data inputs (reported)'!D51,nametranslations,6,FALSE),IF(Introduction!$A$2="Other",VLOOKUP('_Data inputs (reported)'!D51,nametranslations,7,FALSE)))))))),"")</f>
        <v/>
      </c>
      <c r="E51" s="1" t="str">
        <f>IF(ISTEXT('_Data inputs (reported)'!E51),'_Data inputs (reported)'!E51,"")</f>
        <v/>
      </c>
      <c r="F51" s="8" t="str">
        <f>IF(ISNUMBER('_Data inputs (reported)'!F51),'_Data inputs (reported)'!F51,"")</f>
        <v/>
      </c>
      <c r="G51" s="105" t="str">
        <f>IF(ISTEXT(VLOOKUP('_Data inputs (reported)'!G51,nametranslations,1,FALSE)),IF(Introduction!$A$2="English",VLOOKUP('_Data inputs (reported)'!G51,nametranslations,1,FALSE),IF(Introduction!$A$2="Spanish",VLOOKUP('_Data inputs (reported)'!G51,nametranslations,2,FALSE),IF(Introduction!$A$2="French",VLOOKUP('_Data inputs (reported)'!G51,nametranslations,3,FALSE),IF(Introduction!$A$2="Arabic",VLOOKUP('_Data inputs (reported)'!G51,nametranslations,4,FALSE),IF(Introduction!$A$2="Russian",VLOOKUP('_Data inputs (reported)'!G51,nametranslations,5,FALSE),IF(Introduction!$A$2="Chinese",VLOOKUP('_Data inputs (reported)'!G51,nametranslations,6,FALSE),IF(Introduction!$A$2="Other",VLOOKUP('_Data inputs (reported)'!G51,nametranslations,7,FALSE)))))))),"")</f>
        <v/>
      </c>
      <c r="H51" s="1" t="str">
        <f>IF(ISTEXT('_Data inputs (reported)'!H51),'_Data inputs (reported)'!H51,"")</f>
        <v/>
      </c>
      <c r="I51" s="42" t="str">
        <f>IF(ISNUMBER('_Data inputs (reported)'!I51),'_Data inputs (reported)'!I51,"")</f>
        <v/>
      </c>
      <c r="J51" s="1" t="str">
        <f>IF(ISTEXT('_Data inputs (reported)'!J51),'_Data inputs (reported)'!J51,"")</f>
        <v/>
      </c>
      <c r="K51" s="105" t="str">
        <f>IF(ISTEXT('_Data inputs (reported)'!K51),'_Data inputs (reported)'!K51,"")</f>
        <v/>
      </c>
      <c r="L51" s="105" t="str">
        <f>IF(ISTEXT('_Data inputs (reported)'!L51),'_Data inputs (reported)'!L51,"")</f>
        <v/>
      </c>
      <c r="M51" s="1" t="str">
        <f>IF(ISTEXT('_Data inputs (reported)'!M51),'_Data inputs (reported)'!M51,"")</f>
        <v/>
      </c>
      <c r="N51" s="105" t="str">
        <f>IF(ISTEXT('_Data inputs (reported)'!N51),'_Data inputs (reported)'!N51,"")</f>
        <v/>
      </c>
    </row>
    <row xmlns:x14ac="http://schemas.microsoft.com/office/spreadsheetml/2009/9/ac" r="52" x14ac:dyDescent="0.2">
      <c r="A52" s="105" t="str">
        <f>IF(ISTEXT(VLOOKUP('_Data inputs (reported)'!B52,countryname,2,FALSE)),IF(Introduction!$A$2="English",VLOOKUP('_Data inputs (reported)'!B52,countryname,2,FALSE),IF(Introduction!$A$2="French",VLOOKUP('_Data inputs (reported)'!B52,countryname,3,FALSE),IF(Introduction!$A$2="Spanish",VLOOKUP('_Data inputs (reported)'!B52,countryname,4,FALSE),IF(Introduction!$A$2="Russian",VLOOKUP('_Data inputs (reported)'!B52,countryname,5,FALSE),IF(Introduction!$A$2="Arabic",VLOOKUP('_Data inputs (reported)'!B52,countryname,6,FALSE),IF(Introduction!$A$2="Chinese",VLOOKUP('_Data inputs (reported)'!B52,countryname,7,FALSE),IF(Introduction!$A$2="Other",VLOOKUP('_Data inputs (reported)'!B52,countryname,8,FALSE)))))))),"")</f>
        <v/>
      </c>
      <c r="B52" s="1" t="str">
        <f>IF(ISTEXT('_Data inputs (reported)'!B52),'_Data inputs (reported)'!B52,"")</f>
        <v/>
      </c>
      <c r="C52" s="179" t="str">
        <f>IF(ISBLANK('_Data inputs (reported)'!C52),"",'_Data inputs (reported)'!C52)</f>
        <v/>
      </c>
      <c r="D52" s="105" t="str">
        <f>IF(ISTEXT(VLOOKUP('_Data inputs (reported)'!D52,nametranslations,1,FALSE)),IF(Introduction!$A$2="English",VLOOKUP('_Data inputs (reported)'!D52,nametranslations,1,FALSE),IF(Introduction!$A$2="Spanish",VLOOKUP('_Data inputs (reported)'!D52,nametranslations,2,FALSE),IF(Introduction!$A$2="French",VLOOKUP('_Data inputs (reported)'!D52,nametranslations,3,FALSE),IF(Introduction!$A$2="Arabic",VLOOKUP('_Data inputs (reported)'!D52,nametranslations,4,FALSE),IF(Introduction!$A$2="Russian",VLOOKUP('_Data inputs (reported)'!D52,nametranslations,5,FALSE),IF(Introduction!$A$2="Chinese",VLOOKUP('_Data inputs (reported)'!D52,nametranslations,6,FALSE),IF(Introduction!$A$2="Other",VLOOKUP('_Data inputs (reported)'!D52,nametranslations,7,FALSE)))))))),"")</f>
        <v/>
      </c>
      <c r="E52" s="1" t="str">
        <f>IF(ISTEXT('_Data inputs (reported)'!E52),'_Data inputs (reported)'!E52,"")</f>
        <v/>
      </c>
      <c r="F52" s="8" t="str">
        <f>IF(ISNUMBER('_Data inputs (reported)'!F52),'_Data inputs (reported)'!F52,"")</f>
        <v/>
      </c>
      <c r="G52" s="105" t="str">
        <f>IF(ISTEXT(VLOOKUP('_Data inputs (reported)'!G52,nametranslations,1,FALSE)),IF(Introduction!$A$2="English",VLOOKUP('_Data inputs (reported)'!G52,nametranslations,1,FALSE),IF(Introduction!$A$2="Spanish",VLOOKUP('_Data inputs (reported)'!G52,nametranslations,2,FALSE),IF(Introduction!$A$2="French",VLOOKUP('_Data inputs (reported)'!G52,nametranslations,3,FALSE),IF(Introduction!$A$2="Arabic",VLOOKUP('_Data inputs (reported)'!G52,nametranslations,4,FALSE),IF(Introduction!$A$2="Russian",VLOOKUP('_Data inputs (reported)'!G52,nametranslations,5,FALSE),IF(Introduction!$A$2="Chinese",VLOOKUP('_Data inputs (reported)'!G52,nametranslations,6,FALSE),IF(Introduction!$A$2="Other",VLOOKUP('_Data inputs (reported)'!G52,nametranslations,7,FALSE)))))))),"")</f>
        <v/>
      </c>
      <c r="H52" s="1" t="str">
        <f>IF(ISTEXT('_Data inputs (reported)'!H52),'_Data inputs (reported)'!H52,"")</f>
        <v/>
      </c>
      <c r="I52" s="42" t="str">
        <f>IF(ISNUMBER('_Data inputs (reported)'!I52),'_Data inputs (reported)'!I52,"")</f>
        <v/>
      </c>
      <c r="J52" s="1" t="str">
        <f>IF(ISTEXT('_Data inputs (reported)'!J52),'_Data inputs (reported)'!J52,"")</f>
        <v/>
      </c>
      <c r="K52" s="105" t="str">
        <f>IF(ISTEXT('_Data inputs (reported)'!K52),'_Data inputs (reported)'!K52,"")</f>
        <v/>
      </c>
      <c r="L52" s="105" t="str">
        <f>IF(ISTEXT('_Data inputs (reported)'!L52),'_Data inputs (reported)'!L52,"")</f>
        <v/>
      </c>
      <c r="M52" s="1" t="str">
        <f>IF(ISTEXT('_Data inputs (reported)'!M52),'_Data inputs (reported)'!M52,"")</f>
        <v/>
      </c>
      <c r="N52" s="105" t="str">
        <f>IF(ISTEXT('_Data inputs (reported)'!N52),'_Data inputs (reported)'!N52,"")</f>
        <v/>
      </c>
    </row>
    <row xmlns:x14ac="http://schemas.microsoft.com/office/spreadsheetml/2009/9/ac" r="53" x14ac:dyDescent="0.2">
      <c r="A53" s="105" t="str">
        <f>IF(ISTEXT(VLOOKUP('_Data inputs (reported)'!B53,countryname,2,FALSE)),IF(Introduction!$A$2="English",VLOOKUP('_Data inputs (reported)'!B53,countryname,2,FALSE),IF(Introduction!$A$2="French",VLOOKUP('_Data inputs (reported)'!B53,countryname,3,FALSE),IF(Introduction!$A$2="Spanish",VLOOKUP('_Data inputs (reported)'!B53,countryname,4,FALSE),IF(Introduction!$A$2="Russian",VLOOKUP('_Data inputs (reported)'!B53,countryname,5,FALSE),IF(Introduction!$A$2="Arabic",VLOOKUP('_Data inputs (reported)'!B53,countryname,6,FALSE),IF(Introduction!$A$2="Chinese",VLOOKUP('_Data inputs (reported)'!B53,countryname,7,FALSE),IF(Introduction!$A$2="Other",VLOOKUP('_Data inputs (reported)'!B53,countryname,8,FALSE)))))))),"")</f>
        <v/>
      </c>
      <c r="B53" s="1" t="str">
        <f>IF(ISTEXT('_Data inputs (reported)'!B53),'_Data inputs (reported)'!B53,"")</f>
        <v/>
      </c>
      <c r="C53" s="179" t="str">
        <f>IF(ISBLANK('_Data inputs (reported)'!C53),"",'_Data inputs (reported)'!C53)</f>
        <v/>
      </c>
      <c r="D53" s="105" t="str">
        <f>IF(ISTEXT(VLOOKUP('_Data inputs (reported)'!D53,nametranslations,1,FALSE)),IF(Introduction!$A$2="English",VLOOKUP('_Data inputs (reported)'!D53,nametranslations,1,FALSE),IF(Introduction!$A$2="Spanish",VLOOKUP('_Data inputs (reported)'!D53,nametranslations,2,FALSE),IF(Introduction!$A$2="French",VLOOKUP('_Data inputs (reported)'!D53,nametranslations,3,FALSE),IF(Introduction!$A$2="Arabic",VLOOKUP('_Data inputs (reported)'!D53,nametranslations,4,FALSE),IF(Introduction!$A$2="Russian",VLOOKUP('_Data inputs (reported)'!D53,nametranslations,5,FALSE),IF(Introduction!$A$2="Chinese",VLOOKUP('_Data inputs (reported)'!D53,nametranslations,6,FALSE),IF(Introduction!$A$2="Other",VLOOKUP('_Data inputs (reported)'!D53,nametranslations,7,FALSE)))))))),"")</f>
        <v/>
      </c>
      <c r="E53" s="1" t="str">
        <f>IF(ISTEXT('_Data inputs (reported)'!E53),'_Data inputs (reported)'!E53,"")</f>
        <v/>
      </c>
      <c r="F53" s="8" t="str">
        <f>IF(ISNUMBER('_Data inputs (reported)'!F53),'_Data inputs (reported)'!F53,"")</f>
        <v/>
      </c>
      <c r="G53" s="105" t="str">
        <f>IF(ISTEXT(VLOOKUP('_Data inputs (reported)'!G53,nametranslations,1,FALSE)),IF(Introduction!$A$2="English",VLOOKUP('_Data inputs (reported)'!G53,nametranslations,1,FALSE),IF(Introduction!$A$2="Spanish",VLOOKUP('_Data inputs (reported)'!G53,nametranslations,2,FALSE),IF(Introduction!$A$2="French",VLOOKUP('_Data inputs (reported)'!G53,nametranslations,3,FALSE),IF(Introduction!$A$2="Arabic",VLOOKUP('_Data inputs (reported)'!G53,nametranslations,4,FALSE),IF(Introduction!$A$2="Russian",VLOOKUP('_Data inputs (reported)'!G53,nametranslations,5,FALSE),IF(Introduction!$A$2="Chinese",VLOOKUP('_Data inputs (reported)'!G53,nametranslations,6,FALSE),IF(Introduction!$A$2="Other",VLOOKUP('_Data inputs (reported)'!G53,nametranslations,7,FALSE)))))))),"")</f>
        <v/>
      </c>
      <c r="H53" s="1" t="str">
        <f>IF(ISTEXT('_Data inputs (reported)'!H53),'_Data inputs (reported)'!H53,"")</f>
        <v/>
      </c>
      <c r="I53" s="42" t="str">
        <f>IF(ISNUMBER('_Data inputs (reported)'!I53),'_Data inputs (reported)'!I53,"")</f>
        <v/>
      </c>
      <c r="J53" s="1" t="str">
        <f>IF(ISTEXT('_Data inputs (reported)'!J53),'_Data inputs (reported)'!J53,"")</f>
        <v/>
      </c>
      <c r="K53" s="105" t="str">
        <f>IF(ISTEXT('_Data inputs (reported)'!K53),'_Data inputs (reported)'!K53,"")</f>
        <v/>
      </c>
      <c r="L53" s="105" t="str">
        <f>IF(ISTEXT('_Data inputs (reported)'!L53),'_Data inputs (reported)'!L53,"")</f>
        <v/>
      </c>
      <c r="M53" s="1" t="str">
        <f>IF(ISTEXT('_Data inputs (reported)'!M53),'_Data inputs (reported)'!M53,"")</f>
        <v/>
      </c>
      <c r="N53" s="105" t="str">
        <f>IF(ISTEXT('_Data inputs (reported)'!N53),'_Data inputs (reported)'!N53,"")</f>
        <v/>
      </c>
    </row>
    <row xmlns:x14ac="http://schemas.microsoft.com/office/spreadsheetml/2009/9/ac" r="54" x14ac:dyDescent="0.2">
      <c r="A54" s="105" t="str">
        <f>IF(ISTEXT(VLOOKUP('_Data inputs (reported)'!B54,countryname,2,FALSE)),IF(Introduction!$A$2="English",VLOOKUP('_Data inputs (reported)'!B54,countryname,2,FALSE),IF(Introduction!$A$2="French",VLOOKUP('_Data inputs (reported)'!B54,countryname,3,FALSE),IF(Introduction!$A$2="Spanish",VLOOKUP('_Data inputs (reported)'!B54,countryname,4,FALSE),IF(Introduction!$A$2="Russian",VLOOKUP('_Data inputs (reported)'!B54,countryname,5,FALSE),IF(Introduction!$A$2="Arabic",VLOOKUP('_Data inputs (reported)'!B54,countryname,6,FALSE),IF(Introduction!$A$2="Chinese",VLOOKUP('_Data inputs (reported)'!B54,countryname,7,FALSE),IF(Introduction!$A$2="Other",VLOOKUP('_Data inputs (reported)'!B54,countryname,8,FALSE)))))))),"")</f>
        <v/>
      </c>
      <c r="B54" s="1" t="str">
        <f>IF(ISTEXT('_Data inputs (reported)'!B54),'_Data inputs (reported)'!B54,"")</f>
        <v/>
      </c>
      <c r="C54" s="179" t="str">
        <f>IF(ISBLANK('_Data inputs (reported)'!C54),"",'_Data inputs (reported)'!C54)</f>
        <v/>
      </c>
      <c r="D54" s="105" t="str">
        <f>IF(ISTEXT(VLOOKUP('_Data inputs (reported)'!D54,nametranslations,1,FALSE)),IF(Introduction!$A$2="English",VLOOKUP('_Data inputs (reported)'!D54,nametranslations,1,FALSE),IF(Introduction!$A$2="Spanish",VLOOKUP('_Data inputs (reported)'!D54,nametranslations,2,FALSE),IF(Introduction!$A$2="French",VLOOKUP('_Data inputs (reported)'!D54,nametranslations,3,FALSE),IF(Introduction!$A$2="Arabic",VLOOKUP('_Data inputs (reported)'!D54,nametranslations,4,FALSE),IF(Introduction!$A$2="Russian",VLOOKUP('_Data inputs (reported)'!D54,nametranslations,5,FALSE),IF(Introduction!$A$2="Chinese",VLOOKUP('_Data inputs (reported)'!D54,nametranslations,6,FALSE),IF(Introduction!$A$2="Other",VLOOKUP('_Data inputs (reported)'!D54,nametranslations,7,FALSE)))))))),"")</f>
        <v/>
      </c>
      <c r="E54" s="1" t="str">
        <f>IF(ISTEXT('_Data inputs (reported)'!E54),'_Data inputs (reported)'!E54,"")</f>
        <v/>
      </c>
      <c r="F54" s="8" t="str">
        <f>IF(ISNUMBER('_Data inputs (reported)'!F54),'_Data inputs (reported)'!F54,"")</f>
        <v/>
      </c>
      <c r="G54" s="105" t="str">
        <f>IF(ISTEXT(VLOOKUP('_Data inputs (reported)'!G54,nametranslations,1,FALSE)),IF(Introduction!$A$2="English",VLOOKUP('_Data inputs (reported)'!G54,nametranslations,1,FALSE),IF(Introduction!$A$2="Spanish",VLOOKUP('_Data inputs (reported)'!G54,nametranslations,2,FALSE),IF(Introduction!$A$2="French",VLOOKUP('_Data inputs (reported)'!G54,nametranslations,3,FALSE),IF(Introduction!$A$2="Arabic",VLOOKUP('_Data inputs (reported)'!G54,nametranslations,4,FALSE),IF(Introduction!$A$2="Russian",VLOOKUP('_Data inputs (reported)'!G54,nametranslations,5,FALSE),IF(Introduction!$A$2="Chinese",VLOOKUP('_Data inputs (reported)'!G54,nametranslations,6,FALSE),IF(Introduction!$A$2="Other",VLOOKUP('_Data inputs (reported)'!G54,nametranslations,7,FALSE)))))))),"")</f>
        <v/>
      </c>
      <c r="H54" s="1" t="str">
        <f>IF(ISTEXT('_Data inputs (reported)'!H54),'_Data inputs (reported)'!H54,"")</f>
        <v/>
      </c>
      <c r="I54" s="42" t="str">
        <f>IF(ISNUMBER('_Data inputs (reported)'!I54),'_Data inputs (reported)'!I54,"")</f>
        <v/>
      </c>
      <c r="J54" s="1" t="str">
        <f>IF(ISTEXT('_Data inputs (reported)'!J54),'_Data inputs (reported)'!J54,"")</f>
        <v/>
      </c>
      <c r="K54" s="105" t="str">
        <f>IF(ISTEXT('_Data inputs (reported)'!K54),'_Data inputs (reported)'!K54,"")</f>
        <v/>
      </c>
      <c r="L54" s="105" t="str">
        <f>IF(ISTEXT('_Data inputs (reported)'!L54),'_Data inputs (reported)'!L54,"")</f>
        <v/>
      </c>
      <c r="M54" s="1" t="str">
        <f>IF(ISTEXT('_Data inputs (reported)'!M54),'_Data inputs (reported)'!M54,"")</f>
        <v/>
      </c>
      <c r="N54" s="105" t="str">
        <f>IF(ISTEXT('_Data inputs (reported)'!N54),'_Data inputs (reported)'!N54,"")</f>
        <v/>
      </c>
    </row>
    <row xmlns:x14ac="http://schemas.microsoft.com/office/spreadsheetml/2009/9/ac" r="55" x14ac:dyDescent="0.2">
      <c r="A55" s="105" t="str">
        <f>IF(ISTEXT(VLOOKUP('_Data inputs (reported)'!B55,countryname,2,FALSE)),IF(Introduction!$A$2="English",VLOOKUP('_Data inputs (reported)'!B55,countryname,2,FALSE),IF(Introduction!$A$2="French",VLOOKUP('_Data inputs (reported)'!B55,countryname,3,FALSE),IF(Introduction!$A$2="Spanish",VLOOKUP('_Data inputs (reported)'!B55,countryname,4,FALSE),IF(Introduction!$A$2="Russian",VLOOKUP('_Data inputs (reported)'!B55,countryname,5,FALSE),IF(Introduction!$A$2="Arabic",VLOOKUP('_Data inputs (reported)'!B55,countryname,6,FALSE),IF(Introduction!$A$2="Chinese",VLOOKUP('_Data inputs (reported)'!B55,countryname,7,FALSE),IF(Introduction!$A$2="Other",VLOOKUP('_Data inputs (reported)'!B55,countryname,8,FALSE)))))))),"")</f>
        <v/>
      </c>
      <c r="B55" s="1" t="str">
        <f>IF(ISTEXT('_Data inputs (reported)'!B55),'_Data inputs (reported)'!B55,"")</f>
        <v/>
      </c>
      <c r="C55" s="179" t="str">
        <f>IF(ISBLANK('_Data inputs (reported)'!C55),"",'_Data inputs (reported)'!C55)</f>
        <v/>
      </c>
      <c r="D55" s="105" t="str">
        <f>IF(ISTEXT(VLOOKUP('_Data inputs (reported)'!D55,nametranslations,1,FALSE)),IF(Introduction!$A$2="English",VLOOKUP('_Data inputs (reported)'!D55,nametranslations,1,FALSE),IF(Introduction!$A$2="Spanish",VLOOKUP('_Data inputs (reported)'!D55,nametranslations,2,FALSE),IF(Introduction!$A$2="French",VLOOKUP('_Data inputs (reported)'!D55,nametranslations,3,FALSE),IF(Introduction!$A$2="Arabic",VLOOKUP('_Data inputs (reported)'!D55,nametranslations,4,FALSE),IF(Introduction!$A$2="Russian",VLOOKUP('_Data inputs (reported)'!D55,nametranslations,5,FALSE),IF(Introduction!$A$2="Chinese",VLOOKUP('_Data inputs (reported)'!D55,nametranslations,6,FALSE),IF(Introduction!$A$2="Other",VLOOKUP('_Data inputs (reported)'!D55,nametranslations,7,FALSE)))))))),"")</f>
        <v/>
      </c>
      <c r="E55" s="1" t="str">
        <f>IF(ISTEXT('_Data inputs (reported)'!E55),'_Data inputs (reported)'!E55,"")</f>
        <v/>
      </c>
      <c r="F55" s="8" t="str">
        <f>IF(ISNUMBER('_Data inputs (reported)'!F55),'_Data inputs (reported)'!F55,"")</f>
        <v/>
      </c>
      <c r="G55" s="105" t="str">
        <f>IF(ISTEXT(VLOOKUP('_Data inputs (reported)'!G55,nametranslations,1,FALSE)),IF(Introduction!$A$2="English",VLOOKUP('_Data inputs (reported)'!G55,nametranslations,1,FALSE),IF(Introduction!$A$2="Spanish",VLOOKUP('_Data inputs (reported)'!G55,nametranslations,2,FALSE),IF(Introduction!$A$2="French",VLOOKUP('_Data inputs (reported)'!G55,nametranslations,3,FALSE),IF(Introduction!$A$2="Arabic",VLOOKUP('_Data inputs (reported)'!G55,nametranslations,4,FALSE),IF(Introduction!$A$2="Russian",VLOOKUP('_Data inputs (reported)'!G55,nametranslations,5,FALSE),IF(Introduction!$A$2="Chinese",VLOOKUP('_Data inputs (reported)'!G55,nametranslations,6,FALSE),IF(Introduction!$A$2="Other",VLOOKUP('_Data inputs (reported)'!G55,nametranslations,7,FALSE)))))))),"")</f>
        <v/>
      </c>
      <c r="H55" s="1" t="str">
        <f>IF(ISTEXT('_Data inputs (reported)'!H55),'_Data inputs (reported)'!H55,"")</f>
        <v/>
      </c>
      <c r="I55" s="42" t="str">
        <f>IF(ISNUMBER('_Data inputs (reported)'!I55),'_Data inputs (reported)'!I55,"")</f>
        <v/>
      </c>
      <c r="J55" s="1" t="str">
        <f>IF(ISTEXT('_Data inputs (reported)'!J55),'_Data inputs (reported)'!J55,"")</f>
        <v/>
      </c>
      <c r="K55" s="105" t="str">
        <f>IF(ISTEXT('_Data inputs (reported)'!K55),'_Data inputs (reported)'!K55,"")</f>
        <v/>
      </c>
      <c r="L55" s="105" t="str">
        <f>IF(ISTEXT('_Data inputs (reported)'!L55),'_Data inputs (reported)'!L55,"")</f>
        <v/>
      </c>
      <c r="M55" s="1" t="str">
        <f>IF(ISTEXT('_Data inputs (reported)'!M55),'_Data inputs (reported)'!M55,"")</f>
        <v/>
      </c>
      <c r="N55" s="105" t="str">
        <f>IF(ISTEXT('_Data inputs (reported)'!N55),'_Data inputs (reported)'!N55,"")</f>
        <v/>
      </c>
    </row>
    <row xmlns:x14ac="http://schemas.microsoft.com/office/spreadsheetml/2009/9/ac" r="56" x14ac:dyDescent="0.2">
      <c r="A56" s="105" t="str">
        <f>IF(ISTEXT(VLOOKUP('_Data inputs (reported)'!B56,countryname,2,FALSE)),IF(Introduction!$A$2="English",VLOOKUP('_Data inputs (reported)'!B56,countryname,2,FALSE),IF(Introduction!$A$2="French",VLOOKUP('_Data inputs (reported)'!B56,countryname,3,FALSE),IF(Introduction!$A$2="Spanish",VLOOKUP('_Data inputs (reported)'!B56,countryname,4,FALSE),IF(Introduction!$A$2="Russian",VLOOKUP('_Data inputs (reported)'!B56,countryname,5,FALSE),IF(Introduction!$A$2="Arabic",VLOOKUP('_Data inputs (reported)'!B56,countryname,6,FALSE),IF(Introduction!$A$2="Chinese",VLOOKUP('_Data inputs (reported)'!B56,countryname,7,FALSE),IF(Introduction!$A$2="Other",VLOOKUP('_Data inputs (reported)'!B56,countryname,8,FALSE)))))))),"")</f>
        <v/>
      </c>
      <c r="B56" s="1" t="str">
        <f>IF(ISTEXT('_Data inputs (reported)'!B56),'_Data inputs (reported)'!B56,"")</f>
        <v/>
      </c>
      <c r="C56" s="179" t="str">
        <f>IF(ISBLANK('_Data inputs (reported)'!C56),"",'_Data inputs (reported)'!C56)</f>
        <v/>
      </c>
      <c r="D56" s="105" t="str">
        <f>IF(ISTEXT(VLOOKUP('_Data inputs (reported)'!D56,nametranslations,1,FALSE)),IF(Introduction!$A$2="English",VLOOKUP('_Data inputs (reported)'!D56,nametranslations,1,FALSE),IF(Introduction!$A$2="Spanish",VLOOKUP('_Data inputs (reported)'!D56,nametranslations,2,FALSE),IF(Introduction!$A$2="French",VLOOKUP('_Data inputs (reported)'!D56,nametranslations,3,FALSE),IF(Introduction!$A$2="Arabic",VLOOKUP('_Data inputs (reported)'!D56,nametranslations,4,FALSE),IF(Introduction!$A$2="Russian",VLOOKUP('_Data inputs (reported)'!D56,nametranslations,5,FALSE),IF(Introduction!$A$2="Chinese",VLOOKUP('_Data inputs (reported)'!D56,nametranslations,6,FALSE),IF(Introduction!$A$2="Other",VLOOKUP('_Data inputs (reported)'!D56,nametranslations,7,FALSE)))))))),"")</f>
        <v/>
      </c>
      <c r="E56" s="1" t="str">
        <f>IF(ISTEXT('_Data inputs (reported)'!E56),'_Data inputs (reported)'!E56,"")</f>
        <v/>
      </c>
      <c r="F56" s="8" t="str">
        <f>IF(ISNUMBER('_Data inputs (reported)'!F56),'_Data inputs (reported)'!F56,"")</f>
        <v/>
      </c>
      <c r="G56" s="105" t="str">
        <f>IF(ISTEXT(VLOOKUP('_Data inputs (reported)'!G56,nametranslations,1,FALSE)),IF(Introduction!$A$2="English",VLOOKUP('_Data inputs (reported)'!G56,nametranslations,1,FALSE),IF(Introduction!$A$2="Spanish",VLOOKUP('_Data inputs (reported)'!G56,nametranslations,2,FALSE),IF(Introduction!$A$2="French",VLOOKUP('_Data inputs (reported)'!G56,nametranslations,3,FALSE),IF(Introduction!$A$2="Arabic",VLOOKUP('_Data inputs (reported)'!G56,nametranslations,4,FALSE),IF(Introduction!$A$2="Russian",VLOOKUP('_Data inputs (reported)'!G56,nametranslations,5,FALSE),IF(Introduction!$A$2="Chinese",VLOOKUP('_Data inputs (reported)'!G56,nametranslations,6,FALSE),IF(Introduction!$A$2="Other",VLOOKUP('_Data inputs (reported)'!G56,nametranslations,7,FALSE)))))))),"")</f>
        <v/>
      </c>
      <c r="H56" s="1" t="str">
        <f>IF(ISTEXT('_Data inputs (reported)'!H56),'_Data inputs (reported)'!H56,"")</f>
        <v/>
      </c>
      <c r="I56" s="42" t="str">
        <f>IF(ISNUMBER('_Data inputs (reported)'!I56),'_Data inputs (reported)'!I56,"")</f>
        <v/>
      </c>
      <c r="J56" s="1" t="str">
        <f>IF(ISTEXT('_Data inputs (reported)'!J56),'_Data inputs (reported)'!J56,"")</f>
        <v/>
      </c>
      <c r="K56" s="105" t="str">
        <f>IF(ISTEXT('_Data inputs (reported)'!K56),'_Data inputs (reported)'!K56,"")</f>
        <v/>
      </c>
      <c r="L56" s="105" t="str">
        <f>IF(ISTEXT('_Data inputs (reported)'!L56),'_Data inputs (reported)'!L56,"")</f>
        <v/>
      </c>
      <c r="M56" s="1" t="str">
        <f>IF(ISTEXT('_Data inputs (reported)'!M56),'_Data inputs (reported)'!M56,"")</f>
        <v/>
      </c>
      <c r="N56" s="105" t="str">
        <f>IF(ISTEXT('_Data inputs (reported)'!N56),'_Data inputs (reported)'!N56,"")</f>
        <v/>
      </c>
    </row>
    <row xmlns:x14ac="http://schemas.microsoft.com/office/spreadsheetml/2009/9/ac" r="57" x14ac:dyDescent="0.2">
      <c r="A57" s="105" t="str">
        <f>IF(ISTEXT(VLOOKUP('_Data inputs (reported)'!B57,countryname,2,FALSE)),IF(Introduction!$A$2="English",VLOOKUP('_Data inputs (reported)'!B57,countryname,2,FALSE),IF(Introduction!$A$2="French",VLOOKUP('_Data inputs (reported)'!B57,countryname,3,FALSE),IF(Introduction!$A$2="Spanish",VLOOKUP('_Data inputs (reported)'!B57,countryname,4,FALSE),IF(Introduction!$A$2="Russian",VLOOKUP('_Data inputs (reported)'!B57,countryname,5,FALSE),IF(Introduction!$A$2="Arabic",VLOOKUP('_Data inputs (reported)'!B57,countryname,6,FALSE),IF(Introduction!$A$2="Chinese",VLOOKUP('_Data inputs (reported)'!B57,countryname,7,FALSE),IF(Introduction!$A$2="Other",VLOOKUP('_Data inputs (reported)'!B57,countryname,8,FALSE)))))))),"")</f>
        <v/>
      </c>
      <c r="B57" s="1" t="str">
        <f>IF(ISTEXT('_Data inputs (reported)'!B57),'_Data inputs (reported)'!B57,"")</f>
        <v/>
      </c>
      <c r="C57" s="179" t="str">
        <f>IF(ISBLANK('_Data inputs (reported)'!C57),"",'_Data inputs (reported)'!C57)</f>
        <v/>
      </c>
      <c r="D57" s="105" t="str">
        <f>IF(ISTEXT(VLOOKUP('_Data inputs (reported)'!D57,nametranslations,1,FALSE)),IF(Introduction!$A$2="English",VLOOKUP('_Data inputs (reported)'!D57,nametranslations,1,FALSE),IF(Introduction!$A$2="Spanish",VLOOKUP('_Data inputs (reported)'!D57,nametranslations,2,FALSE),IF(Introduction!$A$2="French",VLOOKUP('_Data inputs (reported)'!D57,nametranslations,3,FALSE),IF(Introduction!$A$2="Arabic",VLOOKUP('_Data inputs (reported)'!D57,nametranslations,4,FALSE),IF(Introduction!$A$2="Russian",VLOOKUP('_Data inputs (reported)'!D57,nametranslations,5,FALSE),IF(Introduction!$A$2="Chinese",VLOOKUP('_Data inputs (reported)'!D57,nametranslations,6,FALSE),IF(Introduction!$A$2="Other",VLOOKUP('_Data inputs (reported)'!D57,nametranslations,7,FALSE)))))))),"")</f>
        <v/>
      </c>
      <c r="E57" s="1" t="str">
        <f>IF(ISTEXT('_Data inputs (reported)'!E57),'_Data inputs (reported)'!E57,"")</f>
        <v/>
      </c>
      <c r="F57" s="8" t="str">
        <f>IF(ISNUMBER('_Data inputs (reported)'!F57),'_Data inputs (reported)'!F57,"")</f>
        <v/>
      </c>
      <c r="G57" s="105" t="str">
        <f>IF(ISTEXT(VLOOKUP('_Data inputs (reported)'!G57,nametranslations,1,FALSE)),IF(Introduction!$A$2="English",VLOOKUP('_Data inputs (reported)'!G57,nametranslations,1,FALSE),IF(Introduction!$A$2="Spanish",VLOOKUP('_Data inputs (reported)'!G57,nametranslations,2,FALSE),IF(Introduction!$A$2="French",VLOOKUP('_Data inputs (reported)'!G57,nametranslations,3,FALSE),IF(Introduction!$A$2="Arabic",VLOOKUP('_Data inputs (reported)'!G57,nametranslations,4,FALSE),IF(Introduction!$A$2="Russian",VLOOKUP('_Data inputs (reported)'!G57,nametranslations,5,FALSE),IF(Introduction!$A$2="Chinese",VLOOKUP('_Data inputs (reported)'!G57,nametranslations,6,FALSE),IF(Introduction!$A$2="Other",VLOOKUP('_Data inputs (reported)'!G57,nametranslations,7,FALSE)))))))),"")</f>
        <v/>
      </c>
      <c r="H57" s="1" t="str">
        <f>IF(ISTEXT('_Data inputs (reported)'!H57),'_Data inputs (reported)'!H57,"")</f>
        <v/>
      </c>
      <c r="I57" s="42" t="str">
        <f>IF(ISNUMBER('_Data inputs (reported)'!I57),'_Data inputs (reported)'!I57,"")</f>
        <v/>
      </c>
      <c r="J57" s="1" t="str">
        <f>IF(ISTEXT('_Data inputs (reported)'!J57),'_Data inputs (reported)'!J57,"")</f>
        <v/>
      </c>
      <c r="K57" s="105" t="str">
        <f>IF(ISTEXT('_Data inputs (reported)'!K57),'_Data inputs (reported)'!K57,"")</f>
        <v/>
      </c>
      <c r="L57" s="105" t="str">
        <f>IF(ISTEXT('_Data inputs (reported)'!L57),'_Data inputs (reported)'!L57,"")</f>
        <v/>
      </c>
      <c r="M57" s="1" t="str">
        <f>IF(ISTEXT('_Data inputs (reported)'!M57),'_Data inputs (reported)'!M57,"")</f>
        <v/>
      </c>
      <c r="N57" s="105" t="str">
        <f>IF(ISTEXT('_Data inputs (reported)'!N57),'_Data inputs (reported)'!N57,"")</f>
        <v/>
      </c>
    </row>
    <row xmlns:x14ac="http://schemas.microsoft.com/office/spreadsheetml/2009/9/ac" r="58" x14ac:dyDescent="0.2">
      <c r="A58" s="105" t="str">
        <f>IF(ISTEXT(VLOOKUP('_Data inputs (reported)'!B58,countryname,2,FALSE)),IF(Introduction!$A$2="English",VLOOKUP('_Data inputs (reported)'!B58,countryname,2,FALSE),IF(Introduction!$A$2="French",VLOOKUP('_Data inputs (reported)'!B58,countryname,3,FALSE),IF(Introduction!$A$2="Spanish",VLOOKUP('_Data inputs (reported)'!B58,countryname,4,FALSE),IF(Introduction!$A$2="Russian",VLOOKUP('_Data inputs (reported)'!B58,countryname,5,FALSE),IF(Introduction!$A$2="Arabic",VLOOKUP('_Data inputs (reported)'!B58,countryname,6,FALSE),IF(Introduction!$A$2="Chinese",VLOOKUP('_Data inputs (reported)'!B58,countryname,7,FALSE),IF(Introduction!$A$2="Other",VLOOKUP('_Data inputs (reported)'!B58,countryname,8,FALSE)))))))),"")</f>
        <v/>
      </c>
      <c r="B58" s="1" t="str">
        <f>IF(ISTEXT('_Data inputs (reported)'!B58),'_Data inputs (reported)'!B58,"")</f>
        <v/>
      </c>
      <c r="C58" s="179" t="str">
        <f>IF(ISBLANK('_Data inputs (reported)'!C58),"",'_Data inputs (reported)'!C58)</f>
        <v/>
      </c>
      <c r="D58" s="105" t="str">
        <f>IF(ISTEXT(VLOOKUP('_Data inputs (reported)'!D58,nametranslations,1,FALSE)),IF(Introduction!$A$2="English",VLOOKUP('_Data inputs (reported)'!D58,nametranslations,1,FALSE),IF(Introduction!$A$2="Spanish",VLOOKUP('_Data inputs (reported)'!D58,nametranslations,2,FALSE),IF(Introduction!$A$2="French",VLOOKUP('_Data inputs (reported)'!D58,nametranslations,3,FALSE),IF(Introduction!$A$2="Arabic",VLOOKUP('_Data inputs (reported)'!D58,nametranslations,4,FALSE),IF(Introduction!$A$2="Russian",VLOOKUP('_Data inputs (reported)'!D58,nametranslations,5,FALSE),IF(Introduction!$A$2="Chinese",VLOOKUP('_Data inputs (reported)'!D58,nametranslations,6,FALSE),IF(Introduction!$A$2="Other",VLOOKUP('_Data inputs (reported)'!D58,nametranslations,7,FALSE)))))))),"")</f>
        <v/>
      </c>
      <c r="E58" s="1" t="str">
        <f>IF(ISTEXT('_Data inputs (reported)'!E58),'_Data inputs (reported)'!E58,"")</f>
        <v/>
      </c>
      <c r="F58" s="8" t="str">
        <f>IF(ISNUMBER('_Data inputs (reported)'!F58),'_Data inputs (reported)'!F58,"")</f>
        <v/>
      </c>
      <c r="G58" s="105" t="str">
        <f>IF(ISTEXT(VLOOKUP('_Data inputs (reported)'!G58,nametranslations,1,FALSE)),IF(Introduction!$A$2="English",VLOOKUP('_Data inputs (reported)'!G58,nametranslations,1,FALSE),IF(Introduction!$A$2="Spanish",VLOOKUP('_Data inputs (reported)'!G58,nametranslations,2,FALSE),IF(Introduction!$A$2="French",VLOOKUP('_Data inputs (reported)'!G58,nametranslations,3,FALSE),IF(Introduction!$A$2="Arabic",VLOOKUP('_Data inputs (reported)'!G58,nametranslations,4,FALSE),IF(Introduction!$A$2="Russian",VLOOKUP('_Data inputs (reported)'!G58,nametranslations,5,FALSE),IF(Introduction!$A$2="Chinese",VLOOKUP('_Data inputs (reported)'!G58,nametranslations,6,FALSE),IF(Introduction!$A$2="Other",VLOOKUP('_Data inputs (reported)'!G58,nametranslations,7,FALSE)))))))),"")</f>
        <v/>
      </c>
      <c r="H58" s="1" t="str">
        <f>IF(ISTEXT('_Data inputs (reported)'!H58),'_Data inputs (reported)'!H58,"")</f>
        <v/>
      </c>
      <c r="I58" s="42" t="str">
        <f>IF(ISNUMBER('_Data inputs (reported)'!I58),'_Data inputs (reported)'!I58,"")</f>
        <v/>
      </c>
      <c r="J58" s="1" t="str">
        <f>IF(ISTEXT('_Data inputs (reported)'!J58),'_Data inputs (reported)'!J58,"")</f>
        <v/>
      </c>
      <c r="K58" s="105" t="str">
        <f>IF(ISTEXT('_Data inputs (reported)'!K58),'_Data inputs (reported)'!K58,"")</f>
        <v/>
      </c>
      <c r="L58" s="105" t="str">
        <f>IF(ISTEXT('_Data inputs (reported)'!L58),'_Data inputs (reported)'!L58,"")</f>
        <v/>
      </c>
      <c r="M58" s="1" t="str">
        <f>IF(ISTEXT('_Data inputs (reported)'!M58),'_Data inputs (reported)'!M58,"")</f>
        <v/>
      </c>
      <c r="N58" s="105" t="str">
        <f>IF(ISTEXT('_Data inputs (reported)'!N58),'_Data inputs (reported)'!N58,"")</f>
        <v/>
      </c>
    </row>
    <row xmlns:x14ac="http://schemas.microsoft.com/office/spreadsheetml/2009/9/ac" r="59" x14ac:dyDescent="0.2">
      <c r="A59" s="105" t="str">
        <f>IF(ISTEXT(VLOOKUP('_Data inputs (reported)'!B59,countryname,2,FALSE)),IF(Introduction!$A$2="English",VLOOKUP('_Data inputs (reported)'!B59,countryname,2,FALSE),IF(Introduction!$A$2="French",VLOOKUP('_Data inputs (reported)'!B59,countryname,3,FALSE),IF(Introduction!$A$2="Spanish",VLOOKUP('_Data inputs (reported)'!B59,countryname,4,FALSE),IF(Introduction!$A$2="Russian",VLOOKUP('_Data inputs (reported)'!B59,countryname,5,FALSE),IF(Introduction!$A$2="Arabic",VLOOKUP('_Data inputs (reported)'!B59,countryname,6,FALSE),IF(Introduction!$A$2="Chinese",VLOOKUP('_Data inputs (reported)'!B59,countryname,7,FALSE),IF(Introduction!$A$2="Other",VLOOKUP('_Data inputs (reported)'!B59,countryname,8,FALSE)))))))),"")</f>
        <v/>
      </c>
      <c r="B59" s="1" t="str">
        <f>IF(ISTEXT('_Data inputs (reported)'!B59),'_Data inputs (reported)'!B59,"")</f>
        <v/>
      </c>
      <c r="C59" s="179" t="str">
        <f>IF(ISBLANK('_Data inputs (reported)'!C59),"",'_Data inputs (reported)'!C59)</f>
        <v/>
      </c>
      <c r="D59" s="105" t="str">
        <f>IF(ISTEXT(VLOOKUP('_Data inputs (reported)'!D59,nametranslations,1,FALSE)),IF(Introduction!$A$2="English",VLOOKUP('_Data inputs (reported)'!D59,nametranslations,1,FALSE),IF(Introduction!$A$2="Spanish",VLOOKUP('_Data inputs (reported)'!D59,nametranslations,2,FALSE),IF(Introduction!$A$2="French",VLOOKUP('_Data inputs (reported)'!D59,nametranslations,3,FALSE),IF(Introduction!$A$2="Arabic",VLOOKUP('_Data inputs (reported)'!D59,nametranslations,4,FALSE),IF(Introduction!$A$2="Russian",VLOOKUP('_Data inputs (reported)'!D59,nametranslations,5,FALSE),IF(Introduction!$A$2="Chinese",VLOOKUP('_Data inputs (reported)'!D59,nametranslations,6,FALSE),IF(Introduction!$A$2="Other",VLOOKUP('_Data inputs (reported)'!D59,nametranslations,7,FALSE)))))))),"")</f>
        <v/>
      </c>
      <c r="E59" s="1" t="str">
        <f>IF(ISTEXT('_Data inputs (reported)'!E59),'_Data inputs (reported)'!E59,"")</f>
        <v/>
      </c>
      <c r="F59" s="8" t="str">
        <f>IF(ISNUMBER('_Data inputs (reported)'!F59),'_Data inputs (reported)'!F59,"")</f>
        <v/>
      </c>
      <c r="G59" s="105" t="str">
        <f>IF(ISTEXT(VLOOKUP('_Data inputs (reported)'!G59,nametranslations,1,FALSE)),IF(Introduction!$A$2="English",VLOOKUP('_Data inputs (reported)'!G59,nametranslations,1,FALSE),IF(Introduction!$A$2="Spanish",VLOOKUP('_Data inputs (reported)'!G59,nametranslations,2,FALSE),IF(Introduction!$A$2="French",VLOOKUP('_Data inputs (reported)'!G59,nametranslations,3,FALSE),IF(Introduction!$A$2="Arabic",VLOOKUP('_Data inputs (reported)'!G59,nametranslations,4,FALSE),IF(Introduction!$A$2="Russian",VLOOKUP('_Data inputs (reported)'!G59,nametranslations,5,FALSE),IF(Introduction!$A$2="Chinese",VLOOKUP('_Data inputs (reported)'!G59,nametranslations,6,FALSE),IF(Introduction!$A$2="Other",VLOOKUP('_Data inputs (reported)'!G59,nametranslations,7,FALSE)))))))),"")</f>
        <v/>
      </c>
      <c r="H59" s="1" t="str">
        <f>IF(ISTEXT('_Data inputs (reported)'!H59),'_Data inputs (reported)'!H59,"")</f>
        <v/>
      </c>
      <c r="I59" s="42" t="str">
        <f>IF(ISNUMBER('_Data inputs (reported)'!I59),'_Data inputs (reported)'!I59,"")</f>
        <v/>
      </c>
      <c r="J59" s="1" t="str">
        <f>IF(ISTEXT('_Data inputs (reported)'!J59),'_Data inputs (reported)'!J59,"")</f>
        <v/>
      </c>
      <c r="K59" s="105" t="str">
        <f>IF(ISTEXT('_Data inputs (reported)'!K59),'_Data inputs (reported)'!K59,"")</f>
        <v/>
      </c>
      <c r="L59" s="105" t="str">
        <f>IF(ISTEXT('_Data inputs (reported)'!L59),'_Data inputs (reported)'!L59,"")</f>
        <v/>
      </c>
      <c r="M59" s="1" t="str">
        <f>IF(ISTEXT('_Data inputs (reported)'!M59),'_Data inputs (reported)'!M59,"")</f>
        <v/>
      </c>
      <c r="N59" s="105" t="str">
        <f>IF(ISTEXT('_Data inputs (reported)'!N59),'_Data inputs (reported)'!N59,"")</f>
        <v/>
      </c>
    </row>
    <row xmlns:x14ac="http://schemas.microsoft.com/office/spreadsheetml/2009/9/ac" r="60" x14ac:dyDescent="0.2">
      <c r="A60" s="105" t="str">
        <f>IF(ISTEXT(VLOOKUP('_Data inputs (reported)'!B60,countryname,2,FALSE)),IF(Introduction!$A$2="English",VLOOKUP('_Data inputs (reported)'!B60,countryname,2,FALSE),IF(Introduction!$A$2="French",VLOOKUP('_Data inputs (reported)'!B60,countryname,3,FALSE),IF(Introduction!$A$2="Spanish",VLOOKUP('_Data inputs (reported)'!B60,countryname,4,FALSE),IF(Introduction!$A$2="Russian",VLOOKUP('_Data inputs (reported)'!B60,countryname,5,FALSE),IF(Introduction!$A$2="Arabic",VLOOKUP('_Data inputs (reported)'!B60,countryname,6,FALSE),IF(Introduction!$A$2="Chinese",VLOOKUP('_Data inputs (reported)'!B60,countryname,7,FALSE),IF(Introduction!$A$2="Other",VLOOKUP('_Data inputs (reported)'!B60,countryname,8,FALSE)))))))),"")</f>
        <v/>
      </c>
      <c r="B60" s="1" t="str">
        <f>IF(ISTEXT('_Data inputs (reported)'!B60),'_Data inputs (reported)'!B60,"")</f>
        <v/>
      </c>
      <c r="C60" s="179" t="str">
        <f>IF(ISBLANK('_Data inputs (reported)'!C60),"",'_Data inputs (reported)'!C60)</f>
        <v/>
      </c>
      <c r="D60" s="105" t="str">
        <f>IF(ISTEXT(VLOOKUP('_Data inputs (reported)'!D60,nametranslations,1,FALSE)),IF(Introduction!$A$2="English",VLOOKUP('_Data inputs (reported)'!D60,nametranslations,1,FALSE),IF(Introduction!$A$2="Spanish",VLOOKUP('_Data inputs (reported)'!D60,nametranslations,2,FALSE),IF(Introduction!$A$2="French",VLOOKUP('_Data inputs (reported)'!D60,nametranslations,3,FALSE),IF(Introduction!$A$2="Arabic",VLOOKUP('_Data inputs (reported)'!D60,nametranslations,4,FALSE),IF(Introduction!$A$2="Russian",VLOOKUP('_Data inputs (reported)'!D60,nametranslations,5,FALSE),IF(Introduction!$A$2="Chinese",VLOOKUP('_Data inputs (reported)'!D60,nametranslations,6,FALSE),IF(Introduction!$A$2="Other",VLOOKUP('_Data inputs (reported)'!D60,nametranslations,7,FALSE)))))))),"")</f>
        <v/>
      </c>
      <c r="E60" s="1" t="str">
        <f>IF(ISTEXT('_Data inputs (reported)'!E60),'_Data inputs (reported)'!E60,"")</f>
        <v/>
      </c>
      <c r="F60" s="8" t="str">
        <f>IF(ISNUMBER('_Data inputs (reported)'!F60),'_Data inputs (reported)'!F60,"")</f>
        <v/>
      </c>
      <c r="G60" s="105" t="str">
        <f>IF(ISTEXT(VLOOKUP('_Data inputs (reported)'!G60,nametranslations,1,FALSE)),IF(Introduction!$A$2="English",VLOOKUP('_Data inputs (reported)'!G60,nametranslations,1,FALSE),IF(Introduction!$A$2="Spanish",VLOOKUP('_Data inputs (reported)'!G60,nametranslations,2,FALSE),IF(Introduction!$A$2="French",VLOOKUP('_Data inputs (reported)'!G60,nametranslations,3,FALSE),IF(Introduction!$A$2="Arabic",VLOOKUP('_Data inputs (reported)'!G60,nametranslations,4,FALSE),IF(Introduction!$A$2="Russian",VLOOKUP('_Data inputs (reported)'!G60,nametranslations,5,FALSE),IF(Introduction!$A$2="Chinese",VLOOKUP('_Data inputs (reported)'!G60,nametranslations,6,FALSE),IF(Introduction!$A$2="Other",VLOOKUP('_Data inputs (reported)'!G60,nametranslations,7,FALSE)))))))),"")</f>
        <v/>
      </c>
      <c r="H60" s="1" t="str">
        <f>IF(ISTEXT('_Data inputs (reported)'!H60),'_Data inputs (reported)'!H60,"")</f>
        <v/>
      </c>
      <c r="I60" s="42" t="str">
        <f>IF(ISNUMBER('_Data inputs (reported)'!I60),'_Data inputs (reported)'!I60,"")</f>
        <v/>
      </c>
      <c r="J60" s="1" t="str">
        <f>IF(ISTEXT('_Data inputs (reported)'!J60),'_Data inputs (reported)'!J60,"")</f>
        <v/>
      </c>
      <c r="K60" s="105" t="str">
        <f>IF(ISTEXT('_Data inputs (reported)'!K60),'_Data inputs (reported)'!K60,"")</f>
        <v/>
      </c>
      <c r="L60" s="105" t="str">
        <f>IF(ISTEXT('_Data inputs (reported)'!L60),'_Data inputs (reported)'!L60,"")</f>
        <v/>
      </c>
      <c r="M60" s="1" t="str">
        <f>IF(ISTEXT('_Data inputs (reported)'!M60),'_Data inputs (reported)'!M60,"")</f>
        <v/>
      </c>
      <c r="N60" s="105" t="str">
        <f>IF(ISTEXT('_Data inputs (reported)'!N60),'_Data inputs (reported)'!N60,"")</f>
        <v/>
      </c>
    </row>
    <row xmlns:x14ac="http://schemas.microsoft.com/office/spreadsheetml/2009/9/ac" r="61" x14ac:dyDescent="0.2">
      <c r="A61" s="105" t="str">
        <f>IF(ISTEXT(VLOOKUP('_Data inputs (reported)'!B61,countryname,2,FALSE)),IF(Introduction!$A$2="English",VLOOKUP('_Data inputs (reported)'!B61,countryname,2,FALSE),IF(Introduction!$A$2="French",VLOOKUP('_Data inputs (reported)'!B61,countryname,3,FALSE),IF(Introduction!$A$2="Spanish",VLOOKUP('_Data inputs (reported)'!B61,countryname,4,FALSE),IF(Introduction!$A$2="Russian",VLOOKUP('_Data inputs (reported)'!B61,countryname,5,FALSE),IF(Introduction!$A$2="Arabic",VLOOKUP('_Data inputs (reported)'!B61,countryname,6,FALSE),IF(Introduction!$A$2="Chinese",VLOOKUP('_Data inputs (reported)'!B61,countryname,7,FALSE),IF(Introduction!$A$2="Other",VLOOKUP('_Data inputs (reported)'!B61,countryname,8,FALSE)))))))),"")</f>
        <v/>
      </c>
      <c r="B61" s="1" t="str">
        <f>IF(ISTEXT('_Data inputs (reported)'!B61),'_Data inputs (reported)'!B61,"")</f>
        <v/>
      </c>
      <c r="C61" s="179" t="str">
        <f>IF(ISBLANK('_Data inputs (reported)'!C61),"",'_Data inputs (reported)'!C61)</f>
        <v/>
      </c>
      <c r="D61" s="105" t="str">
        <f>IF(ISTEXT(VLOOKUP('_Data inputs (reported)'!D61,nametranslations,1,FALSE)),IF(Introduction!$A$2="English",VLOOKUP('_Data inputs (reported)'!D61,nametranslations,1,FALSE),IF(Introduction!$A$2="Spanish",VLOOKUP('_Data inputs (reported)'!D61,nametranslations,2,FALSE),IF(Introduction!$A$2="French",VLOOKUP('_Data inputs (reported)'!D61,nametranslations,3,FALSE),IF(Introduction!$A$2="Arabic",VLOOKUP('_Data inputs (reported)'!D61,nametranslations,4,FALSE),IF(Introduction!$A$2="Russian",VLOOKUP('_Data inputs (reported)'!D61,nametranslations,5,FALSE),IF(Introduction!$A$2="Chinese",VLOOKUP('_Data inputs (reported)'!D61,nametranslations,6,FALSE),IF(Introduction!$A$2="Other",VLOOKUP('_Data inputs (reported)'!D61,nametranslations,7,FALSE)))))))),"")</f>
        <v/>
      </c>
      <c r="E61" s="1" t="str">
        <f>IF(ISTEXT('_Data inputs (reported)'!E61),'_Data inputs (reported)'!E61,"")</f>
        <v/>
      </c>
      <c r="F61" s="8" t="str">
        <f>IF(ISNUMBER('_Data inputs (reported)'!F61),'_Data inputs (reported)'!F61,"")</f>
        <v/>
      </c>
      <c r="G61" s="105" t="str">
        <f>IF(ISTEXT(VLOOKUP('_Data inputs (reported)'!G61,nametranslations,1,FALSE)),IF(Introduction!$A$2="English",VLOOKUP('_Data inputs (reported)'!G61,nametranslations,1,FALSE),IF(Introduction!$A$2="Spanish",VLOOKUP('_Data inputs (reported)'!G61,nametranslations,2,FALSE),IF(Introduction!$A$2="French",VLOOKUP('_Data inputs (reported)'!G61,nametranslations,3,FALSE),IF(Introduction!$A$2="Arabic",VLOOKUP('_Data inputs (reported)'!G61,nametranslations,4,FALSE),IF(Introduction!$A$2="Russian",VLOOKUP('_Data inputs (reported)'!G61,nametranslations,5,FALSE),IF(Introduction!$A$2="Chinese",VLOOKUP('_Data inputs (reported)'!G61,nametranslations,6,FALSE),IF(Introduction!$A$2="Other",VLOOKUP('_Data inputs (reported)'!G61,nametranslations,7,FALSE)))))))),"")</f>
        <v/>
      </c>
      <c r="H61" s="1" t="str">
        <f>IF(ISTEXT('_Data inputs (reported)'!H61),'_Data inputs (reported)'!H61,"")</f>
        <v/>
      </c>
      <c r="I61" s="42" t="str">
        <f>IF(ISNUMBER('_Data inputs (reported)'!I61),'_Data inputs (reported)'!I61,"")</f>
        <v/>
      </c>
      <c r="J61" s="1" t="str">
        <f>IF(ISTEXT('_Data inputs (reported)'!J61),'_Data inputs (reported)'!J61,"")</f>
        <v/>
      </c>
      <c r="K61" s="105" t="str">
        <f>IF(ISTEXT('_Data inputs (reported)'!K61),'_Data inputs (reported)'!K61,"")</f>
        <v/>
      </c>
      <c r="L61" s="105" t="str">
        <f>IF(ISTEXT('_Data inputs (reported)'!L61),'_Data inputs (reported)'!L61,"")</f>
        <v/>
      </c>
      <c r="M61" s="1" t="str">
        <f>IF(ISTEXT('_Data inputs (reported)'!M61),'_Data inputs (reported)'!M61,"")</f>
        <v/>
      </c>
      <c r="N61" s="105" t="str">
        <f>IF(ISTEXT('_Data inputs (reported)'!N61),'_Data inputs (reported)'!N61,"")</f>
        <v/>
      </c>
    </row>
    <row xmlns:x14ac="http://schemas.microsoft.com/office/spreadsheetml/2009/9/ac" r="62" x14ac:dyDescent="0.2">
      <c r="A62" s="105" t="str">
        <f>IF(ISTEXT(VLOOKUP('_Data inputs (reported)'!B62,countryname,2,FALSE)),IF(Introduction!$A$2="English",VLOOKUP('_Data inputs (reported)'!B62,countryname,2,FALSE),IF(Introduction!$A$2="French",VLOOKUP('_Data inputs (reported)'!B62,countryname,3,FALSE),IF(Introduction!$A$2="Spanish",VLOOKUP('_Data inputs (reported)'!B62,countryname,4,FALSE),IF(Introduction!$A$2="Russian",VLOOKUP('_Data inputs (reported)'!B62,countryname,5,FALSE),IF(Introduction!$A$2="Arabic",VLOOKUP('_Data inputs (reported)'!B62,countryname,6,FALSE),IF(Introduction!$A$2="Chinese",VLOOKUP('_Data inputs (reported)'!B62,countryname,7,FALSE),IF(Introduction!$A$2="Other",VLOOKUP('_Data inputs (reported)'!B62,countryname,8,FALSE)))))))),"")</f>
        <v/>
      </c>
      <c r="B62" s="1" t="str">
        <f>IF(ISTEXT('_Data inputs (reported)'!B62),'_Data inputs (reported)'!B62,"")</f>
        <v/>
      </c>
      <c r="C62" s="179" t="str">
        <f>IF(ISBLANK('_Data inputs (reported)'!C62),"",'_Data inputs (reported)'!C62)</f>
        <v/>
      </c>
      <c r="D62" s="105" t="str">
        <f>IF(ISTEXT(VLOOKUP('_Data inputs (reported)'!D62,nametranslations,1,FALSE)),IF(Introduction!$A$2="English",VLOOKUP('_Data inputs (reported)'!D62,nametranslations,1,FALSE),IF(Introduction!$A$2="Spanish",VLOOKUP('_Data inputs (reported)'!D62,nametranslations,2,FALSE),IF(Introduction!$A$2="French",VLOOKUP('_Data inputs (reported)'!D62,nametranslations,3,FALSE),IF(Introduction!$A$2="Arabic",VLOOKUP('_Data inputs (reported)'!D62,nametranslations,4,FALSE),IF(Introduction!$A$2="Russian",VLOOKUP('_Data inputs (reported)'!D62,nametranslations,5,FALSE),IF(Introduction!$A$2="Chinese",VLOOKUP('_Data inputs (reported)'!D62,nametranslations,6,FALSE),IF(Introduction!$A$2="Other",VLOOKUP('_Data inputs (reported)'!D62,nametranslations,7,FALSE)))))))),"")</f>
        <v/>
      </c>
      <c r="E62" s="1" t="str">
        <f>IF(ISTEXT('_Data inputs (reported)'!E62),'_Data inputs (reported)'!E62,"")</f>
        <v/>
      </c>
      <c r="F62" s="8" t="str">
        <f>IF(ISNUMBER('_Data inputs (reported)'!F62),'_Data inputs (reported)'!F62,"")</f>
        <v/>
      </c>
      <c r="G62" s="105" t="str">
        <f>IF(ISTEXT(VLOOKUP('_Data inputs (reported)'!G62,nametranslations,1,FALSE)),IF(Introduction!$A$2="English",VLOOKUP('_Data inputs (reported)'!G62,nametranslations,1,FALSE),IF(Introduction!$A$2="Spanish",VLOOKUP('_Data inputs (reported)'!G62,nametranslations,2,FALSE),IF(Introduction!$A$2="French",VLOOKUP('_Data inputs (reported)'!G62,nametranslations,3,FALSE),IF(Introduction!$A$2="Arabic",VLOOKUP('_Data inputs (reported)'!G62,nametranslations,4,FALSE),IF(Introduction!$A$2="Russian",VLOOKUP('_Data inputs (reported)'!G62,nametranslations,5,FALSE),IF(Introduction!$A$2="Chinese",VLOOKUP('_Data inputs (reported)'!G62,nametranslations,6,FALSE),IF(Introduction!$A$2="Other",VLOOKUP('_Data inputs (reported)'!G62,nametranslations,7,FALSE)))))))),"")</f>
        <v/>
      </c>
      <c r="H62" s="1" t="str">
        <f>IF(ISTEXT('_Data inputs (reported)'!H62),'_Data inputs (reported)'!H62,"")</f>
        <v/>
      </c>
      <c r="I62" s="42" t="str">
        <f>IF(ISNUMBER('_Data inputs (reported)'!I62),'_Data inputs (reported)'!I62,"")</f>
        <v/>
      </c>
      <c r="J62" s="1" t="str">
        <f>IF(ISTEXT('_Data inputs (reported)'!J62),'_Data inputs (reported)'!J62,"")</f>
        <v/>
      </c>
      <c r="K62" s="105" t="str">
        <f>IF(ISTEXT('_Data inputs (reported)'!K62),'_Data inputs (reported)'!K62,"")</f>
        <v/>
      </c>
      <c r="L62" s="105" t="str">
        <f>IF(ISTEXT('_Data inputs (reported)'!L62),'_Data inputs (reported)'!L62,"")</f>
        <v/>
      </c>
      <c r="M62" s="1" t="str">
        <f>IF(ISTEXT('_Data inputs (reported)'!M62),'_Data inputs (reported)'!M62,"")</f>
        <v/>
      </c>
      <c r="N62" s="105" t="str">
        <f>IF(ISTEXT('_Data inputs (reported)'!N62),'_Data inputs (reported)'!N62,"")</f>
        <v/>
      </c>
    </row>
    <row xmlns:x14ac="http://schemas.microsoft.com/office/spreadsheetml/2009/9/ac" r="63" x14ac:dyDescent="0.2">
      <c r="A63" s="105" t="str">
        <f>IF(ISTEXT(VLOOKUP('_Data inputs (reported)'!B63,countryname,2,FALSE)),IF(Introduction!$A$2="English",VLOOKUP('_Data inputs (reported)'!B63,countryname,2,FALSE),IF(Introduction!$A$2="French",VLOOKUP('_Data inputs (reported)'!B63,countryname,3,FALSE),IF(Introduction!$A$2="Spanish",VLOOKUP('_Data inputs (reported)'!B63,countryname,4,FALSE),IF(Introduction!$A$2="Russian",VLOOKUP('_Data inputs (reported)'!B63,countryname,5,FALSE),IF(Introduction!$A$2="Arabic",VLOOKUP('_Data inputs (reported)'!B63,countryname,6,FALSE),IF(Introduction!$A$2="Chinese",VLOOKUP('_Data inputs (reported)'!B63,countryname,7,FALSE),IF(Introduction!$A$2="Other",VLOOKUP('_Data inputs (reported)'!B63,countryname,8,FALSE)))))))),"")</f>
        <v/>
      </c>
      <c r="B63" s="1" t="str">
        <f>IF(ISTEXT('_Data inputs (reported)'!B63),'_Data inputs (reported)'!B63,"")</f>
        <v/>
      </c>
      <c r="C63" s="179" t="str">
        <f>IF(ISBLANK('_Data inputs (reported)'!C63),"",'_Data inputs (reported)'!C63)</f>
        <v/>
      </c>
      <c r="D63" s="105" t="str">
        <f>IF(ISTEXT(VLOOKUP('_Data inputs (reported)'!D63,nametranslations,1,FALSE)),IF(Introduction!$A$2="English",VLOOKUP('_Data inputs (reported)'!D63,nametranslations,1,FALSE),IF(Introduction!$A$2="Spanish",VLOOKUP('_Data inputs (reported)'!D63,nametranslations,2,FALSE),IF(Introduction!$A$2="French",VLOOKUP('_Data inputs (reported)'!D63,nametranslations,3,FALSE),IF(Introduction!$A$2="Arabic",VLOOKUP('_Data inputs (reported)'!D63,nametranslations,4,FALSE),IF(Introduction!$A$2="Russian",VLOOKUP('_Data inputs (reported)'!D63,nametranslations,5,FALSE),IF(Introduction!$A$2="Chinese",VLOOKUP('_Data inputs (reported)'!D63,nametranslations,6,FALSE),IF(Introduction!$A$2="Other",VLOOKUP('_Data inputs (reported)'!D63,nametranslations,7,FALSE)))))))),"")</f>
        <v/>
      </c>
      <c r="E63" s="1" t="str">
        <f>IF(ISTEXT('_Data inputs (reported)'!E63),'_Data inputs (reported)'!E63,"")</f>
        <v/>
      </c>
      <c r="F63" s="8" t="str">
        <f>IF(ISNUMBER('_Data inputs (reported)'!F63),'_Data inputs (reported)'!F63,"")</f>
        <v/>
      </c>
      <c r="G63" s="105" t="str">
        <f>IF(ISTEXT(VLOOKUP('_Data inputs (reported)'!G63,nametranslations,1,FALSE)),IF(Introduction!$A$2="English",VLOOKUP('_Data inputs (reported)'!G63,nametranslations,1,FALSE),IF(Introduction!$A$2="Spanish",VLOOKUP('_Data inputs (reported)'!G63,nametranslations,2,FALSE),IF(Introduction!$A$2="French",VLOOKUP('_Data inputs (reported)'!G63,nametranslations,3,FALSE),IF(Introduction!$A$2="Arabic",VLOOKUP('_Data inputs (reported)'!G63,nametranslations,4,FALSE),IF(Introduction!$A$2="Russian",VLOOKUP('_Data inputs (reported)'!G63,nametranslations,5,FALSE),IF(Introduction!$A$2="Chinese",VLOOKUP('_Data inputs (reported)'!G63,nametranslations,6,FALSE),IF(Introduction!$A$2="Other",VLOOKUP('_Data inputs (reported)'!G63,nametranslations,7,FALSE)))))))),"")</f>
        <v/>
      </c>
      <c r="H63" s="1" t="str">
        <f>IF(ISTEXT('_Data inputs (reported)'!H63),'_Data inputs (reported)'!H63,"")</f>
        <v/>
      </c>
      <c r="I63" s="42" t="str">
        <f>IF(ISNUMBER('_Data inputs (reported)'!I63),'_Data inputs (reported)'!I63,"")</f>
        <v/>
      </c>
      <c r="J63" s="1" t="str">
        <f>IF(ISTEXT('_Data inputs (reported)'!J63),'_Data inputs (reported)'!J63,"")</f>
        <v/>
      </c>
      <c r="K63" s="105" t="str">
        <f>IF(ISTEXT('_Data inputs (reported)'!K63),'_Data inputs (reported)'!K63,"")</f>
        <v/>
      </c>
      <c r="L63" s="105" t="str">
        <f>IF(ISTEXT('_Data inputs (reported)'!L63),'_Data inputs (reported)'!L63,"")</f>
        <v/>
      </c>
      <c r="M63" s="1" t="str">
        <f>IF(ISTEXT('_Data inputs (reported)'!M63),'_Data inputs (reported)'!M63,"")</f>
        <v/>
      </c>
      <c r="N63" s="105" t="str">
        <f>IF(ISTEXT('_Data inputs (reported)'!N63),'_Data inputs (reported)'!N63,"")</f>
        <v/>
      </c>
    </row>
    <row xmlns:x14ac="http://schemas.microsoft.com/office/spreadsheetml/2009/9/ac" r="64" x14ac:dyDescent="0.2">
      <c r="A64" s="105" t="str">
        <f>IF(ISTEXT(VLOOKUP('_Data inputs (reported)'!B64,countryname,2,FALSE)),IF(Introduction!$A$2="English",VLOOKUP('_Data inputs (reported)'!B64,countryname,2,FALSE),IF(Introduction!$A$2="French",VLOOKUP('_Data inputs (reported)'!B64,countryname,3,FALSE),IF(Introduction!$A$2="Spanish",VLOOKUP('_Data inputs (reported)'!B64,countryname,4,FALSE),IF(Introduction!$A$2="Russian",VLOOKUP('_Data inputs (reported)'!B64,countryname,5,FALSE),IF(Introduction!$A$2="Arabic",VLOOKUP('_Data inputs (reported)'!B64,countryname,6,FALSE),IF(Introduction!$A$2="Chinese",VLOOKUP('_Data inputs (reported)'!B64,countryname,7,FALSE),IF(Introduction!$A$2="Other",VLOOKUP('_Data inputs (reported)'!B64,countryname,8,FALSE)))))))),"")</f>
        <v/>
      </c>
      <c r="B64" s="1" t="str">
        <f>IF(ISTEXT('_Data inputs (reported)'!B64),'_Data inputs (reported)'!B64,"")</f>
        <v/>
      </c>
      <c r="C64" s="179" t="str">
        <f>IF(ISBLANK('_Data inputs (reported)'!C64),"",'_Data inputs (reported)'!C64)</f>
        <v/>
      </c>
      <c r="D64" s="105" t="str">
        <f>IF(ISTEXT(VLOOKUP('_Data inputs (reported)'!D64,nametranslations,1,FALSE)),IF(Introduction!$A$2="English",VLOOKUP('_Data inputs (reported)'!D64,nametranslations,1,FALSE),IF(Introduction!$A$2="Spanish",VLOOKUP('_Data inputs (reported)'!D64,nametranslations,2,FALSE),IF(Introduction!$A$2="French",VLOOKUP('_Data inputs (reported)'!D64,nametranslations,3,FALSE),IF(Introduction!$A$2="Arabic",VLOOKUP('_Data inputs (reported)'!D64,nametranslations,4,FALSE),IF(Introduction!$A$2="Russian",VLOOKUP('_Data inputs (reported)'!D64,nametranslations,5,FALSE),IF(Introduction!$A$2="Chinese",VLOOKUP('_Data inputs (reported)'!D64,nametranslations,6,FALSE),IF(Introduction!$A$2="Other",VLOOKUP('_Data inputs (reported)'!D64,nametranslations,7,FALSE)))))))),"")</f>
        <v/>
      </c>
      <c r="E64" s="1" t="str">
        <f>IF(ISTEXT('_Data inputs (reported)'!E64),'_Data inputs (reported)'!E64,"")</f>
        <v/>
      </c>
      <c r="F64" s="8" t="str">
        <f>IF(ISNUMBER('_Data inputs (reported)'!F64),'_Data inputs (reported)'!F64,"")</f>
        <v/>
      </c>
      <c r="G64" s="105" t="str">
        <f>IF(ISTEXT(VLOOKUP('_Data inputs (reported)'!G64,nametranslations,1,FALSE)),IF(Introduction!$A$2="English",VLOOKUP('_Data inputs (reported)'!G64,nametranslations,1,FALSE),IF(Introduction!$A$2="Spanish",VLOOKUP('_Data inputs (reported)'!G64,nametranslations,2,FALSE),IF(Introduction!$A$2="French",VLOOKUP('_Data inputs (reported)'!G64,nametranslations,3,FALSE),IF(Introduction!$A$2="Arabic",VLOOKUP('_Data inputs (reported)'!G64,nametranslations,4,FALSE),IF(Introduction!$A$2="Russian",VLOOKUP('_Data inputs (reported)'!G64,nametranslations,5,FALSE),IF(Introduction!$A$2="Chinese",VLOOKUP('_Data inputs (reported)'!G64,nametranslations,6,FALSE),IF(Introduction!$A$2="Other",VLOOKUP('_Data inputs (reported)'!G64,nametranslations,7,FALSE)))))))),"")</f>
        <v/>
      </c>
      <c r="H64" s="1" t="str">
        <f>IF(ISTEXT('_Data inputs (reported)'!H64),'_Data inputs (reported)'!H64,"")</f>
        <v/>
      </c>
      <c r="I64" s="42" t="str">
        <f>IF(ISNUMBER('_Data inputs (reported)'!I64),'_Data inputs (reported)'!I64,"")</f>
        <v/>
      </c>
      <c r="J64" s="1" t="str">
        <f>IF(ISTEXT('_Data inputs (reported)'!J64),'_Data inputs (reported)'!J64,"")</f>
        <v/>
      </c>
      <c r="K64" s="105" t="str">
        <f>IF(ISTEXT('_Data inputs (reported)'!K64),'_Data inputs (reported)'!K64,"")</f>
        <v/>
      </c>
      <c r="L64" s="105" t="str">
        <f>IF(ISTEXT('_Data inputs (reported)'!L64),'_Data inputs (reported)'!L64,"")</f>
        <v/>
      </c>
      <c r="M64" s="1" t="str">
        <f>IF(ISTEXT('_Data inputs (reported)'!M64),'_Data inputs (reported)'!M64,"")</f>
        <v/>
      </c>
      <c r="N64" s="105" t="str">
        <f>IF(ISTEXT('_Data inputs (reported)'!N64),'_Data inputs (reported)'!N64,"")</f>
        <v/>
      </c>
    </row>
    <row xmlns:x14ac="http://schemas.microsoft.com/office/spreadsheetml/2009/9/ac" r="65" x14ac:dyDescent="0.2">
      <c r="A65" s="105" t="str">
        <f>IF(ISTEXT(VLOOKUP('_Data inputs (reported)'!B65,countryname,2,FALSE)),IF(Introduction!$A$2="English",VLOOKUP('_Data inputs (reported)'!B65,countryname,2,FALSE),IF(Introduction!$A$2="French",VLOOKUP('_Data inputs (reported)'!B65,countryname,3,FALSE),IF(Introduction!$A$2="Spanish",VLOOKUP('_Data inputs (reported)'!B65,countryname,4,FALSE),IF(Introduction!$A$2="Russian",VLOOKUP('_Data inputs (reported)'!B65,countryname,5,FALSE),IF(Introduction!$A$2="Arabic",VLOOKUP('_Data inputs (reported)'!B65,countryname,6,FALSE),IF(Introduction!$A$2="Chinese",VLOOKUP('_Data inputs (reported)'!B65,countryname,7,FALSE),IF(Introduction!$A$2="Other",VLOOKUP('_Data inputs (reported)'!B65,countryname,8,FALSE)))))))),"")</f>
        <v/>
      </c>
      <c r="B65" s="1" t="str">
        <f>IF(ISTEXT('_Data inputs (reported)'!B65),'_Data inputs (reported)'!B65,"")</f>
        <v/>
      </c>
      <c r="C65" s="179" t="str">
        <f>IF(ISBLANK('_Data inputs (reported)'!C65),"",'_Data inputs (reported)'!C65)</f>
        <v/>
      </c>
      <c r="D65" s="105" t="str">
        <f>IF(ISTEXT(VLOOKUP('_Data inputs (reported)'!D65,nametranslations,1,FALSE)),IF(Introduction!$A$2="English",VLOOKUP('_Data inputs (reported)'!D65,nametranslations,1,FALSE),IF(Introduction!$A$2="Spanish",VLOOKUP('_Data inputs (reported)'!D65,nametranslations,2,FALSE),IF(Introduction!$A$2="French",VLOOKUP('_Data inputs (reported)'!D65,nametranslations,3,FALSE),IF(Introduction!$A$2="Arabic",VLOOKUP('_Data inputs (reported)'!D65,nametranslations,4,FALSE),IF(Introduction!$A$2="Russian",VLOOKUP('_Data inputs (reported)'!D65,nametranslations,5,FALSE),IF(Introduction!$A$2="Chinese",VLOOKUP('_Data inputs (reported)'!D65,nametranslations,6,FALSE),IF(Introduction!$A$2="Other",VLOOKUP('_Data inputs (reported)'!D65,nametranslations,7,FALSE)))))))),"")</f>
        <v/>
      </c>
      <c r="E65" s="1" t="str">
        <f>IF(ISTEXT('_Data inputs (reported)'!E65),'_Data inputs (reported)'!E65,"")</f>
        <v/>
      </c>
      <c r="F65" s="8" t="str">
        <f>IF(ISNUMBER('_Data inputs (reported)'!F65),'_Data inputs (reported)'!F65,"")</f>
        <v/>
      </c>
      <c r="G65" s="105" t="str">
        <f>IF(ISTEXT(VLOOKUP('_Data inputs (reported)'!G65,nametranslations,1,FALSE)),IF(Introduction!$A$2="English",VLOOKUP('_Data inputs (reported)'!G65,nametranslations,1,FALSE),IF(Introduction!$A$2="Spanish",VLOOKUP('_Data inputs (reported)'!G65,nametranslations,2,FALSE),IF(Introduction!$A$2="French",VLOOKUP('_Data inputs (reported)'!G65,nametranslations,3,FALSE),IF(Introduction!$A$2="Arabic",VLOOKUP('_Data inputs (reported)'!G65,nametranslations,4,FALSE),IF(Introduction!$A$2="Russian",VLOOKUP('_Data inputs (reported)'!G65,nametranslations,5,FALSE),IF(Introduction!$A$2="Chinese",VLOOKUP('_Data inputs (reported)'!G65,nametranslations,6,FALSE),IF(Introduction!$A$2="Other",VLOOKUP('_Data inputs (reported)'!G65,nametranslations,7,FALSE)))))))),"")</f>
        <v/>
      </c>
      <c r="H65" s="1" t="str">
        <f>IF(ISTEXT('_Data inputs (reported)'!H65),'_Data inputs (reported)'!H65,"")</f>
        <v/>
      </c>
      <c r="I65" s="42" t="str">
        <f>IF(ISNUMBER('_Data inputs (reported)'!I65),'_Data inputs (reported)'!I65,"")</f>
        <v/>
      </c>
      <c r="J65" s="1" t="str">
        <f>IF(ISTEXT('_Data inputs (reported)'!J65),'_Data inputs (reported)'!J65,"")</f>
        <v/>
      </c>
      <c r="K65" s="105" t="str">
        <f>IF(ISTEXT('_Data inputs (reported)'!K65),'_Data inputs (reported)'!K65,"")</f>
        <v/>
      </c>
      <c r="L65" s="105" t="str">
        <f>IF(ISTEXT('_Data inputs (reported)'!L65),'_Data inputs (reported)'!L65,"")</f>
        <v/>
      </c>
      <c r="M65" s="1" t="str">
        <f>IF(ISTEXT('_Data inputs (reported)'!M65),'_Data inputs (reported)'!M65,"")</f>
        <v/>
      </c>
      <c r="N65" s="105" t="str">
        <f>IF(ISTEXT('_Data inputs (reported)'!N65),'_Data inputs (reported)'!N65,"")</f>
        <v/>
      </c>
    </row>
    <row xmlns:x14ac="http://schemas.microsoft.com/office/spreadsheetml/2009/9/ac" r="66" x14ac:dyDescent="0.2">
      <c r="A66" s="105" t="str">
        <f>IF(ISTEXT(VLOOKUP('_Data inputs (reported)'!B66,countryname,2,FALSE)),IF(Introduction!$A$2="English",VLOOKUP('_Data inputs (reported)'!B66,countryname,2,FALSE),IF(Introduction!$A$2="French",VLOOKUP('_Data inputs (reported)'!B66,countryname,3,FALSE),IF(Introduction!$A$2="Spanish",VLOOKUP('_Data inputs (reported)'!B66,countryname,4,FALSE),IF(Introduction!$A$2="Russian",VLOOKUP('_Data inputs (reported)'!B66,countryname,5,FALSE),IF(Introduction!$A$2="Arabic",VLOOKUP('_Data inputs (reported)'!B66,countryname,6,FALSE),IF(Introduction!$A$2="Chinese",VLOOKUP('_Data inputs (reported)'!B66,countryname,7,FALSE),IF(Introduction!$A$2="Other",VLOOKUP('_Data inputs (reported)'!B66,countryname,8,FALSE)))))))),"")</f>
        <v/>
      </c>
      <c r="B66" s="1" t="str">
        <f>IF(ISTEXT('_Data inputs (reported)'!B66),'_Data inputs (reported)'!B66,"")</f>
        <v/>
      </c>
      <c r="C66" s="179" t="str">
        <f>IF(ISBLANK('_Data inputs (reported)'!C66),"",'_Data inputs (reported)'!C66)</f>
        <v/>
      </c>
      <c r="D66" s="105" t="str">
        <f>IF(ISTEXT(VLOOKUP('_Data inputs (reported)'!D66,nametranslations,1,FALSE)),IF(Introduction!$A$2="English",VLOOKUP('_Data inputs (reported)'!D66,nametranslations,1,FALSE),IF(Introduction!$A$2="Spanish",VLOOKUP('_Data inputs (reported)'!D66,nametranslations,2,FALSE),IF(Introduction!$A$2="French",VLOOKUP('_Data inputs (reported)'!D66,nametranslations,3,FALSE),IF(Introduction!$A$2="Arabic",VLOOKUP('_Data inputs (reported)'!D66,nametranslations,4,FALSE),IF(Introduction!$A$2="Russian",VLOOKUP('_Data inputs (reported)'!D66,nametranslations,5,FALSE),IF(Introduction!$A$2="Chinese",VLOOKUP('_Data inputs (reported)'!D66,nametranslations,6,FALSE),IF(Introduction!$A$2="Other",VLOOKUP('_Data inputs (reported)'!D66,nametranslations,7,FALSE)))))))),"")</f>
        <v/>
      </c>
      <c r="E66" s="1" t="str">
        <f>IF(ISTEXT('_Data inputs (reported)'!E66),'_Data inputs (reported)'!E66,"")</f>
        <v/>
      </c>
      <c r="F66" s="8" t="str">
        <f>IF(ISNUMBER('_Data inputs (reported)'!F66),'_Data inputs (reported)'!F66,"")</f>
        <v/>
      </c>
      <c r="G66" s="105" t="str">
        <f>IF(ISTEXT(VLOOKUP('_Data inputs (reported)'!G66,nametranslations,1,FALSE)),IF(Introduction!$A$2="English",VLOOKUP('_Data inputs (reported)'!G66,nametranslations,1,FALSE),IF(Introduction!$A$2="Spanish",VLOOKUP('_Data inputs (reported)'!G66,nametranslations,2,FALSE),IF(Introduction!$A$2="French",VLOOKUP('_Data inputs (reported)'!G66,nametranslations,3,FALSE),IF(Introduction!$A$2="Arabic",VLOOKUP('_Data inputs (reported)'!G66,nametranslations,4,FALSE),IF(Introduction!$A$2="Russian",VLOOKUP('_Data inputs (reported)'!G66,nametranslations,5,FALSE),IF(Introduction!$A$2="Chinese",VLOOKUP('_Data inputs (reported)'!G66,nametranslations,6,FALSE),IF(Introduction!$A$2="Other",VLOOKUP('_Data inputs (reported)'!G66,nametranslations,7,FALSE)))))))),"")</f>
        <v/>
      </c>
      <c r="H66" s="1" t="str">
        <f>IF(ISTEXT('_Data inputs (reported)'!H66),'_Data inputs (reported)'!H66,"")</f>
        <v/>
      </c>
      <c r="I66" s="42" t="str">
        <f>IF(ISNUMBER('_Data inputs (reported)'!I66),'_Data inputs (reported)'!I66,"")</f>
        <v/>
      </c>
      <c r="J66" s="1" t="str">
        <f>IF(ISTEXT('_Data inputs (reported)'!J66),'_Data inputs (reported)'!J66,"")</f>
        <v/>
      </c>
      <c r="K66" s="105" t="str">
        <f>IF(ISTEXT('_Data inputs (reported)'!K66),'_Data inputs (reported)'!K66,"")</f>
        <v/>
      </c>
      <c r="L66" s="105" t="str">
        <f>IF(ISTEXT('_Data inputs (reported)'!L66),'_Data inputs (reported)'!L66,"")</f>
        <v/>
      </c>
      <c r="M66" s="1" t="str">
        <f>IF(ISTEXT('_Data inputs (reported)'!M66),'_Data inputs (reported)'!M66,"")</f>
        <v/>
      </c>
      <c r="N66" s="105" t="str">
        <f>IF(ISTEXT('_Data inputs (reported)'!N66),'_Data inputs (reported)'!N66,"")</f>
        <v/>
      </c>
    </row>
    <row xmlns:x14ac="http://schemas.microsoft.com/office/spreadsheetml/2009/9/ac" r="67" x14ac:dyDescent="0.2">
      <c r="A67" s="105" t="str">
        <f>IF(ISTEXT(VLOOKUP('_Data inputs (reported)'!B67,countryname,2,FALSE)),IF(Introduction!$A$2="English",VLOOKUP('_Data inputs (reported)'!B67,countryname,2,FALSE),IF(Introduction!$A$2="French",VLOOKUP('_Data inputs (reported)'!B67,countryname,3,FALSE),IF(Introduction!$A$2="Spanish",VLOOKUP('_Data inputs (reported)'!B67,countryname,4,FALSE),IF(Introduction!$A$2="Russian",VLOOKUP('_Data inputs (reported)'!B67,countryname,5,FALSE),IF(Introduction!$A$2="Arabic",VLOOKUP('_Data inputs (reported)'!B67,countryname,6,FALSE),IF(Introduction!$A$2="Chinese",VLOOKUP('_Data inputs (reported)'!B67,countryname,7,FALSE),IF(Introduction!$A$2="Other",VLOOKUP('_Data inputs (reported)'!B67,countryname,8,FALSE)))))))),"")</f>
        <v/>
      </c>
      <c r="B67" s="1" t="str">
        <f>IF(ISTEXT('_Data inputs (reported)'!B67),'_Data inputs (reported)'!B67,"")</f>
        <v/>
      </c>
      <c r="C67" s="179" t="str">
        <f>IF(ISBLANK('_Data inputs (reported)'!C67),"",'_Data inputs (reported)'!C67)</f>
        <v/>
      </c>
      <c r="D67" s="105" t="str">
        <f>IF(ISTEXT(VLOOKUP('_Data inputs (reported)'!D67,nametranslations,1,FALSE)),IF(Introduction!$A$2="English",VLOOKUP('_Data inputs (reported)'!D67,nametranslations,1,FALSE),IF(Introduction!$A$2="Spanish",VLOOKUP('_Data inputs (reported)'!D67,nametranslations,2,FALSE),IF(Introduction!$A$2="French",VLOOKUP('_Data inputs (reported)'!D67,nametranslations,3,FALSE),IF(Introduction!$A$2="Arabic",VLOOKUP('_Data inputs (reported)'!D67,nametranslations,4,FALSE),IF(Introduction!$A$2="Russian",VLOOKUP('_Data inputs (reported)'!D67,nametranslations,5,FALSE),IF(Introduction!$A$2="Chinese",VLOOKUP('_Data inputs (reported)'!D67,nametranslations,6,FALSE),IF(Introduction!$A$2="Other",VLOOKUP('_Data inputs (reported)'!D67,nametranslations,7,FALSE)))))))),"")</f>
        <v/>
      </c>
      <c r="E67" s="1" t="str">
        <f>IF(ISTEXT('_Data inputs (reported)'!E67),'_Data inputs (reported)'!E67,"")</f>
        <v/>
      </c>
      <c r="F67" s="8" t="str">
        <f>IF(ISNUMBER('_Data inputs (reported)'!F67),'_Data inputs (reported)'!F67,"")</f>
        <v/>
      </c>
      <c r="G67" s="105" t="str">
        <f>IF(ISTEXT(VLOOKUP('_Data inputs (reported)'!G67,nametranslations,1,FALSE)),IF(Introduction!$A$2="English",VLOOKUP('_Data inputs (reported)'!G67,nametranslations,1,FALSE),IF(Introduction!$A$2="Spanish",VLOOKUP('_Data inputs (reported)'!G67,nametranslations,2,FALSE),IF(Introduction!$A$2="French",VLOOKUP('_Data inputs (reported)'!G67,nametranslations,3,FALSE),IF(Introduction!$A$2="Arabic",VLOOKUP('_Data inputs (reported)'!G67,nametranslations,4,FALSE),IF(Introduction!$A$2="Russian",VLOOKUP('_Data inputs (reported)'!G67,nametranslations,5,FALSE),IF(Introduction!$A$2="Chinese",VLOOKUP('_Data inputs (reported)'!G67,nametranslations,6,FALSE),IF(Introduction!$A$2="Other",VLOOKUP('_Data inputs (reported)'!G67,nametranslations,7,FALSE)))))))),"")</f>
        <v/>
      </c>
      <c r="H67" s="1" t="str">
        <f>IF(ISTEXT('_Data inputs (reported)'!H67),'_Data inputs (reported)'!H67,"")</f>
        <v/>
      </c>
      <c r="I67" s="42" t="str">
        <f>IF(ISNUMBER('_Data inputs (reported)'!I67),'_Data inputs (reported)'!I67,"")</f>
        <v/>
      </c>
      <c r="J67" s="1" t="str">
        <f>IF(ISTEXT('_Data inputs (reported)'!J67),'_Data inputs (reported)'!J67,"")</f>
        <v/>
      </c>
      <c r="K67" s="105" t="str">
        <f>IF(ISTEXT('_Data inputs (reported)'!K67),'_Data inputs (reported)'!K67,"")</f>
        <v/>
      </c>
      <c r="L67" s="105" t="str">
        <f>IF(ISTEXT('_Data inputs (reported)'!L67),'_Data inputs (reported)'!L67,"")</f>
        <v/>
      </c>
      <c r="M67" s="1" t="str">
        <f>IF(ISTEXT('_Data inputs (reported)'!M67),'_Data inputs (reported)'!M67,"")</f>
        <v/>
      </c>
      <c r="N67" s="105" t="str">
        <f>IF(ISTEXT('_Data inputs (reported)'!N67),'_Data inputs (reported)'!N67,"")</f>
        <v/>
      </c>
    </row>
    <row xmlns:x14ac="http://schemas.microsoft.com/office/spreadsheetml/2009/9/ac" r="68" x14ac:dyDescent="0.2">
      <c r="A68" s="105" t="str">
        <f>IF(ISTEXT(VLOOKUP('_Data inputs (reported)'!B68,countryname,2,FALSE)),IF(Introduction!$A$2="English",VLOOKUP('_Data inputs (reported)'!B68,countryname,2,FALSE),IF(Introduction!$A$2="French",VLOOKUP('_Data inputs (reported)'!B68,countryname,3,FALSE),IF(Introduction!$A$2="Spanish",VLOOKUP('_Data inputs (reported)'!B68,countryname,4,FALSE),IF(Introduction!$A$2="Russian",VLOOKUP('_Data inputs (reported)'!B68,countryname,5,FALSE),IF(Introduction!$A$2="Arabic",VLOOKUP('_Data inputs (reported)'!B68,countryname,6,FALSE),IF(Introduction!$A$2="Chinese",VLOOKUP('_Data inputs (reported)'!B68,countryname,7,FALSE),IF(Introduction!$A$2="Other",VLOOKUP('_Data inputs (reported)'!B68,countryname,8,FALSE)))))))),"")</f>
        <v/>
      </c>
      <c r="B68" s="1" t="str">
        <f>IF(ISTEXT('_Data inputs (reported)'!B68),'_Data inputs (reported)'!B68,"")</f>
        <v/>
      </c>
      <c r="C68" s="179" t="str">
        <f>IF(ISBLANK('_Data inputs (reported)'!C68),"",'_Data inputs (reported)'!C68)</f>
        <v/>
      </c>
      <c r="D68" s="105" t="str">
        <f>IF(ISTEXT(VLOOKUP('_Data inputs (reported)'!D68,nametranslations,1,FALSE)),IF(Introduction!$A$2="English",VLOOKUP('_Data inputs (reported)'!D68,nametranslations,1,FALSE),IF(Introduction!$A$2="Spanish",VLOOKUP('_Data inputs (reported)'!D68,nametranslations,2,FALSE),IF(Introduction!$A$2="French",VLOOKUP('_Data inputs (reported)'!D68,nametranslations,3,FALSE),IF(Introduction!$A$2="Arabic",VLOOKUP('_Data inputs (reported)'!D68,nametranslations,4,FALSE),IF(Introduction!$A$2="Russian",VLOOKUP('_Data inputs (reported)'!D68,nametranslations,5,FALSE),IF(Introduction!$A$2="Chinese",VLOOKUP('_Data inputs (reported)'!D68,nametranslations,6,FALSE),IF(Introduction!$A$2="Other",VLOOKUP('_Data inputs (reported)'!D68,nametranslations,7,FALSE)))))))),"")</f>
        <v/>
      </c>
      <c r="E68" s="1" t="str">
        <f>IF(ISTEXT('_Data inputs (reported)'!E68),'_Data inputs (reported)'!E68,"")</f>
        <v/>
      </c>
      <c r="F68" s="8" t="str">
        <f>IF(ISNUMBER('_Data inputs (reported)'!F68),'_Data inputs (reported)'!F68,"")</f>
        <v/>
      </c>
      <c r="G68" s="105" t="str">
        <f>IF(ISTEXT(VLOOKUP('_Data inputs (reported)'!G68,nametranslations,1,FALSE)),IF(Introduction!$A$2="English",VLOOKUP('_Data inputs (reported)'!G68,nametranslations,1,FALSE),IF(Introduction!$A$2="Spanish",VLOOKUP('_Data inputs (reported)'!G68,nametranslations,2,FALSE),IF(Introduction!$A$2="French",VLOOKUP('_Data inputs (reported)'!G68,nametranslations,3,FALSE),IF(Introduction!$A$2="Arabic",VLOOKUP('_Data inputs (reported)'!G68,nametranslations,4,FALSE),IF(Introduction!$A$2="Russian",VLOOKUP('_Data inputs (reported)'!G68,nametranslations,5,FALSE),IF(Introduction!$A$2="Chinese",VLOOKUP('_Data inputs (reported)'!G68,nametranslations,6,FALSE),IF(Introduction!$A$2="Other",VLOOKUP('_Data inputs (reported)'!G68,nametranslations,7,FALSE)))))))),"")</f>
        <v/>
      </c>
      <c r="H68" s="1" t="str">
        <f>IF(ISTEXT('_Data inputs (reported)'!H68),'_Data inputs (reported)'!H68,"")</f>
        <v/>
      </c>
      <c r="I68" s="42" t="str">
        <f>IF(ISNUMBER('_Data inputs (reported)'!I68),'_Data inputs (reported)'!I68,"")</f>
        <v/>
      </c>
      <c r="J68" s="1" t="str">
        <f>IF(ISTEXT('_Data inputs (reported)'!J68),'_Data inputs (reported)'!J68,"")</f>
        <v/>
      </c>
      <c r="K68" s="105" t="str">
        <f>IF(ISTEXT('_Data inputs (reported)'!K68),'_Data inputs (reported)'!K68,"")</f>
        <v/>
      </c>
      <c r="L68" s="105" t="str">
        <f>IF(ISTEXT('_Data inputs (reported)'!L68),'_Data inputs (reported)'!L68,"")</f>
        <v/>
      </c>
      <c r="M68" s="1" t="str">
        <f>IF(ISTEXT('_Data inputs (reported)'!M68),'_Data inputs (reported)'!M68,"")</f>
        <v/>
      </c>
      <c r="N68" s="105" t="str">
        <f>IF(ISTEXT('_Data inputs (reported)'!N68),'_Data inputs (reported)'!N68,"")</f>
        <v/>
      </c>
    </row>
    <row xmlns:x14ac="http://schemas.microsoft.com/office/spreadsheetml/2009/9/ac" r="69" x14ac:dyDescent="0.2">
      <c r="A69" s="105" t="str">
        <f>IF(ISTEXT(VLOOKUP('_Data inputs (reported)'!B69,countryname,2,FALSE)),IF(Introduction!$A$2="English",VLOOKUP('_Data inputs (reported)'!B69,countryname,2,FALSE),IF(Introduction!$A$2="French",VLOOKUP('_Data inputs (reported)'!B69,countryname,3,FALSE),IF(Introduction!$A$2="Spanish",VLOOKUP('_Data inputs (reported)'!B69,countryname,4,FALSE),IF(Introduction!$A$2="Russian",VLOOKUP('_Data inputs (reported)'!B69,countryname,5,FALSE),IF(Introduction!$A$2="Arabic",VLOOKUP('_Data inputs (reported)'!B69,countryname,6,FALSE),IF(Introduction!$A$2="Chinese",VLOOKUP('_Data inputs (reported)'!B69,countryname,7,FALSE),IF(Introduction!$A$2="Other",VLOOKUP('_Data inputs (reported)'!B69,countryname,8,FALSE)))))))),"")</f>
        <v/>
      </c>
      <c r="B69" s="1" t="str">
        <f>IF(ISTEXT('_Data inputs (reported)'!B69),'_Data inputs (reported)'!B69,"")</f>
        <v/>
      </c>
      <c r="C69" s="179" t="str">
        <f>IF(ISBLANK('_Data inputs (reported)'!C69),"",'_Data inputs (reported)'!C69)</f>
        <v/>
      </c>
      <c r="D69" s="105" t="str">
        <f>IF(ISTEXT(VLOOKUP('_Data inputs (reported)'!D69,nametranslations,1,FALSE)),IF(Introduction!$A$2="English",VLOOKUP('_Data inputs (reported)'!D69,nametranslations,1,FALSE),IF(Introduction!$A$2="Spanish",VLOOKUP('_Data inputs (reported)'!D69,nametranslations,2,FALSE),IF(Introduction!$A$2="French",VLOOKUP('_Data inputs (reported)'!D69,nametranslations,3,FALSE),IF(Introduction!$A$2="Arabic",VLOOKUP('_Data inputs (reported)'!D69,nametranslations,4,FALSE),IF(Introduction!$A$2="Russian",VLOOKUP('_Data inputs (reported)'!D69,nametranslations,5,FALSE),IF(Introduction!$A$2="Chinese",VLOOKUP('_Data inputs (reported)'!D69,nametranslations,6,FALSE),IF(Introduction!$A$2="Other",VLOOKUP('_Data inputs (reported)'!D69,nametranslations,7,FALSE)))))))),"")</f>
        <v/>
      </c>
      <c r="E69" s="1" t="str">
        <f>IF(ISTEXT('_Data inputs (reported)'!E69),'_Data inputs (reported)'!E69,"")</f>
        <v/>
      </c>
      <c r="F69" s="8" t="str">
        <f>IF(ISNUMBER('_Data inputs (reported)'!F69),'_Data inputs (reported)'!F69,"")</f>
        <v/>
      </c>
      <c r="G69" s="105" t="str">
        <f>IF(ISTEXT(VLOOKUP('_Data inputs (reported)'!G69,nametranslations,1,FALSE)),IF(Introduction!$A$2="English",VLOOKUP('_Data inputs (reported)'!G69,nametranslations,1,FALSE),IF(Introduction!$A$2="Spanish",VLOOKUP('_Data inputs (reported)'!G69,nametranslations,2,FALSE),IF(Introduction!$A$2="French",VLOOKUP('_Data inputs (reported)'!G69,nametranslations,3,FALSE),IF(Introduction!$A$2="Arabic",VLOOKUP('_Data inputs (reported)'!G69,nametranslations,4,FALSE),IF(Introduction!$A$2="Russian",VLOOKUP('_Data inputs (reported)'!G69,nametranslations,5,FALSE),IF(Introduction!$A$2="Chinese",VLOOKUP('_Data inputs (reported)'!G69,nametranslations,6,FALSE),IF(Introduction!$A$2="Other",VLOOKUP('_Data inputs (reported)'!G69,nametranslations,7,FALSE)))))))),"")</f>
        <v/>
      </c>
      <c r="H69" s="1" t="str">
        <f>IF(ISTEXT('_Data inputs (reported)'!H69),'_Data inputs (reported)'!H69,"")</f>
        <v/>
      </c>
      <c r="I69" s="42" t="str">
        <f>IF(ISNUMBER('_Data inputs (reported)'!I69),'_Data inputs (reported)'!I69,"")</f>
        <v/>
      </c>
      <c r="J69" s="1" t="str">
        <f>IF(ISTEXT('_Data inputs (reported)'!J69),'_Data inputs (reported)'!J69,"")</f>
        <v/>
      </c>
      <c r="K69" s="105" t="str">
        <f>IF(ISTEXT('_Data inputs (reported)'!K69),'_Data inputs (reported)'!K69,"")</f>
        <v/>
      </c>
      <c r="L69" s="105" t="str">
        <f>IF(ISTEXT('_Data inputs (reported)'!L69),'_Data inputs (reported)'!L69,"")</f>
        <v/>
      </c>
      <c r="M69" s="1" t="str">
        <f>IF(ISTEXT('_Data inputs (reported)'!M69),'_Data inputs (reported)'!M69,"")</f>
        <v/>
      </c>
      <c r="N69" s="105" t="str">
        <f>IF(ISTEXT('_Data inputs (reported)'!N69),'_Data inputs (reported)'!N69,"")</f>
        <v/>
      </c>
    </row>
    <row xmlns:x14ac="http://schemas.microsoft.com/office/spreadsheetml/2009/9/ac" r="70" x14ac:dyDescent="0.2">
      <c r="A70" s="105" t="str">
        <f>IF(ISTEXT(VLOOKUP('_Data inputs (reported)'!B70,countryname,2,FALSE)),IF(Introduction!$A$2="English",VLOOKUP('_Data inputs (reported)'!B70,countryname,2,FALSE),IF(Introduction!$A$2="French",VLOOKUP('_Data inputs (reported)'!B70,countryname,3,FALSE),IF(Introduction!$A$2="Spanish",VLOOKUP('_Data inputs (reported)'!B70,countryname,4,FALSE),IF(Introduction!$A$2="Russian",VLOOKUP('_Data inputs (reported)'!B70,countryname,5,FALSE),IF(Introduction!$A$2="Arabic",VLOOKUP('_Data inputs (reported)'!B70,countryname,6,FALSE),IF(Introduction!$A$2="Chinese",VLOOKUP('_Data inputs (reported)'!B70,countryname,7,FALSE),IF(Introduction!$A$2="Other",VLOOKUP('_Data inputs (reported)'!B70,countryname,8,FALSE)))))))),"")</f>
        <v/>
      </c>
      <c r="B70" s="1" t="str">
        <f>IF(ISTEXT('_Data inputs (reported)'!B70),'_Data inputs (reported)'!B70,"")</f>
        <v/>
      </c>
      <c r="C70" s="179" t="str">
        <f>IF(ISBLANK('_Data inputs (reported)'!C70),"",'_Data inputs (reported)'!C70)</f>
        <v/>
      </c>
      <c r="D70" s="105" t="str">
        <f>IF(ISTEXT(VLOOKUP('_Data inputs (reported)'!D70,nametranslations,1,FALSE)),IF(Introduction!$A$2="English",VLOOKUP('_Data inputs (reported)'!D70,nametranslations,1,FALSE),IF(Introduction!$A$2="Spanish",VLOOKUP('_Data inputs (reported)'!D70,nametranslations,2,FALSE),IF(Introduction!$A$2="French",VLOOKUP('_Data inputs (reported)'!D70,nametranslations,3,FALSE),IF(Introduction!$A$2="Arabic",VLOOKUP('_Data inputs (reported)'!D70,nametranslations,4,FALSE),IF(Introduction!$A$2="Russian",VLOOKUP('_Data inputs (reported)'!D70,nametranslations,5,FALSE),IF(Introduction!$A$2="Chinese",VLOOKUP('_Data inputs (reported)'!D70,nametranslations,6,FALSE),IF(Introduction!$A$2="Other",VLOOKUP('_Data inputs (reported)'!D70,nametranslations,7,FALSE)))))))),"")</f>
        <v/>
      </c>
      <c r="E70" s="1" t="str">
        <f>IF(ISTEXT('_Data inputs (reported)'!E70),'_Data inputs (reported)'!E70,"")</f>
        <v/>
      </c>
      <c r="F70" s="8" t="str">
        <f>IF(ISNUMBER('_Data inputs (reported)'!F70),'_Data inputs (reported)'!F70,"")</f>
        <v/>
      </c>
      <c r="G70" s="105" t="str">
        <f>IF(ISTEXT(VLOOKUP('_Data inputs (reported)'!G70,nametranslations,1,FALSE)),IF(Introduction!$A$2="English",VLOOKUP('_Data inputs (reported)'!G70,nametranslations,1,FALSE),IF(Introduction!$A$2="Spanish",VLOOKUP('_Data inputs (reported)'!G70,nametranslations,2,FALSE),IF(Introduction!$A$2="French",VLOOKUP('_Data inputs (reported)'!G70,nametranslations,3,FALSE),IF(Introduction!$A$2="Arabic",VLOOKUP('_Data inputs (reported)'!G70,nametranslations,4,FALSE),IF(Introduction!$A$2="Russian",VLOOKUP('_Data inputs (reported)'!G70,nametranslations,5,FALSE),IF(Introduction!$A$2="Chinese",VLOOKUP('_Data inputs (reported)'!G70,nametranslations,6,FALSE),IF(Introduction!$A$2="Other",VLOOKUP('_Data inputs (reported)'!G70,nametranslations,7,FALSE)))))))),"")</f>
        <v/>
      </c>
      <c r="H70" s="1" t="str">
        <f>IF(ISTEXT('_Data inputs (reported)'!H70),'_Data inputs (reported)'!H70,"")</f>
        <v/>
      </c>
      <c r="I70" s="42" t="str">
        <f>IF(ISNUMBER('_Data inputs (reported)'!I70),'_Data inputs (reported)'!I70,"")</f>
        <v/>
      </c>
      <c r="J70" s="1" t="str">
        <f>IF(ISTEXT('_Data inputs (reported)'!J70),'_Data inputs (reported)'!J70,"")</f>
        <v/>
      </c>
      <c r="K70" s="105" t="str">
        <f>IF(ISTEXT('_Data inputs (reported)'!K70),'_Data inputs (reported)'!K70,"")</f>
        <v/>
      </c>
      <c r="L70" s="105" t="str">
        <f>IF(ISTEXT('_Data inputs (reported)'!L70),'_Data inputs (reported)'!L70,"")</f>
        <v/>
      </c>
      <c r="M70" s="1" t="str">
        <f>IF(ISTEXT('_Data inputs (reported)'!M70),'_Data inputs (reported)'!M70,"")</f>
        <v/>
      </c>
      <c r="N70" s="105" t="str">
        <f>IF(ISTEXT('_Data inputs (reported)'!N70),'_Data inputs (reported)'!N70,"")</f>
        <v/>
      </c>
    </row>
    <row xmlns:x14ac="http://schemas.microsoft.com/office/spreadsheetml/2009/9/ac" r="71" x14ac:dyDescent="0.2">
      <c r="A71" s="105" t="str">
        <f>IF(ISTEXT(VLOOKUP('_Data inputs (reported)'!B71,countryname,2,FALSE)),IF(Introduction!$A$2="English",VLOOKUP('_Data inputs (reported)'!B71,countryname,2,FALSE),IF(Introduction!$A$2="French",VLOOKUP('_Data inputs (reported)'!B71,countryname,3,FALSE),IF(Introduction!$A$2="Spanish",VLOOKUP('_Data inputs (reported)'!B71,countryname,4,FALSE),IF(Introduction!$A$2="Russian",VLOOKUP('_Data inputs (reported)'!B71,countryname,5,FALSE),IF(Introduction!$A$2="Arabic",VLOOKUP('_Data inputs (reported)'!B71,countryname,6,FALSE),IF(Introduction!$A$2="Chinese",VLOOKUP('_Data inputs (reported)'!B71,countryname,7,FALSE),IF(Introduction!$A$2="Other",VLOOKUP('_Data inputs (reported)'!B71,countryname,8,FALSE)))))))),"")</f>
        <v/>
      </c>
      <c r="B71" s="1" t="str">
        <f>IF(ISTEXT('_Data inputs (reported)'!B71),'_Data inputs (reported)'!B71,"")</f>
        <v/>
      </c>
      <c r="C71" s="179" t="str">
        <f>IF(ISBLANK('_Data inputs (reported)'!C71),"",'_Data inputs (reported)'!C71)</f>
        <v/>
      </c>
      <c r="D71" s="105" t="str">
        <f>IF(ISTEXT(VLOOKUP('_Data inputs (reported)'!D71,nametranslations,1,FALSE)),IF(Introduction!$A$2="English",VLOOKUP('_Data inputs (reported)'!D71,nametranslations,1,FALSE),IF(Introduction!$A$2="Spanish",VLOOKUP('_Data inputs (reported)'!D71,nametranslations,2,FALSE),IF(Introduction!$A$2="French",VLOOKUP('_Data inputs (reported)'!D71,nametranslations,3,FALSE),IF(Introduction!$A$2="Arabic",VLOOKUP('_Data inputs (reported)'!D71,nametranslations,4,FALSE),IF(Introduction!$A$2="Russian",VLOOKUP('_Data inputs (reported)'!D71,nametranslations,5,FALSE),IF(Introduction!$A$2="Chinese",VLOOKUP('_Data inputs (reported)'!D71,nametranslations,6,FALSE),IF(Introduction!$A$2="Other",VLOOKUP('_Data inputs (reported)'!D71,nametranslations,7,FALSE)))))))),"")</f>
        <v/>
      </c>
      <c r="E71" s="1" t="str">
        <f>IF(ISTEXT('_Data inputs (reported)'!E71),'_Data inputs (reported)'!E71,"")</f>
        <v/>
      </c>
      <c r="F71" s="8" t="str">
        <f>IF(ISNUMBER('_Data inputs (reported)'!F71),'_Data inputs (reported)'!F71,"")</f>
        <v/>
      </c>
      <c r="G71" s="105" t="str">
        <f>IF(ISTEXT(VLOOKUP('_Data inputs (reported)'!G71,nametranslations,1,FALSE)),IF(Introduction!$A$2="English",VLOOKUP('_Data inputs (reported)'!G71,nametranslations,1,FALSE),IF(Introduction!$A$2="Spanish",VLOOKUP('_Data inputs (reported)'!G71,nametranslations,2,FALSE),IF(Introduction!$A$2="French",VLOOKUP('_Data inputs (reported)'!G71,nametranslations,3,FALSE),IF(Introduction!$A$2="Arabic",VLOOKUP('_Data inputs (reported)'!G71,nametranslations,4,FALSE),IF(Introduction!$A$2="Russian",VLOOKUP('_Data inputs (reported)'!G71,nametranslations,5,FALSE),IF(Introduction!$A$2="Chinese",VLOOKUP('_Data inputs (reported)'!G71,nametranslations,6,FALSE),IF(Introduction!$A$2="Other",VLOOKUP('_Data inputs (reported)'!G71,nametranslations,7,FALSE)))))))),"")</f>
        <v/>
      </c>
      <c r="H71" s="1" t="str">
        <f>IF(ISTEXT('_Data inputs (reported)'!H71),'_Data inputs (reported)'!H71,"")</f>
        <v/>
      </c>
      <c r="I71" s="42" t="str">
        <f>IF(ISNUMBER('_Data inputs (reported)'!I71),'_Data inputs (reported)'!I71,"")</f>
        <v/>
      </c>
      <c r="J71" s="1" t="str">
        <f>IF(ISTEXT('_Data inputs (reported)'!J71),'_Data inputs (reported)'!J71,"")</f>
        <v/>
      </c>
      <c r="K71" s="105" t="str">
        <f>IF(ISTEXT('_Data inputs (reported)'!K71),'_Data inputs (reported)'!K71,"")</f>
        <v/>
      </c>
      <c r="L71" s="105" t="str">
        <f>IF(ISTEXT('_Data inputs (reported)'!L71),'_Data inputs (reported)'!L71,"")</f>
        <v/>
      </c>
      <c r="M71" s="1" t="str">
        <f>IF(ISTEXT('_Data inputs (reported)'!M71),'_Data inputs (reported)'!M71,"")</f>
        <v/>
      </c>
      <c r="N71" s="105" t="str">
        <f>IF(ISTEXT('_Data inputs (reported)'!N71),'_Data inputs (reported)'!N71,"")</f>
        <v/>
      </c>
    </row>
    <row xmlns:x14ac="http://schemas.microsoft.com/office/spreadsheetml/2009/9/ac" r="72" x14ac:dyDescent="0.2">
      <c r="A72" s="105" t="str">
        <f>IF(ISTEXT(VLOOKUP('_Data inputs (reported)'!B72,countryname,2,FALSE)),IF(Introduction!$A$2="English",VLOOKUP('_Data inputs (reported)'!B72,countryname,2,FALSE),IF(Introduction!$A$2="French",VLOOKUP('_Data inputs (reported)'!B72,countryname,3,FALSE),IF(Introduction!$A$2="Spanish",VLOOKUP('_Data inputs (reported)'!B72,countryname,4,FALSE),IF(Introduction!$A$2="Russian",VLOOKUP('_Data inputs (reported)'!B72,countryname,5,FALSE),IF(Introduction!$A$2="Arabic",VLOOKUP('_Data inputs (reported)'!B72,countryname,6,FALSE),IF(Introduction!$A$2="Chinese",VLOOKUP('_Data inputs (reported)'!B72,countryname,7,FALSE),IF(Introduction!$A$2="Other",VLOOKUP('_Data inputs (reported)'!B72,countryname,8,FALSE)))))))),"")</f>
        <v/>
      </c>
      <c r="B72" s="1" t="str">
        <f>IF(ISTEXT('_Data inputs (reported)'!B72),'_Data inputs (reported)'!B72,"")</f>
        <v/>
      </c>
      <c r="C72" s="179" t="str">
        <f>IF(ISBLANK('_Data inputs (reported)'!C72),"",'_Data inputs (reported)'!C72)</f>
        <v/>
      </c>
      <c r="D72" s="105" t="str">
        <f>IF(ISTEXT(VLOOKUP('_Data inputs (reported)'!D72,nametranslations,1,FALSE)),IF(Introduction!$A$2="English",VLOOKUP('_Data inputs (reported)'!D72,nametranslations,1,FALSE),IF(Introduction!$A$2="Spanish",VLOOKUP('_Data inputs (reported)'!D72,nametranslations,2,FALSE),IF(Introduction!$A$2="French",VLOOKUP('_Data inputs (reported)'!D72,nametranslations,3,FALSE),IF(Introduction!$A$2="Arabic",VLOOKUP('_Data inputs (reported)'!D72,nametranslations,4,FALSE),IF(Introduction!$A$2="Russian",VLOOKUP('_Data inputs (reported)'!D72,nametranslations,5,FALSE),IF(Introduction!$A$2="Chinese",VLOOKUP('_Data inputs (reported)'!D72,nametranslations,6,FALSE),IF(Introduction!$A$2="Other",VLOOKUP('_Data inputs (reported)'!D72,nametranslations,7,FALSE)))))))),"")</f>
        <v/>
      </c>
      <c r="E72" s="1" t="str">
        <f>IF(ISTEXT('_Data inputs (reported)'!E72),'_Data inputs (reported)'!E72,"")</f>
        <v/>
      </c>
      <c r="F72" s="8" t="str">
        <f>IF(ISNUMBER('_Data inputs (reported)'!F72),'_Data inputs (reported)'!F72,"")</f>
        <v/>
      </c>
      <c r="G72" s="105" t="str">
        <f>IF(ISTEXT(VLOOKUP('_Data inputs (reported)'!G72,nametranslations,1,FALSE)),IF(Introduction!$A$2="English",VLOOKUP('_Data inputs (reported)'!G72,nametranslations,1,FALSE),IF(Introduction!$A$2="Spanish",VLOOKUP('_Data inputs (reported)'!G72,nametranslations,2,FALSE),IF(Introduction!$A$2="French",VLOOKUP('_Data inputs (reported)'!G72,nametranslations,3,FALSE),IF(Introduction!$A$2="Arabic",VLOOKUP('_Data inputs (reported)'!G72,nametranslations,4,FALSE),IF(Introduction!$A$2="Russian",VLOOKUP('_Data inputs (reported)'!G72,nametranslations,5,FALSE),IF(Introduction!$A$2="Chinese",VLOOKUP('_Data inputs (reported)'!G72,nametranslations,6,FALSE),IF(Introduction!$A$2="Other",VLOOKUP('_Data inputs (reported)'!G72,nametranslations,7,FALSE)))))))),"")</f>
        <v/>
      </c>
      <c r="H72" s="1" t="str">
        <f>IF(ISTEXT('_Data inputs (reported)'!H72),'_Data inputs (reported)'!H72,"")</f>
        <v/>
      </c>
      <c r="I72" s="42" t="str">
        <f>IF(ISNUMBER('_Data inputs (reported)'!I72),'_Data inputs (reported)'!I72,"")</f>
        <v/>
      </c>
      <c r="J72" s="1" t="str">
        <f>IF(ISTEXT('_Data inputs (reported)'!J72),'_Data inputs (reported)'!J72,"")</f>
        <v/>
      </c>
      <c r="K72" s="105" t="str">
        <f>IF(ISTEXT('_Data inputs (reported)'!K72),'_Data inputs (reported)'!K72,"")</f>
        <v/>
      </c>
      <c r="L72" s="105" t="str">
        <f>IF(ISTEXT('_Data inputs (reported)'!L72),'_Data inputs (reported)'!L72,"")</f>
        <v/>
      </c>
      <c r="M72" s="1" t="str">
        <f>IF(ISTEXT('_Data inputs (reported)'!M72),'_Data inputs (reported)'!M72,"")</f>
        <v/>
      </c>
      <c r="N72" s="105" t="str">
        <f>IF(ISTEXT('_Data inputs (reported)'!N72),'_Data inputs (reported)'!N72,"")</f>
        <v/>
      </c>
    </row>
    <row xmlns:x14ac="http://schemas.microsoft.com/office/spreadsheetml/2009/9/ac" r="73" x14ac:dyDescent="0.2">
      <c r="A73" s="105" t="str">
        <f>IF(ISTEXT(VLOOKUP('_Data inputs (reported)'!B73,countryname,2,FALSE)),IF(Introduction!$A$2="English",VLOOKUP('_Data inputs (reported)'!B73,countryname,2,FALSE),IF(Introduction!$A$2="French",VLOOKUP('_Data inputs (reported)'!B73,countryname,3,FALSE),IF(Introduction!$A$2="Spanish",VLOOKUP('_Data inputs (reported)'!B73,countryname,4,FALSE),IF(Introduction!$A$2="Russian",VLOOKUP('_Data inputs (reported)'!B73,countryname,5,FALSE),IF(Introduction!$A$2="Arabic",VLOOKUP('_Data inputs (reported)'!B73,countryname,6,FALSE),IF(Introduction!$A$2="Chinese",VLOOKUP('_Data inputs (reported)'!B73,countryname,7,FALSE),IF(Introduction!$A$2="Other",VLOOKUP('_Data inputs (reported)'!B73,countryname,8,FALSE)))))))),"")</f>
        <v/>
      </c>
      <c r="B73" s="1" t="str">
        <f>IF(ISTEXT('_Data inputs (reported)'!B73),'_Data inputs (reported)'!B73,"")</f>
        <v/>
      </c>
      <c r="C73" s="179" t="str">
        <f>IF(ISBLANK('_Data inputs (reported)'!C73),"",'_Data inputs (reported)'!C73)</f>
        <v/>
      </c>
      <c r="D73" s="105" t="str">
        <f>IF(ISTEXT(VLOOKUP('_Data inputs (reported)'!D73,nametranslations,1,FALSE)),IF(Introduction!$A$2="English",VLOOKUP('_Data inputs (reported)'!D73,nametranslations,1,FALSE),IF(Introduction!$A$2="Spanish",VLOOKUP('_Data inputs (reported)'!D73,nametranslations,2,FALSE),IF(Introduction!$A$2="French",VLOOKUP('_Data inputs (reported)'!D73,nametranslations,3,FALSE),IF(Introduction!$A$2="Arabic",VLOOKUP('_Data inputs (reported)'!D73,nametranslations,4,FALSE),IF(Introduction!$A$2="Russian",VLOOKUP('_Data inputs (reported)'!D73,nametranslations,5,FALSE),IF(Introduction!$A$2="Chinese",VLOOKUP('_Data inputs (reported)'!D73,nametranslations,6,FALSE),IF(Introduction!$A$2="Other",VLOOKUP('_Data inputs (reported)'!D73,nametranslations,7,FALSE)))))))),"")</f>
        <v/>
      </c>
      <c r="E73" s="1" t="str">
        <f>IF(ISTEXT('_Data inputs (reported)'!E73),'_Data inputs (reported)'!E73,"")</f>
        <v/>
      </c>
      <c r="F73" s="8" t="str">
        <f>IF(ISNUMBER('_Data inputs (reported)'!F73),'_Data inputs (reported)'!F73,"")</f>
        <v/>
      </c>
      <c r="G73" s="105" t="str">
        <f>IF(ISTEXT(VLOOKUP('_Data inputs (reported)'!G73,nametranslations,1,FALSE)),IF(Introduction!$A$2="English",VLOOKUP('_Data inputs (reported)'!G73,nametranslations,1,FALSE),IF(Introduction!$A$2="Spanish",VLOOKUP('_Data inputs (reported)'!G73,nametranslations,2,FALSE),IF(Introduction!$A$2="French",VLOOKUP('_Data inputs (reported)'!G73,nametranslations,3,FALSE),IF(Introduction!$A$2="Arabic",VLOOKUP('_Data inputs (reported)'!G73,nametranslations,4,FALSE),IF(Introduction!$A$2="Russian",VLOOKUP('_Data inputs (reported)'!G73,nametranslations,5,FALSE),IF(Introduction!$A$2="Chinese",VLOOKUP('_Data inputs (reported)'!G73,nametranslations,6,FALSE),IF(Introduction!$A$2="Other",VLOOKUP('_Data inputs (reported)'!G73,nametranslations,7,FALSE)))))))),"")</f>
        <v/>
      </c>
      <c r="H73" s="1" t="str">
        <f>IF(ISTEXT('_Data inputs (reported)'!H73),'_Data inputs (reported)'!H73,"")</f>
        <v/>
      </c>
      <c r="I73" s="42" t="str">
        <f>IF(ISNUMBER('_Data inputs (reported)'!I73),'_Data inputs (reported)'!I73,"")</f>
        <v/>
      </c>
      <c r="J73" s="1" t="str">
        <f>IF(ISTEXT('_Data inputs (reported)'!J73),'_Data inputs (reported)'!J73,"")</f>
        <v/>
      </c>
      <c r="K73" s="105" t="str">
        <f>IF(ISTEXT('_Data inputs (reported)'!K73),'_Data inputs (reported)'!K73,"")</f>
        <v/>
      </c>
      <c r="L73" s="105" t="str">
        <f>IF(ISTEXT('_Data inputs (reported)'!L73),'_Data inputs (reported)'!L73,"")</f>
        <v/>
      </c>
      <c r="M73" s="1" t="str">
        <f>IF(ISTEXT('_Data inputs (reported)'!M73),'_Data inputs (reported)'!M73,"")</f>
        <v/>
      </c>
      <c r="N73" s="105" t="str">
        <f>IF(ISTEXT('_Data inputs (reported)'!N73),'_Data inputs (reported)'!N73,"")</f>
        <v/>
      </c>
    </row>
    <row xmlns:x14ac="http://schemas.microsoft.com/office/spreadsheetml/2009/9/ac" r="74" x14ac:dyDescent="0.2">
      <c r="A74" s="105" t="str">
        <f>IF(ISTEXT(VLOOKUP('_Data inputs (reported)'!B74,countryname,2,FALSE)),IF(Introduction!$A$2="English",VLOOKUP('_Data inputs (reported)'!B74,countryname,2,FALSE),IF(Introduction!$A$2="French",VLOOKUP('_Data inputs (reported)'!B74,countryname,3,FALSE),IF(Introduction!$A$2="Spanish",VLOOKUP('_Data inputs (reported)'!B74,countryname,4,FALSE),IF(Introduction!$A$2="Russian",VLOOKUP('_Data inputs (reported)'!B74,countryname,5,FALSE),IF(Introduction!$A$2="Arabic",VLOOKUP('_Data inputs (reported)'!B74,countryname,6,FALSE),IF(Introduction!$A$2="Chinese",VLOOKUP('_Data inputs (reported)'!B74,countryname,7,FALSE),IF(Introduction!$A$2="Other",VLOOKUP('_Data inputs (reported)'!B74,countryname,8,FALSE)))))))),"")</f>
        <v/>
      </c>
      <c r="B74" s="1" t="str">
        <f>IF(ISTEXT('_Data inputs (reported)'!B74),'_Data inputs (reported)'!B74,"")</f>
        <v/>
      </c>
      <c r="C74" s="179" t="str">
        <f>IF(ISBLANK('_Data inputs (reported)'!C74),"",'_Data inputs (reported)'!C74)</f>
        <v/>
      </c>
      <c r="D74" s="105" t="str">
        <f>IF(ISTEXT(VLOOKUP('_Data inputs (reported)'!D74,nametranslations,1,FALSE)),IF(Introduction!$A$2="English",VLOOKUP('_Data inputs (reported)'!D74,nametranslations,1,FALSE),IF(Introduction!$A$2="Spanish",VLOOKUP('_Data inputs (reported)'!D74,nametranslations,2,FALSE),IF(Introduction!$A$2="French",VLOOKUP('_Data inputs (reported)'!D74,nametranslations,3,FALSE),IF(Introduction!$A$2="Arabic",VLOOKUP('_Data inputs (reported)'!D74,nametranslations,4,FALSE),IF(Introduction!$A$2="Russian",VLOOKUP('_Data inputs (reported)'!D74,nametranslations,5,FALSE),IF(Introduction!$A$2="Chinese",VLOOKUP('_Data inputs (reported)'!D74,nametranslations,6,FALSE),IF(Introduction!$A$2="Other",VLOOKUP('_Data inputs (reported)'!D74,nametranslations,7,FALSE)))))))),"")</f>
        <v/>
      </c>
      <c r="E74" s="1" t="str">
        <f>IF(ISTEXT('_Data inputs (reported)'!E74),'_Data inputs (reported)'!E74,"")</f>
        <v/>
      </c>
      <c r="F74" s="8" t="str">
        <f>IF(ISNUMBER('_Data inputs (reported)'!F74),'_Data inputs (reported)'!F74,"")</f>
        <v/>
      </c>
      <c r="G74" s="105" t="str">
        <f>IF(ISTEXT(VLOOKUP('_Data inputs (reported)'!G74,nametranslations,1,FALSE)),IF(Introduction!$A$2="English",VLOOKUP('_Data inputs (reported)'!G74,nametranslations,1,FALSE),IF(Introduction!$A$2="Spanish",VLOOKUP('_Data inputs (reported)'!G74,nametranslations,2,FALSE),IF(Introduction!$A$2="French",VLOOKUP('_Data inputs (reported)'!G74,nametranslations,3,FALSE),IF(Introduction!$A$2="Arabic",VLOOKUP('_Data inputs (reported)'!G74,nametranslations,4,FALSE),IF(Introduction!$A$2="Russian",VLOOKUP('_Data inputs (reported)'!G74,nametranslations,5,FALSE),IF(Introduction!$A$2="Chinese",VLOOKUP('_Data inputs (reported)'!G74,nametranslations,6,FALSE),IF(Introduction!$A$2="Other",VLOOKUP('_Data inputs (reported)'!G74,nametranslations,7,FALSE)))))))),"")</f>
        <v/>
      </c>
      <c r="H74" s="1" t="str">
        <f>IF(ISTEXT('_Data inputs (reported)'!H74),'_Data inputs (reported)'!H74,"")</f>
        <v/>
      </c>
      <c r="I74" s="42" t="str">
        <f>IF(ISNUMBER('_Data inputs (reported)'!I74),'_Data inputs (reported)'!I74,"")</f>
        <v/>
      </c>
      <c r="J74" s="1" t="str">
        <f>IF(ISTEXT('_Data inputs (reported)'!J74),'_Data inputs (reported)'!J74,"")</f>
        <v/>
      </c>
      <c r="K74" s="105" t="str">
        <f>IF(ISTEXT('_Data inputs (reported)'!K74),'_Data inputs (reported)'!K74,"")</f>
        <v/>
      </c>
      <c r="L74" s="105" t="str">
        <f>IF(ISTEXT('_Data inputs (reported)'!L74),'_Data inputs (reported)'!L74,"")</f>
        <v/>
      </c>
      <c r="M74" s="1" t="str">
        <f>IF(ISTEXT('_Data inputs (reported)'!M74),'_Data inputs (reported)'!M74,"")</f>
        <v/>
      </c>
      <c r="N74" s="105" t="str">
        <f>IF(ISTEXT('_Data inputs (reported)'!N74),'_Data inputs (reported)'!N74,"")</f>
        <v/>
      </c>
    </row>
    <row xmlns:x14ac="http://schemas.microsoft.com/office/spreadsheetml/2009/9/ac" r="75" x14ac:dyDescent="0.2">
      <c r="A75" s="105" t="str">
        <f>IF(ISTEXT(VLOOKUP('_Data inputs (reported)'!B75,countryname,2,FALSE)),IF(Introduction!$A$2="English",VLOOKUP('_Data inputs (reported)'!B75,countryname,2,FALSE),IF(Introduction!$A$2="French",VLOOKUP('_Data inputs (reported)'!B75,countryname,3,FALSE),IF(Introduction!$A$2="Spanish",VLOOKUP('_Data inputs (reported)'!B75,countryname,4,FALSE),IF(Introduction!$A$2="Russian",VLOOKUP('_Data inputs (reported)'!B75,countryname,5,FALSE),IF(Introduction!$A$2="Arabic",VLOOKUP('_Data inputs (reported)'!B75,countryname,6,FALSE),IF(Introduction!$A$2="Chinese",VLOOKUP('_Data inputs (reported)'!B75,countryname,7,FALSE),IF(Introduction!$A$2="Other",VLOOKUP('_Data inputs (reported)'!B75,countryname,8,FALSE)))))))),"")</f>
        <v/>
      </c>
      <c r="B75" s="1" t="str">
        <f>IF(ISTEXT('_Data inputs (reported)'!B75),'_Data inputs (reported)'!B75,"")</f>
        <v/>
      </c>
      <c r="C75" s="179" t="str">
        <f>IF(ISBLANK('_Data inputs (reported)'!C75),"",'_Data inputs (reported)'!C75)</f>
        <v/>
      </c>
      <c r="D75" s="105" t="str">
        <f>IF(ISTEXT(VLOOKUP('_Data inputs (reported)'!D75,nametranslations,1,FALSE)),IF(Introduction!$A$2="English",VLOOKUP('_Data inputs (reported)'!D75,nametranslations,1,FALSE),IF(Introduction!$A$2="Spanish",VLOOKUP('_Data inputs (reported)'!D75,nametranslations,2,FALSE),IF(Introduction!$A$2="French",VLOOKUP('_Data inputs (reported)'!D75,nametranslations,3,FALSE),IF(Introduction!$A$2="Arabic",VLOOKUP('_Data inputs (reported)'!D75,nametranslations,4,FALSE),IF(Introduction!$A$2="Russian",VLOOKUP('_Data inputs (reported)'!D75,nametranslations,5,FALSE),IF(Introduction!$A$2="Chinese",VLOOKUP('_Data inputs (reported)'!D75,nametranslations,6,FALSE),IF(Introduction!$A$2="Other",VLOOKUP('_Data inputs (reported)'!D75,nametranslations,7,FALSE)))))))),"")</f>
        <v/>
      </c>
      <c r="E75" s="1" t="str">
        <f>IF(ISTEXT('_Data inputs (reported)'!E75),'_Data inputs (reported)'!E75,"")</f>
        <v/>
      </c>
      <c r="F75" s="8" t="str">
        <f>IF(ISNUMBER('_Data inputs (reported)'!F75),'_Data inputs (reported)'!F75,"")</f>
        <v/>
      </c>
      <c r="G75" s="105" t="str">
        <f>IF(ISTEXT(VLOOKUP('_Data inputs (reported)'!G75,nametranslations,1,FALSE)),IF(Introduction!$A$2="English",VLOOKUP('_Data inputs (reported)'!G75,nametranslations,1,FALSE),IF(Introduction!$A$2="Spanish",VLOOKUP('_Data inputs (reported)'!G75,nametranslations,2,FALSE),IF(Introduction!$A$2="French",VLOOKUP('_Data inputs (reported)'!G75,nametranslations,3,FALSE),IF(Introduction!$A$2="Arabic",VLOOKUP('_Data inputs (reported)'!G75,nametranslations,4,FALSE),IF(Introduction!$A$2="Russian",VLOOKUP('_Data inputs (reported)'!G75,nametranslations,5,FALSE),IF(Introduction!$A$2="Chinese",VLOOKUP('_Data inputs (reported)'!G75,nametranslations,6,FALSE),IF(Introduction!$A$2="Other",VLOOKUP('_Data inputs (reported)'!G75,nametranslations,7,FALSE)))))))),"")</f>
        <v/>
      </c>
      <c r="H75" s="1" t="str">
        <f>IF(ISTEXT('_Data inputs (reported)'!H75),'_Data inputs (reported)'!H75,"")</f>
        <v/>
      </c>
      <c r="I75" s="42" t="str">
        <f>IF(ISNUMBER('_Data inputs (reported)'!I75),'_Data inputs (reported)'!I75,"")</f>
        <v/>
      </c>
      <c r="J75" s="1" t="str">
        <f>IF(ISTEXT('_Data inputs (reported)'!J75),'_Data inputs (reported)'!J75,"")</f>
        <v/>
      </c>
      <c r="K75" s="105" t="str">
        <f>IF(ISTEXT('_Data inputs (reported)'!K75),'_Data inputs (reported)'!K75,"")</f>
        <v/>
      </c>
      <c r="L75" s="105" t="str">
        <f>IF(ISTEXT('_Data inputs (reported)'!L75),'_Data inputs (reported)'!L75,"")</f>
        <v/>
      </c>
      <c r="M75" s="1" t="str">
        <f>IF(ISTEXT('_Data inputs (reported)'!M75),'_Data inputs (reported)'!M75,"")</f>
        <v/>
      </c>
      <c r="N75" s="105" t="str">
        <f>IF(ISTEXT('_Data inputs (reported)'!N75),'_Data inputs (reported)'!N75,"")</f>
        <v/>
      </c>
    </row>
    <row xmlns:x14ac="http://schemas.microsoft.com/office/spreadsheetml/2009/9/ac" r="76" x14ac:dyDescent="0.2">
      <c r="A76" s="105" t="str">
        <f>IF(ISTEXT(VLOOKUP('_Data inputs (reported)'!B76,countryname,2,FALSE)),IF(Introduction!$A$2="English",VLOOKUP('_Data inputs (reported)'!B76,countryname,2,FALSE),IF(Introduction!$A$2="French",VLOOKUP('_Data inputs (reported)'!B76,countryname,3,FALSE),IF(Introduction!$A$2="Spanish",VLOOKUP('_Data inputs (reported)'!B76,countryname,4,FALSE),IF(Introduction!$A$2="Russian",VLOOKUP('_Data inputs (reported)'!B76,countryname,5,FALSE),IF(Introduction!$A$2="Arabic",VLOOKUP('_Data inputs (reported)'!B76,countryname,6,FALSE),IF(Introduction!$A$2="Chinese",VLOOKUP('_Data inputs (reported)'!B76,countryname,7,FALSE),IF(Introduction!$A$2="Other",VLOOKUP('_Data inputs (reported)'!B76,countryname,8,FALSE)))))))),"")</f>
        <v/>
      </c>
      <c r="B76" s="1" t="str">
        <f>IF(ISTEXT('_Data inputs (reported)'!B76),'_Data inputs (reported)'!B76,"")</f>
        <v/>
      </c>
      <c r="C76" s="179" t="str">
        <f>IF(ISBLANK('_Data inputs (reported)'!C76),"",'_Data inputs (reported)'!C76)</f>
        <v/>
      </c>
      <c r="D76" s="105" t="str">
        <f>IF(ISTEXT(VLOOKUP('_Data inputs (reported)'!D76,nametranslations,1,FALSE)),IF(Introduction!$A$2="English",VLOOKUP('_Data inputs (reported)'!D76,nametranslations,1,FALSE),IF(Introduction!$A$2="Spanish",VLOOKUP('_Data inputs (reported)'!D76,nametranslations,2,FALSE),IF(Introduction!$A$2="French",VLOOKUP('_Data inputs (reported)'!D76,nametranslations,3,FALSE),IF(Introduction!$A$2="Arabic",VLOOKUP('_Data inputs (reported)'!D76,nametranslations,4,FALSE),IF(Introduction!$A$2="Russian",VLOOKUP('_Data inputs (reported)'!D76,nametranslations,5,FALSE),IF(Introduction!$A$2="Chinese",VLOOKUP('_Data inputs (reported)'!D76,nametranslations,6,FALSE),IF(Introduction!$A$2="Other",VLOOKUP('_Data inputs (reported)'!D76,nametranslations,7,FALSE)))))))),"")</f>
        <v/>
      </c>
      <c r="E76" s="1" t="str">
        <f>IF(ISTEXT('_Data inputs (reported)'!E76),'_Data inputs (reported)'!E76,"")</f>
        <v/>
      </c>
      <c r="F76" s="8" t="str">
        <f>IF(ISNUMBER('_Data inputs (reported)'!F76),'_Data inputs (reported)'!F76,"")</f>
        <v/>
      </c>
      <c r="G76" s="105" t="str">
        <f>IF(ISTEXT(VLOOKUP('_Data inputs (reported)'!G76,nametranslations,1,FALSE)),IF(Introduction!$A$2="English",VLOOKUP('_Data inputs (reported)'!G76,nametranslations,1,FALSE),IF(Introduction!$A$2="Spanish",VLOOKUP('_Data inputs (reported)'!G76,nametranslations,2,FALSE),IF(Introduction!$A$2="French",VLOOKUP('_Data inputs (reported)'!G76,nametranslations,3,FALSE),IF(Introduction!$A$2="Arabic",VLOOKUP('_Data inputs (reported)'!G76,nametranslations,4,FALSE),IF(Introduction!$A$2="Russian",VLOOKUP('_Data inputs (reported)'!G76,nametranslations,5,FALSE),IF(Introduction!$A$2="Chinese",VLOOKUP('_Data inputs (reported)'!G76,nametranslations,6,FALSE),IF(Introduction!$A$2="Other",VLOOKUP('_Data inputs (reported)'!G76,nametranslations,7,FALSE)))))))),"")</f>
        <v/>
      </c>
      <c r="H76" s="1" t="str">
        <f>IF(ISTEXT('_Data inputs (reported)'!H76),'_Data inputs (reported)'!H76,"")</f>
        <v/>
      </c>
      <c r="I76" s="42" t="str">
        <f>IF(ISNUMBER('_Data inputs (reported)'!I76),'_Data inputs (reported)'!I76,"")</f>
        <v/>
      </c>
      <c r="J76" s="1" t="str">
        <f>IF(ISTEXT('_Data inputs (reported)'!J76),'_Data inputs (reported)'!J76,"")</f>
        <v/>
      </c>
      <c r="K76" s="105" t="str">
        <f>IF(ISTEXT('_Data inputs (reported)'!K76),'_Data inputs (reported)'!K76,"")</f>
        <v/>
      </c>
      <c r="L76" s="105" t="str">
        <f>IF(ISTEXT('_Data inputs (reported)'!L76),'_Data inputs (reported)'!L76,"")</f>
        <v/>
      </c>
      <c r="M76" s="1" t="str">
        <f>IF(ISTEXT('_Data inputs (reported)'!M76),'_Data inputs (reported)'!M76,"")</f>
        <v/>
      </c>
      <c r="N76" s="105" t="str">
        <f>IF(ISTEXT('_Data inputs (reported)'!N76),'_Data inputs (reported)'!N76,"")</f>
        <v/>
      </c>
    </row>
    <row xmlns:x14ac="http://schemas.microsoft.com/office/spreadsheetml/2009/9/ac" r="77" x14ac:dyDescent="0.2">
      <c r="A77" s="105" t="str">
        <f>IF(ISTEXT(VLOOKUP('_Data inputs (reported)'!B77,countryname,2,FALSE)),IF(Introduction!$A$2="English",VLOOKUP('_Data inputs (reported)'!B77,countryname,2,FALSE),IF(Introduction!$A$2="French",VLOOKUP('_Data inputs (reported)'!B77,countryname,3,FALSE),IF(Introduction!$A$2="Spanish",VLOOKUP('_Data inputs (reported)'!B77,countryname,4,FALSE),IF(Introduction!$A$2="Russian",VLOOKUP('_Data inputs (reported)'!B77,countryname,5,FALSE),IF(Introduction!$A$2="Arabic",VLOOKUP('_Data inputs (reported)'!B77,countryname,6,FALSE),IF(Introduction!$A$2="Chinese",VLOOKUP('_Data inputs (reported)'!B77,countryname,7,FALSE),IF(Introduction!$A$2="Other",VLOOKUP('_Data inputs (reported)'!B77,countryname,8,FALSE)))))))),"")</f>
        <v/>
      </c>
      <c r="B77" s="1" t="str">
        <f>IF(ISTEXT('_Data inputs (reported)'!B77),'_Data inputs (reported)'!B77,"")</f>
        <v/>
      </c>
      <c r="C77" s="179" t="str">
        <f>IF(ISBLANK('_Data inputs (reported)'!C77),"",'_Data inputs (reported)'!C77)</f>
        <v/>
      </c>
      <c r="D77" s="105" t="str">
        <f>IF(ISTEXT(VLOOKUP('_Data inputs (reported)'!D77,nametranslations,1,FALSE)),IF(Introduction!$A$2="English",VLOOKUP('_Data inputs (reported)'!D77,nametranslations,1,FALSE),IF(Introduction!$A$2="Spanish",VLOOKUP('_Data inputs (reported)'!D77,nametranslations,2,FALSE),IF(Introduction!$A$2="French",VLOOKUP('_Data inputs (reported)'!D77,nametranslations,3,FALSE),IF(Introduction!$A$2="Arabic",VLOOKUP('_Data inputs (reported)'!D77,nametranslations,4,FALSE),IF(Introduction!$A$2="Russian",VLOOKUP('_Data inputs (reported)'!D77,nametranslations,5,FALSE),IF(Introduction!$A$2="Chinese",VLOOKUP('_Data inputs (reported)'!D77,nametranslations,6,FALSE),IF(Introduction!$A$2="Other",VLOOKUP('_Data inputs (reported)'!D77,nametranslations,7,FALSE)))))))),"")</f>
        <v/>
      </c>
      <c r="E77" s="1" t="str">
        <f>IF(ISTEXT('_Data inputs (reported)'!E77),'_Data inputs (reported)'!E77,"")</f>
        <v/>
      </c>
      <c r="F77" s="8" t="str">
        <f>IF(ISNUMBER('_Data inputs (reported)'!F77),'_Data inputs (reported)'!F77,"")</f>
        <v/>
      </c>
      <c r="G77" s="105" t="str">
        <f>IF(ISTEXT(VLOOKUP('_Data inputs (reported)'!G77,nametranslations,1,FALSE)),IF(Introduction!$A$2="English",VLOOKUP('_Data inputs (reported)'!G77,nametranslations,1,FALSE),IF(Introduction!$A$2="Spanish",VLOOKUP('_Data inputs (reported)'!G77,nametranslations,2,FALSE),IF(Introduction!$A$2="French",VLOOKUP('_Data inputs (reported)'!G77,nametranslations,3,FALSE),IF(Introduction!$A$2="Arabic",VLOOKUP('_Data inputs (reported)'!G77,nametranslations,4,FALSE),IF(Introduction!$A$2="Russian",VLOOKUP('_Data inputs (reported)'!G77,nametranslations,5,FALSE),IF(Introduction!$A$2="Chinese",VLOOKUP('_Data inputs (reported)'!G77,nametranslations,6,FALSE),IF(Introduction!$A$2="Other",VLOOKUP('_Data inputs (reported)'!G77,nametranslations,7,FALSE)))))))),"")</f>
        <v/>
      </c>
      <c r="H77" s="1" t="str">
        <f>IF(ISTEXT('_Data inputs (reported)'!H77),'_Data inputs (reported)'!H77,"")</f>
        <v/>
      </c>
      <c r="I77" s="42" t="str">
        <f>IF(ISNUMBER('_Data inputs (reported)'!I77),'_Data inputs (reported)'!I77,"")</f>
        <v/>
      </c>
      <c r="J77" s="1" t="str">
        <f>IF(ISTEXT('_Data inputs (reported)'!J77),'_Data inputs (reported)'!J77,"")</f>
        <v/>
      </c>
      <c r="K77" s="105" t="str">
        <f>IF(ISTEXT('_Data inputs (reported)'!K77),'_Data inputs (reported)'!K77,"")</f>
        <v/>
      </c>
      <c r="L77" s="105" t="str">
        <f>IF(ISTEXT('_Data inputs (reported)'!L77),'_Data inputs (reported)'!L77,"")</f>
        <v/>
      </c>
      <c r="M77" s="1" t="str">
        <f>IF(ISTEXT('_Data inputs (reported)'!M77),'_Data inputs (reported)'!M77,"")</f>
        <v/>
      </c>
      <c r="N77" s="105" t="str">
        <f>IF(ISTEXT('_Data inputs (reported)'!N77),'_Data inputs (reported)'!N77,"")</f>
        <v/>
      </c>
    </row>
    <row xmlns:x14ac="http://schemas.microsoft.com/office/spreadsheetml/2009/9/ac" r="78" x14ac:dyDescent="0.2">
      <c r="A78" s="105" t="str">
        <f>IF(ISTEXT(VLOOKUP('_Data inputs (reported)'!B78,countryname,2,FALSE)),IF(Introduction!$A$2="English",VLOOKUP('_Data inputs (reported)'!B78,countryname,2,FALSE),IF(Introduction!$A$2="French",VLOOKUP('_Data inputs (reported)'!B78,countryname,3,FALSE),IF(Introduction!$A$2="Spanish",VLOOKUP('_Data inputs (reported)'!B78,countryname,4,FALSE),IF(Introduction!$A$2="Russian",VLOOKUP('_Data inputs (reported)'!B78,countryname,5,FALSE),IF(Introduction!$A$2="Arabic",VLOOKUP('_Data inputs (reported)'!B78,countryname,6,FALSE),IF(Introduction!$A$2="Chinese",VLOOKUP('_Data inputs (reported)'!B78,countryname,7,FALSE),IF(Introduction!$A$2="Other",VLOOKUP('_Data inputs (reported)'!B78,countryname,8,FALSE)))))))),"")</f>
        <v/>
      </c>
      <c r="B78" s="1" t="str">
        <f>IF(ISTEXT('_Data inputs (reported)'!B78),'_Data inputs (reported)'!B78,"")</f>
        <v/>
      </c>
      <c r="C78" s="179" t="str">
        <f>IF(ISBLANK('_Data inputs (reported)'!C78),"",'_Data inputs (reported)'!C78)</f>
        <v/>
      </c>
      <c r="D78" s="105" t="str">
        <f>IF(ISTEXT(VLOOKUP('_Data inputs (reported)'!D78,nametranslations,1,FALSE)),IF(Introduction!$A$2="English",VLOOKUP('_Data inputs (reported)'!D78,nametranslations,1,FALSE),IF(Introduction!$A$2="Spanish",VLOOKUP('_Data inputs (reported)'!D78,nametranslations,2,FALSE),IF(Introduction!$A$2="French",VLOOKUP('_Data inputs (reported)'!D78,nametranslations,3,FALSE),IF(Introduction!$A$2="Arabic",VLOOKUP('_Data inputs (reported)'!D78,nametranslations,4,FALSE),IF(Introduction!$A$2="Russian",VLOOKUP('_Data inputs (reported)'!D78,nametranslations,5,FALSE),IF(Introduction!$A$2="Chinese",VLOOKUP('_Data inputs (reported)'!D78,nametranslations,6,FALSE),IF(Introduction!$A$2="Other",VLOOKUP('_Data inputs (reported)'!D78,nametranslations,7,FALSE)))))))),"")</f>
        <v/>
      </c>
      <c r="E78" s="1" t="str">
        <f>IF(ISTEXT('_Data inputs (reported)'!E78),'_Data inputs (reported)'!E78,"")</f>
        <v/>
      </c>
      <c r="F78" s="8" t="str">
        <f>IF(ISNUMBER('_Data inputs (reported)'!F78),'_Data inputs (reported)'!F78,"")</f>
        <v/>
      </c>
      <c r="G78" s="105" t="str">
        <f>IF(ISTEXT(VLOOKUP('_Data inputs (reported)'!G78,nametranslations,1,FALSE)),IF(Introduction!$A$2="English",VLOOKUP('_Data inputs (reported)'!G78,nametranslations,1,FALSE),IF(Introduction!$A$2="Spanish",VLOOKUP('_Data inputs (reported)'!G78,nametranslations,2,FALSE),IF(Introduction!$A$2="French",VLOOKUP('_Data inputs (reported)'!G78,nametranslations,3,FALSE),IF(Introduction!$A$2="Arabic",VLOOKUP('_Data inputs (reported)'!G78,nametranslations,4,FALSE),IF(Introduction!$A$2="Russian",VLOOKUP('_Data inputs (reported)'!G78,nametranslations,5,FALSE),IF(Introduction!$A$2="Chinese",VLOOKUP('_Data inputs (reported)'!G78,nametranslations,6,FALSE),IF(Introduction!$A$2="Other",VLOOKUP('_Data inputs (reported)'!G78,nametranslations,7,FALSE)))))))),"")</f>
        <v/>
      </c>
      <c r="H78" s="1" t="str">
        <f>IF(ISTEXT('_Data inputs (reported)'!H78),'_Data inputs (reported)'!H78,"")</f>
        <v/>
      </c>
      <c r="I78" s="42" t="str">
        <f>IF(ISNUMBER('_Data inputs (reported)'!I78),'_Data inputs (reported)'!I78,"")</f>
        <v/>
      </c>
      <c r="J78" s="1" t="str">
        <f>IF(ISTEXT('_Data inputs (reported)'!J78),'_Data inputs (reported)'!J78,"")</f>
        <v/>
      </c>
      <c r="K78" s="105" t="str">
        <f>IF(ISTEXT('_Data inputs (reported)'!K78),'_Data inputs (reported)'!K78,"")</f>
        <v/>
      </c>
      <c r="L78" s="105" t="str">
        <f>IF(ISTEXT('_Data inputs (reported)'!L78),'_Data inputs (reported)'!L78,"")</f>
        <v/>
      </c>
      <c r="M78" s="1" t="str">
        <f>IF(ISTEXT('_Data inputs (reported)'!M78),'_Data inputs (reported)'!M78,"")</f>
        <v/>
      </c>
      <c r="N78" s="105" t="str">
        <f>IF(ISTEXT('_Data inputs (reported)'!N78),'_Data inputs (reported)'!N78,"")</f>
        <v/>
      </c>
    </row>
    <row xmlns:x14ac="http://schemas.microsoft.com/office/spreadsheetml/2009/9/ac" r="79" x14ac:dyDescent="0.2">
      <c r="A79" s="105" t="str">
        <f>IF(ISTEXT(VLOOKUP('_Data inputs (reported)'!B79,countryname,2,FALSE)),IF(Introduction!$A$2="English",VLOOKUP('_Data inputs (reported)'!B79,countryname,2,FALSE),IF(Introduction!$A$2="French",VLOOKUP('_Data inputs (reported)'!B79,countryname,3,FALSE),IF(Introduction!$A$2="Spanish",VLOOKUP('_Data inputs (reported)'!B79,countryname,4,FALSE),IF(Introduction!$A$2="Russian",VLOOKUP('_Data inputs (reported)'!B79,countryname,5,FALSE),IF(Introduction!$A$2="Arabic",VLOOKUP('_Data inputs (reported)'!B79,countryname,6,FALSE),IF(Introduction!$A$2="Chinese",VLOOKUP('_Data inputs (reported)'!B79,countryname,7,FALSE),IF(Introduction!$A$2="Other",VLOOKUP('_Data inputs (reported)'!B79,countryname,8,FALSE)))))))),"")</f>
        <v/>
      </c>
      <c r="B79" s="1" t="str">
        <f>IF(ISTEXT('_Data inputs (reported)'!B79),'_Data inputs (reported)'!B79,"")</f>
        <v/>
      </c>
      <c r="C79" s="179" t="str">
        <f>IF(ISBLANK('_Data inputs (reported)'!C79),"",'_Data inputs (reported)'!C79)</f>
        <v/>
      </c>
      <c r="D79" s="105" t="str">
        <f>IF(ISTEXT(VLOOKUP('_Data inputs (reported)'!D79,nametranslations,1,FALSE)),IF(Introduction!$A$2="English",VLOOKUP('_Data inputs (reported)'!D79,nametranslations,1,FALSE),IF(Introduction!$A$2="Spanish",VLOOKUP('_Data inputs (reported)'!D79,nametranslations,2,FALSE),IF(Introduction!$A$2="French",VLOOKUP('_Data inputs (reported)'!D79,nametranslations,3,FALSE),IF(Introduction!$A$2="Arabic",VLOOKUP('_Data inputs (reported)'!D79,nametranslations,4,FALSE),IF(Introduction!$A$2="Russian",VLOOKUP('_Data inputs (reported)'!D79,nametranslations,5,FALSE),IF(Introduction!$A$2="Chinese",VLOOKUP('_Data inputs (reported)'!D79,nametranslations,6,FALSE),IF(Introduction!$A$2="Other",VLOOKUP('_Data inputs (reported)'!D79,nametranslations,7,FALSE)))))))),"")</f>
        <v/>
      </c>
      <c r="E79" s="1" t="str">
        <f>IF(ISTEXT('_Data inputs (reported)'!E79),'_Data inputs (reported)'!E79,"")</f>
        <v/>
      </c>
      <c r="F79" s="8" t="str">
        <f>IF(ISNUMBER('_Data inputs (reported)'!F79),'_Data inputs (reported)'!F79,"")</f>
        <v/>
      </c>
      <c r="G79" s="105" t="str">
        <f>IF(ISTEXT(VLOOKUP('_Data inputs (reported)'!G79,nametranslations,1,FALSE)),IF(Introduction!$A$2="English",VLOOKUP('_Data inputs (reported)'!G79,nametranslations,1,FALSE),IF(Introduction!$A$2="Spanish",VLOOKUP('_Data inputs (reported)'!G79,nametranslations,2,FALSE),IF(Introduction!$A$2="French",VLOOKUP('_Data inputs (reported)'!G79,nametranslations,3,FALSE),IF(Introduction!$A$2="Arabic",VLOOKUP('_Data inputs (reported)'!G79,nametranslations,4,FALSE),IF(Introduction!$A$2="Russian",VLOOKUP('_Data inputs (reported)'!G79,nametranslations,5,FALSE),IF(Introduction!$A$2="Chinese",VLOOKUP('_Data inputs (reported)'!G79,nametranslations,6,FALSE),IF(Introduction!$A$2="Other",VLOOKUP('_Data inputs (reported)'!G79,nametranslations,7,FALSE)))))))),"")</f>
        <v/>
      </c>
      <c r="H79" s="1" t="str">
        <f>IF(ISTEXT('_Data inputs (reported)'!H79),'_Data inputs (reported)'!H79,"")</f>
        <v/>
      </c>
      <c r="I79" s="42" t="str">
        <f>IF(ISNUMBER('_Data inputs (reported)'!I79),'_Data inputs (reported)'!I79,"")</f>
        <v/>
      </c>
      <c r="J79" s="1" t="str">
        <f>IF(ISTEXT('_Data inputs (reported)'!J79),'_Data inputs (reported)'!J79,"")</f>
        <v/>
      </c>
      <c r="K79" s="105" t="str">
        <f>IF(ISTEXT('_Data inputs (reported)'!K79),'_Data inputs (reported)'!K79,"")</f>
        <v/>
      </c>
      <c r="L79" s="105" t="str">
        <f>IF(ISTEXT('_Data inputs (reported)'!L79),'_Data inputs (reported)'!L79,"")</f>
        <v/>
      </c>
      <c r="M79" s="1" t="str">
        <f>IF(ISTEXT('_Data inputs (reported)'!M79),'_Data inputs (reported)'!M79,"")</f>
        <v/>
      </c>
      <c r="N79" s="105" t="str">
        <f>IF(ISTEXT('_Data inputs (reported)'!N79),'_Data inputs (reported)'!N79,"")</f>
        <v/>
      </c>
    </row>
    <row xmlns:x14ac="http://schemas.microsoft.com/office/spreadsheetml/2009/9/ac" r="80" x14ac:dyDescent="0.2">
      <c r="A80" s="105" t="str">
        <f>IF(ISTEXT(VLOOKUP('_Data inputs (reported)'!B80,countryname,2,FALSE)),IF(Introduction!$A$2="English",VLOOKUP('_Data inputs (reported)'!B80,countryname,2,FALSE),IF(Introduction!$A$2="French",VLOOKUP('_Data inputs (reported)'!B80,countryname,3,FALSE),IF(Introduction!$A$2="Spanish",VLOOKUP('_Data inputs (reported)'!B80,countryname,4,FALSE),IF(Introduction!$A$2="Russian",VLOOKUP('_Data inputs (reported)'!B80,countryname,5,FALSE),IF(Introduction!$A$2="Arabic",VLOOKUP('_Data inputs (reported)'!B80,countryname,6,FALSE),IF(Introduction!$A$2="Chinese",VLOOKUP('_Data inputs (reported)'!B80,countryname,7,FALSE),IF(Introduction!$A$2="Other",VLOOKUP('_Data inputs (reported)'!B80,countryname,8,FALSE)))))))),"")</f>
        <v/>
      </c>
      <c r="B80" s="1" t="str">
        <f>IF(ISTEXT('_Data inputs (reported)'!B80),'_Data inputs (reported)'!B80,"")</f>
        <v/>
      </c>
      <c r="C80" s="179" t="str">
        <f>IF(ISBLANK('_Data inputs (reported)'!C80),"",'_Data inputs (reported)'!C80)</f>
        <v/>
      </c>
      <c r="D80" s="105" t="str">
        <f>IF(ISTEXT(VLOOKUP('_Data inputs (reported)'!D80,nametranslations,1,FALSE)),IF(Introduction!$A$2="English",VLOOKUP('_Data inputs (reported)'!D80,nametranslations,1,FALSE),IF(Introduction!$A$2="Spanish",VLOOKUP('_Data inputs (reported)'!D80,nametranslations,2,FALSE),IF(Introduction!$A$2="French",VLOOKUP('_Data inputs (reported)'!D80,nametranslations,3,FALSE),IF(Introduction!$A$2="Arabic",VLOOKUP('_Data inputs (reported)'!D80,nametranslations,4,FALSE),IF(Introduction!$A$2="Russian",VLOOKUP('_Data inputs (reported)'!D80,nametranslations,5,FALSE),IF(Introduction!$A$2="Chinese",VLOOKUP('_Data inputs (reported)'!D80,nametranslations,6,FALSE),IF(Introduction!$A$2="Other",VLOOKUP('_Data inputs (reported)'!D80,nametranslations,7,FALSE)))))))),"")</f>
        <v/>
      </c>
      <c r="E80" s="1" t="str">
        <f>IF(ISTEXT('_Data inputs (reported)'!E80),'_Data inputs (reported)'!E80,"")</f>
        <v/>
      </c>
      <c r="F80" s="8" t="str">
        <f>IF(ISNUMBER('_Data inputs (reported)'!F80),'_Data inputs (reported)'!F80,"")</f>
        <v/>
      </c>
      <c r="G80" s="105" t="str">
        <f>IF(ISTEXT(VLOOKUP('_Data inputs (reported)'!G80,nametranslations,1,FALSE)),IF(Introduction!$A$2="English",VLOOKUP('_Data inputs (reported)'!G80,nametranslations,1,FALSE),IF(Introduction!$A$2="Spanish",VLOOKUP('_Data inputs (reported)'!G80,nametranslations,2,FALSE),IF(Introduction!$A$2="French",VLOOKUP('_Data inputs (reported)'!G80,nametranslations,3,FALSE),IF(Introduction!$A$2="Arabic",VLOOKUP('_Data inputs (reported)'!G80,nametranslations,4,FALSE),IF(Introduction!$A$2="Russian",VLOOKUP('_Data inputs (reported)'!G80,nametranslations,5,FALSE),IF(Introduction!$A$2="Chinese",VLOOKUP('_Data inputs (reported)'!G80,nametranslations,6,FALSE),IF(Introduction!$A$2="Other",VLOOKUP('_Data inputs (reported)'!G80,nametranslations,7,FALSE)))))))),"")</f>
        <v/>
      </c>
      <c r="H80" s="1" t="str">
        <f>IF(ISTEXT('_Data inputs (reported)'!H80),'_Data inputs (reported)'!H80,"")</f>
        <v/>
      </c>
      <c r="I80" s="42" t="str">
        <f>IF(ISNUMBER('_Data inputs (reported)'!I80),'_Data inputs (reported)'!I80,"")</f>
        <v/>
      </c>
      <c r="J80" s="1" t="str">
        <f>IF(ISTEXT('_Data inputs (reported)'!J80),'_Data inputs (reported)'!J80,"")</f>
        <v/>
      </c>
      <c r="K80" s="105" t="str">
        <f>IF(ISTEXT('_Data inputs (reported)'!K80),'_Data inputs (reported)'!K80,"")</f>
        <v/>
      </c>
      <c r="L80" s="105" t="str">
        <f>IF(ISTEXT('_Data inputs (reported)'!L80),'_Data inputs (reported)'!L80,"")</f>
        <v/>
      </c>
      <c r="M80" s="1" t="str">
        <f>IF(ISTEXT('_Data inputs (reported)'!M80),'_Data inputs (reported)'!M80,"")</f>
        <v/>
      </c>
      <c r="N80" s="105" t="str">
        <f>IF(ISTEXT('_Data inputs (reported)'!N80),'_Data inputs (reported)'!N80,"")</f>
        <v/>
      </c>
    </row>
    <row xmlns:x14ac="http://schemas.microsoft.com/office/spreadsheetml/2009/9/ac" r="81" x14ac:dyDescent="0.2">
      <c r="A81" s="105" t="str">
        <f>IF(ISTEXT(VLOOKUP('_Data inputs (reported)'!B81,countryname,2,FALSE)),IF(Introduction!$A$2="English",VLOOKUP('_Data inputs (reported)'!B81,countryname,2,FALSE),IF(Introduction!$A$2="French",VLOOKUP('_Data inputs (reported)'!B81,countryname,3,FALSE),IF(Introduction!$A$2="Spanish",VLOOKUP('_Data inputs (reported)'!B81,countryname,4,FALSE),IF(Introduction!$A$2="Russian",VLOOKUP('_Data inputs (reported)'!B81,countryname,5,FALSE),IF(Introduction!$A$2="Arabic",VLOOKUP('_Data inputs (reported)'!B81,countryname,6,FALSE),IF(Introduction!$A$2="Chinese",VLOOKUP('_Data inputs (reported)'!B81,countryname,7,FALSE),IF(Introduction!$A$2="Other",VLOOKUP('_Data inputs (reported)'!B81,countryname,8,FALSE)))))))),"")</f>
        <v/>
      </c>
      <c r="B81" s="1" t="str">
        <f>IF(ISTEXT('_Data inputs (reported)'!B81),'_Data inputs (reported)'!B81,"")</f>
        <v/>
      </c>
      <c r="C81" s="179" t="str">
        <f>IF(ISBLANK('_Data inputs (reported)'!C81),"",'_Data inputs (reported)'!C81)</f>
        <v/>
      </c>
      <c r="D81" s="105" t="str">
        <f>IF(ISTEXT(VLOOKUP('_Data inputs (reported)'!D81,nametranslations,1,FALSE)),IF(Introduction!$A$2="English",VLOOKUP('_Data inputs (reported)'!D81,nametranslations,1,FALSE),IF(Introduction!$A$2="Spanish",VLOOKUP('_Data inputs (reported)'!D81,nametranslations,2,FALSE),IF(Introduction!$A$2="French",VLOOKUP('_Data inputs (reported)'!D81,nametranslations,3,FALSE),IF(Introduction!$A$2="Arabic",VLOOKUP('_Data inputs (reported)'!D81,nametranslations,4,FALSE),IF(Introduction!$A$2="Russian",VLOOKUP('_Data inputs (reported)'!D81,nametranslations,5,FALSE),IF(Introduction!$A$2="Chinese",VLOOKUP('_Data inputs (reported)'!D81,nametranslations,6,FALSE),IF(Introduction!$A$2="Other",VLOOKUP('_Data inputs (reported)'!D81,nametranslations,7,FALSE)))))))),"")</f>
        <v/>
      </c>
      <c r="E81" s="1" t="str">
        <f>IF(ISTEXT('_Data inputs (reported)'!E81),'_Data inputs (reported)'!E81,"")</f>
        <v/>
      </c>
      <c r="F81" s="8" t="str">
        <f>IF(ISNUMBER('_Data inputs (reported)'!F81),'_Data inputs (reported)'!F81,"")</f>
        <v/>
      </c>
      <c r="G81" s="105" t="str">
        <f>IF(ISTEXT(VLOOKUP('_Data inputs (reported)'!G81,nametranslations,1,FALSE)),IF(Introduction!$A$2="English",VLOOKUP('_Data inputs (reported)'!G81,nametranslations,1,FALSE),IF(Introduction!$A$2="Spanish",VLOOKUP('_Data inputs (reported)'!G81,nametranslations,2,FALSE),IF(Introduction!$A$2="French",VLOOKUP('_Data inputs (reported)'!G81,nametranslations,3,FALSE),IF(Introduction!$A$2="Arabic",VLOOKUP('_Data inputs (reported)'!G81,nametranslations,4,FALSE),IF(Introduction!$A$2="Russian",VLOOKUP('_Data inputs (reported)'!G81,nametranslations,5,FALSE),IF(Introduction!$A$2="Chinese",VLOOKUP('_Data inputs (reported)'!G81,nametranslations,6,FALSE),IF(Introduction!$A$2="Other",VLOOKUP('_Data inputs (reported)'!G81,nametranslations,7,FALSE)))))))),"")</f>
        <v/>
      </c>
      <c r="H81" s="1" t="str">
        <f>IF(ISTEXT('_Data inputs (reported)'!H81),'_Data inputs (reported)'!H81,"")</f>
        <v/>
      </c>
      <c r="I81" s="42" t="str">
        <f>IF(ISNUMBER('_Data inputs (reported)'!I81),'_Data inputs (reported)'!I81,"")</f>
        <v/>
      </c>
      <c r="J81" s="1" t="str">
        <f>IF(ISTEXT('_Data inputs (reported)'!J81),'_Data inputs (reported)'!J81,"")</f>
        <v/>
      </c>
      <c r="K81" s="105" t="str">
        <f>IF(ISTEXT('_Data inputs (reported)'!K81),'_Data inputs (reported)'!K81,"")</f>
        <v/>
      </c>
      <c r="L81" s="105" t="str">
        <f>IF(ISTEXT('_Data inputs (reported)'!L81),'_Data inputs (reported)'!L81,"")</f>
        <v/>
      </c>
      <c r="M81" s="1" t="str">
        <f>IF(ISTEXT('_Data inputs (reported)'!M81),'_Data inputs (reported)'!M81,"")</f>
        <v/>
      </c>
      <c r="N81" s="105" t="str">
        <f>IF(ISTEXT('_Data inputs (reported)'!N81),'_Data inputs (reported)'!N81,"")</f>
        <v/>
      </c>
    </row>
    <row xmlns:x14ac="http://schemas.microsoft.com/office/spreadsheetml/2009/9/ac" r="82" x14ac:dyDescent="0.2">
      <c r="A82" s="105" t="str">
        <f>IF(ISTEXT(VLOOKUP('_Data inputs (reported)'!B82,countryname,2,FALSE)),IF(Introduction!$A$2="English",VLOOKUP('_Data inputs (reported)'!B82,countryname,2,FALSE),IF(Introduction!$A$2="French",VLOOKUP('_Data inputs (reported)'!B82,countryname,3,FALSE),IF(Introduction!$A$2="Spanish",VLOOKUP('_Data inputs (reported)'!B82,countryname,4,FALSE),IF(Introduction!$A$2="Russian",VLOOKUP('_Data inputs (reported)'!B82,countryname,5,FALSE),IF(Introduction!$A$2="Arabic",VLOOKUP('_Data inputs (reported)'!B82,countryname,6,FALSE),IF(Introduction!$A$2="Chinese",VLOOKUP('_Data inputs (reported)'!B82,countryname,7,FALSE),IF(Introduction!$A$2="Other",VLOOKUP('_Data inputs (reported)'!B82,countryname,8,FALSE)))))))),"")</f>
        <v/>
      </c>
      <c r="B82" s="1" t="str">
        <f>IF(ISTEXT('_Data inputs (reported)'!B82),'_Data inputs (reported)'!B82,"")</f>
        <v/>
      </c>
      <c r="C82" s="179" t="str">
        <f>IF(ISBLANK('_Data inputs (reported)'!C82),"",'_Data inputs (reported)'!C82)</f>
        <v/>
      </c>
      <c r="D82" s="105" t="str">
        <f>IF(ISTEXT(VLOOKUP('_Data inputs (reported)'!D82,nametranslations,1,FALSE)),IF(Introduction!$A$2="English",VLOOKUP('_Data inputs (reported)'!D82,nametranslations,1,FALSE),IF(Introduction!$A$2="Spanish",VLOOKUP('_Data inputs (reported)'!D82,nametranslations,2,FALSE),IF(Introduction!$A$2="French",VLOOKUP('_Data inputs (reported)'!D82,nametranslations,3,FALSE),IF(Introduction!$A$2="Arabic",VLOOKUP('_Data inputs (reported)'!D82,nametranslations,4,FALSE),IF(Introduction!$A$2="Russian",VLOOKUP('_Data inputs (reported)'!D82,nametranslations,5,FALSE),IF(Introduction!$A$2="Chinese",VLOOKUP('_Data inputs (reported)'!D82,nametranslations,6,FALSE),IF(Introduction!$A$2="Other",VLOOKUP('_Data inputs (reported)'!D82,nametranslations,7,FALSE)))))))),"")</f>
        <v/>
      </c>
      <c r="E82" s="1" t="str">
        <f>IF(ISTEXT('_Data inputs (reported)'!E82),'_Data inputs (reported)'!E82,"")</f>
        <v/>
      </c>
      <c r="F82" s="8" t="str">
        <f>IF(ISNUMBER('_Data inputs (reported)'!F82),'_Data inputs (reported)'!F82,"")</f>
        <v/>
      </c>
      <c r="G82" s="105" t="str">
        <f>IF(ISTEXT(VLOOKUP('_Data inputs (reported)'!G82,nametranslations,1,FALSE)),IF(Introduction!$A$2="English",VLOOKUP('_Data inputs (reported)'!G82,nametranslations,1,FALSE),IF(Introduction!$A$2="Spanish",VLOOKUP('_Data inputs (reported)'!G82,nametranslations,2,FALSE),IF(Introduction!$A$2="French",VLOOKUP('_Data inputs (reported)'!G82,nametranslations,3,FALSE),IF(Introduction!$A$2="Arabic",VLOOKUP('_Data inputs (reported)'!G82,nametranslations,4,FALSE),IF(Introduction!$A$2="Russian",VLOOKUP('_Data inputs (reported)'!G82,nametranslations,5,FALSE),IF(Introduction!$A$2="Chinese",VLOOKUP('_Data inputs (reported)'!G82,nametranslations,6,FALSE),IF(Introduction!$A$2="Other",VLOOKUP('_Data inputs (reported)'!G82,nametranslations,7,FALSE)))))))),"")</f>
        <v/>
      </c>
      <c r="H82" s="1" t="str">
        <f>IF(ISTEXT('_Data inputs (reported)'!H82),'_Data inputs (reported)'!H82,"")</f>
        <v/>
      </c>
      <c r="I82" s="42" t="str">
        <f>IF(ISNUMBER('_Data inputs (reported)'!I82),'_Data inputs (reported)'!I82,"")</f>
        <v/>
      </c>
      <c r="J82" s="1" t="str">
        <f>IF(ISTEXT('_Data inputs (reported)'!J82),'_Data inputs (reported)'!J82,"")</f>
        <v/>
      </c>
      <c r="K82" s="105" t="str">
        <f>IF(ISTEXT('_Data inputs (reported)'!K82),'_Data inputs (reported)'!K82,"")</f>
        <v/>
      </c>
      <c r="L82" s="105" t="str">
        <f>IF(ISTEXT('_Data inputs (reported)'!L82),'_Data inputs (reported)'!L82,"")</f>
        <v/>
      </c>
      <c r="M82" s="1" t="str">
        <f>IF(ISTEXT('_Data inputs (reported)'!M82),'_Data inputs (reported)'!M82,"")</f>
        <v/>
      </c>
      <c r="N82" s="105" t="str">
        <f>IF(ISTEXT('_Data inputs (reported)'!N82),'_Data inputs (reported)'!N82,"")</f>
        <v/>
      </c>
    </row>
    <row xmlns:x14ac="http://schemas.microsoft.com/office/spreadsheetml/2009/9/ac" r="83" x14ac:dyDescent="0.2">
      <c r="A83" s="105" t="str">
        <f>IF(ISTEXT(VLOOKUP('_Data inputs (reported)'!B83,countryname,2,FALSE)),IF(Introduction!$A$2="English",VLOOKUP('_Data inputs (reported)'!B83,countryname,2,FALSE),IF(Introduction!$A$2="French",VLOOKUP('_Data inputs (reported)'!B83,countryname,3,FALSE),IF(Introduction!$A$2="Spanish",VLOOKUP('_Data inputs (reported)'!B83,countryname,4,FALSE),IF(Introduction!$A$2="Russian",VLOOKUP('_Data inputs (reported)'!B83,countryname,5,FALSE),IF(Introduction!$A$2="Arabic",VLOOKUP('_Data inputs (reported)'!B83,countryname,6,FALSE),IF(Introduction!$A$2="Chinese",VLOOKUP('_Data inputs (reported)'!B83,countryname,7,FALSE),IF(Introduction!$A$2="Other",VLOOKUP('_Data inputs (reported)'!B83,countryname,8,FALSE)))))))),"")</f>
        <v/>
      </c>
      <c r="B83" s="1" t="str">
        <f>IF(ISTEXT('_Data inputs (reported)'!B83),'_Data inputs (reported)'!B83,"")</f>
        <v/>
      </c>
      <c r="C83" s="179" t="str">
        <f>IF(ISBLANK('_Data inputs (reported)'!C83),"",'_Data inputs (reported)'!C83)</f>
        <v/>
      </c>
      <c r="D83" s="105" t="str">
        <f>IF(ISTEXT(VLOOKUP('_Data inputs (reported)'!D83,nametranslations,1,FALSE)),IF(Introduction!$A$2="English",VLOOKUP('_Data inputs (reported)'!D83,nametranslations,1,FALSE),IF(Introduction!$A$2="Spanish",VLOOKUP('_Data inputs (reported)'!D83,nametranslations,2,FALSE),IF(Introduction!$A$2="French",VLOOKUP('_Data inputs (reported)'!D83,nametranslations,3,FALSE),IF(Introduction!$A$2="Arabic",VLOOKUP('_Data inputs (reported)'!D83,nametranslations,4,FALSE),IF(Introduction!$A$2="Russian",VLOOKUP('_Data inputs (reported)'!D83,nametranslations,5,FALSE),IF(Introduction!$A$2="Chinese",VLOOKUP('_Data inputs (reported)'!D83,nametranslations,6,FALSE),IF(Introduction!$A$2="Other",VLOOKUP('_Data inputs (reported)'!D83,nametranslations,7,FALSE)))))))),"")</f>
        <v/>
      </c>
      <c r="E83" s="1" t="str">
        <f>IF(ISTEXT('_Data inputs (reported)'!E83),'_Data inputs (reported)'!E83,"")</f>
        <v/>
      </c>
      <c r="F83" s="8" t="str">
        <f>IF(ISNUMBER('_Data inputs (reported)'!F83),'_Data inputs (reported)'!F83,"")</f>
        <v/>
      </c>
      <c r="G83" s="105" t="str">
        <f>IF(ISTEXT(VLOOKUP('_Data inputs (reported)'!G83,nametranslations,1,FALSE)),IF(Introduction!$A$2="English",VLOOKUP('_Data inputs (reported)'!G83,nametranslations,1,FALSE),IF(Introduction!$A$2="Spanish",VLOOKUP('_Data inputs (reported)'!G83,nametranslations,2,FALSE),IF(Introduction!$A$2="French",VLOOKUP('_Data inputs (reported)'!G83,nametranslations,3,FALSE),IF(Introduction!$A$2="Arabic",VLOOKUP('_Data inputs (reported)'!G83,nametranslations,4,FALSE),IF(Introduction!$A$2="Russian",VLOOKUP('_Data inputs (reported)'!G83,nametranslations,5,FALSE),IF(Introduction!$A$2="Chinese",VLOOKUP('_Data inputs (reported)'!G83,nametranslations,6,FALSE),IF(Introduction!$A$2="Other",VLOOKUP('_Data inputs (reported)'!G83,nametranslations,7,FALSE)))))))),"")</f>
        <v/>
      </c>
      <c r="H83" s="1" t="str">
        <f>IF(ISTEXT('_Data inputs (reported)'!H83),'_Data inputs (reported)'!H83,"")</f>
        <v/>
      </c>
      <c r="I83" s="42" t="str">
        <f>IF(ISNUMBER('_Data inputs (reported)'!I83),'_Data inputs (reported)'!I83,"")</f>
        <v/>
      </c>
      <c r="J83" s="1" t="str">
        <f>IF(ISTEXT('_Data inputs (reported)'!J83),'_Data inputs (reported)'!J83,"")</f>
        <v/>
      </c>
      <c r="K83" s="105" t="str">
        <f>IF(ISTEXT('_Data inputs (reported)'!K83),'_Data inputs (reported)'!K83,"")</f>
        <v/>
      </c>
      <c r="L83" s="105" t="str">
        <f>IF(ISTEXT('_Data inputs (reported)'!L83),'_Data inputs (reported)'!L83,"")</f>
        <v/>
      </c>
      <c r="M83" s="1" t="str">
        <f>IF(ISTEXT('_Data inputs (reported)'!M83),'_Data inputs (reported)'!M83,"")</f>
        <v/>
      </c>
      <c r="N83" s="105" t="str">
        <f>IF(ISTEXT('_Data inputs (reported)'!N83),'_Data inputs (reported)'!N83,"")</f>
        <v/>
      </c>
    </row>
    <row xmlns:x14ac="http://schemas.microsoft.com/office/spreadsheetml/2009/9/ac" r="84" x14ac:dyDescent="0.2">
      <c r="A84" s="105" t="str">
        <f>IF(ISTEXT(VLOOKUP('_Data inputs (reported)'!B84,countryname,2,FALSE)),IF(Introduction!$A$2="English",VLOOKUP('_Data inputs (reported)'!B84,countryname,2,FALSE),IF(Introduction!$A$2="French",VLOOKUP('_Data inputs (reported)'!B84,countryname,3,FALSE),IF(Introduction!$A$2="Spanish",VLOOKUP('_Data inputs (reported)'!B84,countryname,4,FALSE),IF(Introduction!$A$2="Russian",VLOOKUP('_Data inputs (reported)'!B84,countryname,5,FALSE),IF(Introduction!$A$2="Arabic",VLOOKUP('_Data inputs (reported)'!B84,countryname,6,FALSE),IF(Introduction!$A$2="Chinese",VLOOKUP('_Data inputs (reported)'!B84,countryname,7,FALSE),IF(Introduction!$A$2="Other",VLOOKUP('_Data inputs (reported)'!B84,countryname,8,FALSE)))))))),"")</f>
        <v/>
      </c>
      <c r="B84" s="1" t="str">
        <f>IF(ISTEXT('_Data inputs (reported)'!B84),'_Data inputs (reported)'!B84,"")</f>
        <v/>
      </c>
      <c r="C84" s="179" t="str">
        <f>IF(ISBLANK('_Data inputs (reported)'!C84),"",'_Data inputs (reported)'!C84)</f>
        <v/>
      </c>
      <c r="D84" s="105" t="str">
        <f>IF(ISTEXT(VLOOKUP('_Data inputs (reported)'!D84,nametranslations,1,FALSE)),IF(Introduction!$A$2="English",VLOOKUP('_Data inputs (reported)'!D84,nametranslations,1,FALSE),IF(Introduction!$A$2="Spanish",VLOOKUP('_Data inputs (reported)'!D84,nametranslations,2,FALSE),IF(Introduction!$A$2="French",VLOOKUP('_Data inputs (reported)'!D84,nametranslations,3,FALSE),IF(Introduction!$A$2="Arabic",VLOOKUP('_Data inputs (reported)'!D84,nametranslations,4,FALSE),IF(Introduction!$A$2="Russian",VLOOKUP('_Data inputs (reported)'!D84,nametranslations,5,FALSE),IF(Introduction!$A$2="Chinese",VLOOKUP('_Data inputs (reported)'!D84,nametranslations,6,FALSE),IF(Introduction!$A$2="Other",VLOOKUP('_Data inputs (reported)'!D84,nametranslations,7,FALSE)))))))),"")</f>
        <v/>
      </c>
      <c r="E84" s="1" t="str">
        <f>IF(ISTEXT('_Data inputs (reported)'!E84),'_Data inputs (reported)'!E84,"")</f>
        <v/>
      </c>
      <c r="F84" s="8" t="str">
        <f>IF(ISNUMBER('_Data inputs (reported)'!F84),'_Data inputs (reported)'!F84,"")</f>
        <v/>
      </c>
      <c r="G84" s="105" t="str">
        <f>IF(ISTEXT(VLOOKUP('_Data inputs (reported)'!G84,nametranslations,1,FALSE)),IF(Introduction!$A$2="English",VLOOKUP('_Data inputs (reported)'!G84,nametranslations,1,FALSE),IF(Introduction!$A$2="Spanish",VLOOKUP('_Data inputs (reported)'!G84,nametranslations,2,FALSE),IF(Introduction!$A$2="French",VLOOKUP('_Data inputs (reported)'!G84,nametranslations,3,FALSE),IF(Introduction!$A$2="Arabic",VLOOKUP('_Data inputs (reported)'!G84,nametranslations,4,FALSE),IF(Introduction!$A$2="Russian",VLOOKUP('_Data inputs (reported)'!G84,nametranslations,5,FALSE),IF(Introduction!$A$2="Chinese",VLOOKUP('_Data inputs (reported)'!G84,nametranslations,6,FALSE),IF(Introduction!$A$2="Other",VLOOKUP('_Data inputs (reported)'!G84,nametranslations,7,FALSE)))))))),"")</f>
        <v/>
      </c>
      <c r="H84" s="1" t="str">
        <f>IF(ISTEXT('_Data inputs (reported)'!H84),'_Data inputs (reported)'!H84,"")</f>
        <v/>
      </c>
      <c r="I84" s="42" t="str">
        <f>IF(ISNUMBER('_Data inputs (reported)'!I84),'_Data inputs (reported)'!I84,"")</f>
        <v/>
      </c>
      <c r="J84" s="1" t="str">
        <f>IF(ISTEXT('_Data inputs (reported)'!J84),'_Data inputs (reported)'!J84,"")</f>
        <v/>
      </c>
      <c r="K84" s="105" t="str">
        <f>IF(ISTEXT('_Data inputs (reported)'!K84),'_Data inputs (reported)'!K84,"")</f>
        <v/>
      </c>
      <c r="L84" s="105" t="str">
        <f>IF(ISTEXT('_Data inputs (reported)'!L84),'_Data inputs (reported)'!L84,"")</f>
        <v/>
      </c>
      <c r="M84" s="1" t="str">
        <f>IF(ISTEXT('_Data inputs (reported)'!M84),'_Data inputs (reported)'!M84,"")</f>
        <v/>
      </c>
      <c r="N84" s="105" t="str">
        <f>IF(ISTEXT('_Data inputs (reported)'!N84),'_Data inputs (reported)'!N84,"")</f>
        <v/>
      </c>
    </row>
    <row xmlns:x14ac="http://schemas.microsoft.com/office/spreadsheetml/2009/9/ac" r="85" x14ac:dyDescent="0.2">
      <c r="A85" s="105" t="str">
        <f>IF(ISTEXT(VLOOKUP('_Data inputs (reported)'!B85,countryname,2,FALSE)),IF(Introduction!$A$2="English",VLOOKUP('_Data inputs (reported)'!B85,countryname,2,FALSE),IF(Introduction!$A$2="French",VLOOKUP('_Data inputs (reported)'!B85,countryname,3,FALSE),IF(Introduction!$A$2="Spanish",VLOOKUP('_Data inputs (reported)'!B85,countryname,4,FALSE),IF(Introduction!$A$2="Russian",VLOOKUP('_Data inputs (reported)'!B85,countryname,5,FALSE),IF(Introduction!$A$2="Arabic",VLOOKUP('_Data inputs (reported)'!B85,countryname,6,FALSE),IF(Introduction!$A$2="Chinese",VLOOKUP('_Data inputs (reported)'!B85,countryname,7,FALSE),IF(Introduction!$A$2="Other",VLOOKUP('_Data inputs (reported)'!B85,countryname,8,FALSE)))))))),"")</f>
        <v/>
      </c>
      <c r="B85" s="1" t="str">
        <f>IF(ISTEXT('_Data inputs (reported)'!B85),'_Data inputs (reported)'!B85,"")</f>
        <v/>
      </c>
      <c r="C85" s="179" t="str">
        <f>IF(ISBLANK('_Data inputs (reported)'!C85),"",'_Data inputs (reported)'!C85)</f>
        <v/>
      </c>
      <c r="D85" s="105" t="str">
        <f>IF(ISTEXT(VLOOKUP('_Data inputs (reported)'!D85,nametranslations,1,FALSE)),IF(Introduction!$A$2="English",VLOOKUP('_Data inputs (reported)'!D85,nametranslations,1,FALSE),IF(Introduction!$A$2="Spanish",VLOOKUP('_Data inputs (reported)'!D85,nametranslations,2,FALSE),IF(Introduction!$A$2="French",VLOOKUP('_Data inputs (reported)'!D85,nametranslations,3,FALSE),IF(Introduction!$A$2="Arabic",VLOOKUP('_Data inputs (reported)'!D85,nametranslations,4,FALSE),IF(Introduction!$A$2="Russian",VLOOKUP('_Data inputs (reported)'!D85,nametranslations,5,FALSE),IF(Introduction!$A$2="Chinese",VLOOKUP('_Data inputs (reported)'!D85,nametranslations,6,FALSE),IF(Introduction!$A$2="Other",VLOOKUP('_Data inputs (reported)'!D85,nametranslations,7,FALSE)))))))),"")</f>
        <v/>
      </c>
      <c r="E85" s="1" t="str">
        <f>IF(ISTEXT('_Data inputs (reported)'!E85),'_Data inputs (reported)'!E85,"")</f>
        <v/>
      </c>
      <c r="F85" s="8" t="str">
        <f>IF(ISNUMBER('_Data inputs (reported)'!F85),'_Data inputs (reported)'!F85,"")</f>
        <v/>
      </c>
      <c r="G85" s="105" t="str">
        <f>IF(ISTEXT(VLOOKUP('_Data inputs (reported)'!G85,nametranslations,1,FALSE)),IF(Introduction!$A$2="English",VLOOKUP('_Data inputs (reported)'!G85,nametranslations,1,FALSE),IF(Introduction!$A$2="Spanish",VLOOKUP('_Data inputs (reported)'!G85,nametranslations,2,FALSE),IF(Introduction!$A$2="French",VLOOKUP('_Data inputs (reported)'!G85,nametranslations,3,FALSE),IF(Introduction!$A$2="Arabic",VLOOKUP('_Data inputs (reported)'!G85,nametranslations,4,FALSE),IF(Introduction!$A$2="Russian",VLOOKUP('_Data inputs (reported)'!G85,nametranslations,5,FALSE),IF(Introduction!$A$2="Chinese",VLOOKUP('_Data inputs (reported)'!G85,nametranslations,6,FALSE),IF(Introduction!$A$2="Other",VLOOKUP('_Data inputs (reported)'!G85,nametranslations,7,FALSE)))))))),"")</f>
        <v/>
      </c>
      <c r="H85" s="1" t="str">
        <f>IF(ISTEXT('_Data inputs (reported)'!H85),'_Data inputs (reported)'!H85,"")</f>
        <v/>
      </c>
      <c r="I85" s="42" t="str">
        <f>IF(ISNUMBER('_Data inputs (reported)'!I85),'_Data inputs (reported)'!I85,"")</f>
        <v/>
      </c>
      <c r="J85" s="1" t="str">
        <f>IF(ISTEXT('_Data inputs (reported)'!J85),'_Data inputs (reported)'!J85,"")</f>
        <v/>
      </c>
      <c r="K85" s="105" t="str">
        <f>IF(ISTEXT('_Data inputs (reported)'!K85),'_Data inputs (reported)'!K85,"")</f>
        <v/>
      </c>
      <c r="L85" s="105" t="str">
        <f>IF(ISTEXT('_Data inputs (reported)'!L85),'_Data inputs (reported)'!L85,"")</f>
        <v/>
      </c>
      <c r="M85" s="1" t="str">
        <f>IF(ISTEXT('_Data inputs (reported)'!M85),'_Data inputs (reported)'!M85,"")</f>
        <v/>
      </c>
      <c r="N85" s="105" t="str">
        <f>IF(ISTEXT('_Data inputs (reported)'!N85),'_Data inputs (reported)'!N85,"")</f>
        <v/>
      </c>
    </row>
    <row xmlns:x14ac="http://schemas.microsoft.com/office/spreadsheetml/2009/9/ac" r="86" x14ac:dyDescent="0.2">
      <c r="A86" s="105" t="str">
        <f>IF(ISTEXT(VLOOKUP('_Data inputs (reported)'!B86,countryname,2,FALSE)),IF(Introduction!$A$2="English",VLOOKUP('_Data inputs (reported)'!B86,countryname,2,FALSE),IF(Introduction!$A$2="French",VLOOKUP('_Data inputs (reported)'!B86,countryname,3,FALSE),IF(Introduction!$A$2="Spanish",VLOOKUP('_Data inputs (reported)'!B86,countryname,4,FALSE),IF(Introduction!$A$2="Russian",VLOOKUP('_Data inputs (reported)'!B86,countryname,5,FALSE),IF(Introduction!$A$2="Arabic",VLOOKUP('_Data inputs (reported)'!B86,countryname,6,FALSE),IF(Introduction!$A$2="Chinese",VLOOKUP('_Data inputs (reported)'!B86,countryname,7,FALSE),IF(Introduction!$A$2="Other",VLOOKUP('_Data inputs (reported)'!B86,countryname,8,FALSE)))))))),"")</f>
        <v/>
      </c>
      <c r="B86" s="1" t="str">
        <f>IF(ISTEXT('_Data inputs (reported)'!B86),'_Data inputs (reported)'!B86,"")</f>
        <v/>
      </c>
      <c r="C86" s="179" t="str">
        <f>IF(ISBLANK('_Data inputs (reported)'!C86),"",'_Data inputs (reported)'!C86)</f>
        <v/>
      </c>
      <c r="D86" s="105" t="str">
        <f>IF(ISTEXT(VLOOKUP('_Data inputs (reported)'!D86,nametranslations,1,FALSE)),IF(Introduction!$A$2="English",VLOOKUP('_Data inputs (reported)'!D86,nametranslations,1,FALSE),IF(Introduction!$A$2="Spanish",VLOOKUP('_Data inputs (reported)'!D86,nametranslations,2,FALSE),IF(Introduction!$A$2="French",VLOOKUP('_Data inputs (reported)'!D86,nametranslations,3,FALSE),IF(Introduction!$A$2="Arabic",VLOOKUP('_Data inputs (reported)'!D86,nametranslations,4,FALSE),IF(Introduction!$A$2="Russian",VLOOKUP('_Data inputs (reported)'!D86,nametranslations,5,FALSE),IF(Introduction!$A$2="Chinese",VLOOKUP('_Data inputs (reported)'!D86,nametranslations,6,FALSE),IF(Introduction!$A$2="Other",VLOOKUP('_Data inputs (reported)'!D86,nametranslations,7,FALSE)))))))),"")</f>
        <v/>
      </c>
      <c r="E86" s="1" t="str">
        <f>IF(ISTEXT('_Data inputs (reported)'!E86),'_Data inputs (reported)'!E86,"")</f>
        <v/>
      </c>
      <c r="F86" s="8" t="str">
        <f>IF(ISNUMBER('_Data inputs (reported)'!F86),'_Data inputs (reported)'!F86,"")</f>
        <v/>
      </c>
      <c r="G86" s="105" t="str">
        <f>IF(ISTEXT(VLOOKUP('_Data inputs (reported)'!G86,nametranslations,1,FALSE)),IF(Introduction!$A$2="English",VLOOKUP('_Data inputs (reported)'!G86,nametranslations,1,FALSE),IF(Introduction!$A$2="Spanish",VLOOKUP('_Data inputs (reported)'!G86,nametranslations,2,FALSE),IF(Introduction!$A$2="French",VLOOKUP('_Data inputs (reported)'!G86,nametranslations,3,FALSE),IF(Introduction!$A$2="Arabic",VLOOKUP('_Data inputs (reported)'!G86,nametranslations,4,FALSE),IF(Introduction!$A$2="Russian",VLOOKUP('_Data inputs (reported)'!G86,nametranslations,5,FALSE),IF(Introduction!$A$2="Chinese",VLOOKUP('_Data inputs (reported)'!G86,nametranslations,6,FALSE),IF(Introduction!$A$2="Other",VLOOKUP('_Data inputs (reported)'!G86,nametranslations,7,FALSE)))))))),"")</f>
        <v/>
      </c>
      <c r="H86" s="1" t="str">
        <f>IF(ISTEXT('_Data inputs (reported)'!H86),'_Data inputs (reported)'!H86,"")</f>
        <v/>
      </c>
      <c r="I86" s="42" t="str">
        <f>IF(ISNUMBER('_Data inputs (reported)'!I86),'_Data inputs (reported)'!I86,"")</f>
        <v/>
      </c>
      <c r="J86" s="1" t="str">
        <f>IF(ISTEXT('_Data inputs (reported)'!J86),'_Data inputs (reported)'!J86,"")</f>
        <v/>
      </c>
      <c r="K86" s="105" t="str">
        <f>IF(ISTEXT('_Data inputs (reported)'!K86),'_Data inputs (reported)'!K86,"")</f>
        <v/>
      </c>
      <c r="L86" s="105" t="str">
        <f>IF(ISTEXT('_Data inputs (reported)'!L86),'_Data inputs (reported)'!L86,"")</f>
        <v/>
      </c>
      <c r="M86" s="1" t="str">
        <f>IF(ISTEXT('_Data inputs (reported)'!M86),'_Data inputs (reported)'!M86,"")</f>
        <v/>
      </c>
      <c r="N86" s="105" t="str">
        <f>IF(ISTEXT('_Data inputs (reported)'!N86),'_Data inputs (reported)'!N86,"")</f>
        <v/>
      </c>
    </row>
    <row xmlns:x14ac="http://schemas.microsoft.com/office/spreadsheetml/2009/9/ac" r="87" x14ac:dyDescent="0.2">
      <c r="A87" s="105" t="str">
        <f>IF(ISTEXT(VLOOKUP('_Data inputs (reported)'!B87,countryname,2,FALSE)),IF(Introduction!$A$2="English",VLOOKUP('_Data inputs (reported)'!B87,countryname,2,FALSE),IF(Introduction!$A$2="French",VLOOKUP('_Data inputs (reported)'!B87,countryname,3,FALSE),IF(Introduction!$A$2="Spanish",VLOOKUP('_Data inputs (reported)'!B87,countryname,4,FALSE),IF(Introduction!$A$2="Russian",VLOOKUP('_Data inputs (reported)'!B87,countryname,5,FALSE),IF(Introduction!$A$2="Arabic",VLOOKUP('_Data inputs (reported)'!B87,countryname,6,FALSE),IF(Introduction!$A$2="Chinese",VLOOKUP('_Data inputs (reported)'!B87,countryname,7,FALSE),IF(Introduction!$A$2="Other",VLOOKUP('_Data inputs (reported)'!B87,countryname,8,FALSE)))))))),"")</f>
        <v/>
      </c>
      <c r="B87" s="1" t="str">
        <f>IF(ISTEXT('_Data inputs (reported)'!B87),'_Data inputs (reported)'!B87,"")</f>
        <v/>
      </c>
      <c r="C87" s="179" t="str">
        <f>IF(ISBLANK('_Data inputs (reported)'!C87),"",'_Data inputs (reported)'!C87)</f>
        <v/>
      </c>
      <c r="D87" s="105" t="str">
        <f>IF(ISTEXT(VLOOKUP('_Data inputs (reported)'!D87,nametranslations,1,FALSE)),IF(Introduction!$A$2="English",VLOOKUP('_Data inputs (reported)'!D87,nametranslations,1,FALSE),IF(Introduction!$A$2="Spanish",VLOOKUP('_Data inputs (reported)'!D87,nametranslations,2,FALSE),IF(Introduction!$A$2="French",VLOOKUP('_Data inputs (reported)'!D87,nametranslations,3,FALSE),IF(Introduction!$A$2="Arabic",VLOOKUP('_Data inputs (reported)'!D87,nametranslations,4,FALSE),IF(Introduction!$A$2="Russian",VLOOKUP('_Data inputs (reported)'!D87,nametranslations,5,FALSE),IF(Introduction!$A$2="Chinese",VLOOKUP('_Data inputs (reported)'!D87,nametranslations,6,FALSE),IF(Introduction!$A$2="Other",VLOOKUP('_Data inputs (reported)'!D87,nametranslations,7,FALSE)))))))),"")</f>
        <v/>
      </c>
      <c r="E87" s="1" t="str">
        <f>IF(ISTEXT('_Data inputs (reported)'!E87),'_Data inputs (reported)'!E87,"")</f>
        <v/>
      </c>
      <c r="F87" s="8" t="str">
        <f>IF(ISNUMBER('_Data inputs (reported)'!F87),'_Data inputs (reported)'!F87,"")</f>
        <v/>
      </c>
      <c r="G87" s="105" t="str">
        <f>IF(ISTEXT(VLOOKUP('_Data inputs (reported)'!G87,nametranslations,1,FALSE)),IF(Introduction!$A$2="English",VLOOKUP('_Data inputs (reported)'!G87,nametranslations,1,FALSE),IF(Introduction!$A$2="Spanish",VLOOKUP('_Data inputs (reported)'!G87,nametranslations,2,FALSE),IF(Introduction!$A$2="French",VLOOKUP('_Data inputs (reported)'!G87,nametranslations,3,FALSE),IF(Introduction!$A$2="Arabic",VLOOKUP('_Data inputs (reported)'!G87,nametranslations,4,FALSE),IF(Introduction!$A$2="Russian",VLOOKUP('_Data inputs (reported)'!G87,nametranslations,5,FALSE),IF(Introduction!$A$2="Chinese",VLOOKUP('_Data inputs (reported)'!G87,nametranslations,6,FALSE),IF(Introduction!$A$2="Other",VLOOKUP('_Data inputs (reported)'!G87,nametranslations,7,FALSE)))))))),"")</f>
        <v/>
      </c>
      <c r="H87" s="1" t="str">
        <f>IF(ISTEXT('_Data inputs (reported)'!H87),'_Data inputs (reported)'!H87,"")</f>
        <v/>
      </c>
      <c r="I87" s="42" t="str">
        <f>IF(ISNUMBER('_Data inputs (reported)'!I87),'_Data inputs (reported)'!I87,"")</f>
        <v/>
      </c>
      <c r="J87" s="1" t="str">
        <f>IF(ISTEXT('_Data inputs (reported)'!J87),'_Data inputs (reported)'!J87,"")</f>
        <v/>
      </c>
      <c r="K87" s="105" t="str">
        <f>IF(ISTEXT('_Data inputs (reported)'!K87),'_Data inputs (reported)'!K87,"")</f>
        <v/>
      </c>
      <c r="L87" s="105" t="str">
        <f>IF(ISTEXT('_Data inputs (reported)'!L87),'_Data inputs (reported)'!L87,"")</f>
        <v/>
      </c>
      <c r="M87" s="1" t="str">
        <f>IF(ISTEXT('_Data inputs (reported)'!M87),'_Data inputs (reported)'!M87,"")</f>
        <v/>
      </c>
      <c r="N87" s="105" t="str">
        <f>IF(ISTEXT('_Data inputs (reported)'!N87),'_Data inputs (reported)'!N87,"")</f>
        <v/>
      </c>
    </row>
    <row xmlns:x14ac="http://schemas.microsoft.com/office/spreadsheetml/2009/9/ac" r="88" x14ac:dyDescent="0.2">
      <c r="A88" s="105" t="str">
        <f>IF(ISTEXT(VLOOKUP('_Data inputs (reported)'!B88,countryname,2,FALSE)),IF(Introduction!$A$2="English",VLOOKUP('_Data inputs (reported)'!B88,countryname,2,FALSE),IF(Introduction!$A$2="French",VLOOKUP('_Data inputs (reported)'!B88,countryname,3,FALSE),IF(Introduction!$A$2="Spanish",VLOOKUP('_Data inputs (reported)'!B88,countryname,4,FALSE),IF(Introduction!$A$2="Russian",VLOOKUP('_Data inputs (reported)'!B88,countryname,5,FALSE),IF(Introduction!$A$2="Arabic",VLOOKUP('_Data inputs (reported)'!B88,countryname,6,FALSE),IF(Introduction!$A$2="Chinese",VLOOKUP('_Data inputs (reported)'!B88,countryname,7,FALSE),IF(Introduction!$A$2="Other",VLOOKUP('_Data inputs (reported)'!B88,countryname,8,FALSE)))))))),"")</f>
        <v/>
      </c>
      <c r="B88" s="1" t="str">
        <f>IF(ISTEXT('_Data inputs (reported)'!B88),'_Data inputs (reported)'!B88,"")</f>
        <v/>
      </c>
      <c r="C88" s="179" t="str">
        <f>IF(ISBLANK('_Data inputs (reported)'!C88),"",'_Data inputs (reported)'!C88)</f>
        <v/>
      </c>
      <c r="D88" s="105" t="str">
        <f>IF(ISTEXT(VLOOKUP('_Data inputs (reported)'!D88,nametranslations,1,FALSE)),IF(Introduction!$A$2="English",VLOOKUP('_Data inputs (reported)'!D88,nametranslations,1,FALSE),IF(Introduction!$A$2="Spanish",VLOOKUP('_Data inputs (reported)'!D88,nametranslations,2,FALSE),IF(Introduction!$A$2="French",VLOOKUP('_Data inputs (reported)'!D88,nametranslations,3,FALSE),IF(Introduction!$A$2="Arabic",VLOOKUP('_Data inputs (reported)'!D88,nametranslations,4,FALSE),IF(Introduction!$A$2="Russian",VLOOKUP('_Data inputs (reported)'!D88,nametranslations,5,FALSE),IF(Introduction!$A$2="Chinese",VLOOKUP('_Data inputs (reported)'!D88,nametranslations,6,FALSE),IF(Introduction!$A$2="Other",VLOOKUP('_Data inputs (reported)'!D88,nametranslations,7,FALSE)))))))),"")</f>
        <v/>
      </c>
      <c r="E88" s="1" t="str">
        <f>IF(ISTEXT('_Data inputs (reported)'!E88),'_Data inputs (reported)'!E88,"")</f>
        <v/>
      </c>
      <c r="F88" s="8" t="str">
        <f>IF(ISNUMBER('_Data inputs (reported)'!F88),'_Data inputs (reported)'!F88,"")</f>
        <v/>
      </c>
      <c r="G88" s="105" t="str">
        <f>IF(ISTEXT(VLOOKUP('_Data inputs (reported)'!G88,nametranslations,1,FALSE)),IF(Introduction!$A$2="English",VLOOKUP('_Data inputs (reported)'!G88,nametranslations,1,FALSE),IF(Introduction!$A$2="Spanish",VLOOKUP('_Data inputs (reported)'!G88,nametranslations,2,FALSE),IF(Introduction!$A$2="French",VLOOKUP('_Data inputs (reported)'!G88,nametranslations,3,FALSE),IF(Introduction!$A$2="Arabic",VLOOKUP('_Data inputs (reported)'!G88,nametranslations,4,FALSE),IF(Introduction!$A$2="Russian",VLOOKUP('_Data inputs (reported)'!G88,nametranslations,5,FALSE),IF(Introduction!$A$2="Chinese",VLOOKUP('_Data inputs (reported)'!G88,nametranslations,6,FALSE),IF(Introduction!$A$2="Other",VLOOKUP('_Data inputs (reported)'!G88,nametranslations,7,FALSE)))))))),"")</f>
        <v/>
      </c>
      <c r="H88" s="1" t="str">
        <f>IF(ISTEXT('_Data inputs (reported)'!H88),'_Data inputs (reported)'!H88,"")</f>
        <v/>
      </c>
      <c r="I88" s="42" t="str">
        <f>IF(ISNUMBER('_Data inputs (reported)'!I88),'_Data inputs (reported)'!I88,"")</f>
        <v/>
      </c>
      <c r="J88" s="1" t="str">
        <f>IF(ISTEXT('_Data inputs (reported)'!J88),'_Data inputs (reported)'!J88,"")</f>
        <v/>
      </c>
      <c r="K88" s="105" t="str">
        <f>IF(ISTEXT('_Data inputs (reported)'!K88),'_Data inputs (reported)'!K88,"")</f>
        <v/>
      </c>
      <c r="L88" s="105" t="str">
        <f>IF(ISTEXT('_Data inputs (reported)'!L88),'_Data inputs (reported)'!L88,"")</f>
        <v/>
      </c>
      <c r="M88" s="1" t="str">
        <f>IF(ISTEXT('_Data inputs (reported)'!M88),'_Data inputs (reported)'!M88,"")</f>
        <v/>
      </c>
      <c r="N88" s="105" t="str">
        <f>IF(ISTEXT('_Data inputs (reported)'!N88),'_Data inputs (reported)'!N88,"")</f>
        <v/>
      </c>
    </row>
    <row xmlns:x14ac="http://schemas.microsoft.com/office/spreadsheetml/2009/9/ac" r="89" x14ac:dyDescent="0.2">
      <c r="A89" s="105" t="str">
        <f>IF(ISTEXT(VLOOKUP('_Data inputs (reported)'!B89,countryname,2,FALSE)),IF(Introduction!$A$2="English",VLOOKUP('_Data inputs (reported)'!B89,countryname,2,FALSE),IF(Introduction!$A$2="French",VLOOKUP('_Data inputs (reported)'!B89,countryname,3,FALSE),IF(Introduction!$A$2="Spanish",VLOOKUP('_Data inputs (reported)'!B89,countryname,4,FALSE),IF(Introduction!$A$2="Russian",VLOOKUP('_Data inputs (reported)'!B89,countryname,5,FALSE),IF(Introduction!$A$2="Arabic",VLOOKUP('_Data inputs (reported)'!B89,countryname,6,FALSE),IF(Introduction!$A$2="Chinese",VLOOKUP('_Data inputs (reported)'!B89,countryname,7,FALSE),IF(Introduction!$A$2="Other",VLOOKUP('_Data inputs (reported)'!B89,countryname,8,FALSE)))))))),"")</f>
        <v/>
      </c>
      <c r="B89" s="1" t="str">
        <f>IF(ISTEXT('_Data inputs (reported)'!B89),'_Data inputs (reported)'!B89,"")</f>
        <v/>
      </c>
      <c r="C89" s="179" t="str">
        <f>IF(ISBLANK('_Data inputs (reported)'!C89),"",'_Data inputs (reported)'!C89)</f>
        <v/>
      </c>
      <c r="D89" s="105" t="str">
        <f>IF(ISTEXT(VLOOKUP('_Data inputs (reported)'!D89,nametranslations,1,FALSE)),IF(Introduction!$A$2="English",VLOOKUP('_Data inputs (reported)'!D89,nametranslations,1,FALSE),IF(Introduction!$A$2="Spanish",VLOOKUP('_Data inputs (reported)'!D89,nametranslations,2,FALSE),IF(Introduction!$A$2="French",VLOOKUP('_Data inputs (reported)'!D89,nametranslations,3,FALSE),IF(Introduction!$A$2="Arabic",VLOOKUP('_Data inputs (reported)'!D89,nametranslations,4,FALSE),IF(Introduction!$A$2="Russian",VLOOKUP('_Data inputs (reported)'!D89,nametranslations,5,FALSE),IF(Introduction!$A$2="Chinese",VLOOKUP('_Data inputs (reported)'!D89,nametranslations,6,FALSE),IF(Introduction!$A$2="Other",VLOOKUP('_Data inputs (reported)'!D89,nametranslations,7,FALSE)))))))),"")</f>
        <v/>
      </c>
      <c r="E89" s="1" t="str">
        <f>IF(ISTEXT('_Data inputs (reported)'!E89),'_Data inputs (reported)'!E89,"")</f>
        <v/>
      </c>
      <c r="F89" s="8" t="str">
        <f>IF(ISNUMBER('_Data inputs (reported)'!F89),'_Data inputs (reported)'!F89,"")</f>
        <v/>
      </c>
      <c r="G89" s="105" t="str">
        <f>IF(ISTEXT(VLOOKUP('_Data inputs (reported)'!G89,nametranslations,1,FALSE)),IF(Introduction!$A$2="English",VLOOKUP('_Data inputs (reported)'!G89,nametranslations,1,FALSE),IF(Introduction!$A$2="Spanish",VLOOKUP('_Data inputs (reported)'!G89,nametranslations,2,FALSE),IF(Introduction!$A$2="French",VLOOKUP('_Data inputs (reported)'!G89,nametranslations,3,FALSE),IF(Introduction!$A$2="Arabic",VLOOKUP('_Data inputs (reported)'!G89,nametranslations,4,FALSE),IF(Introduction!$A$2="Russian",VLOOKUP('_Data inputs (reported)'!G89,nametranslations,5,FALSE),IF(Introduction!$A$2="Chinese",VLOOKUP('_Data inputs (reported)'!G89,nametranslations,6,FALSE),IF(Introduction!$A$2="Other",VLOOKUP('_Data inputs (reported)'!G89,nametranslations,7,FALSE)))))))),"")</f>
        <v/>
      </c>
      <c r="H89" s="1" t="str">
        <f>IF(ISTEXT('_Data inputs (reported)'!H89),'_Data inputs (reported)'!H89,"")</f>
        <v/>
      </c>
      <c r="I89" s="42" t="str">
        <f>IF(ISNUMBER('_Data inputs (reported)'!I89),'_Data inputs (reported)'!I89,"")</f>
        <v/>
      </c>
      <c r="J89" s="1" t="str">
        <f>IF(ISTEXT('_Data inputs (reported)'!J89),'_Data inputs (reported)'!J89,"")</f>
        <v/>
      </c>
      <c r="K89" s="105" t="str">
        <f>IF(ISTEXT('_Data inputs (reported)'!K89),'_Data inputs (reported)'!K89,"")</f>
        <v/>
      </c>
      <c r="L89" s="105" t="str">
        <f>IF(ISTEXT('_Data inputs (reported)'!L89),'_Data inputs (reported)'!L89,"")</f>
        <v/>
      </c>
      <c r="M89" s="1" t="str">
        <f>IF(ISTEXT('_Data inputs (reported)'!M89),'_Data inputs (reported)'!M89,"")</f>
        <v/>
      </c>
      <c r="N89" s="105" t="str">
        <f>IF(ISTEXT('_Data inputs (reported)'!N89),'_Data inputs (reported)'!N89,"")</f>
        <v/>
      </c>
    </row>
    <row xmlns:x14ac="http://schemas.microsoft.com/office/spreadsheetml/2009/9/ac" r="90" x14ac:dyDescent="0.2">
      <c r="A90" s="105" t="str">
        <f>IF(ISTEXT(VLOOKUP('_Data inputs (reported)'!B90,countryname,2,FALSE)),IF(Introduction!$A$2="English",VLOOKUP('_Data inputs (reported)'!B90,countryname,2,FALSE),IF(Introduction!$A$2="French",VLOOKUP('_Data inputs (reported)'!B90,countryname,3,FALSE),IF(Introduction!$A$2="Spanish",VLOOKUP('_Data inputs (reported)'!B90,countryname,4,FALSE),IF(Introduction!$A$2="Russian",VLOOKUP('_Data inputs (reported)'!B90,countryname,5,FALSE),IF(Introduction!$A$2="Arabic",VLOOKUP('_Data inputs (reported)'!B90,countryname,6,FALSE),IF(Introduction!$A$2="Chinese",VLOOKUP('_Data inputs (reported)'!B90,countryname,7,FALSE),IF(Introduction!$A$2="Other",VLOOKUP('_Data inputs (reported)'!B90,countryname,8,FALSE)))))))),"")</f>
        <v/>
      </c>
      <c r="B90" s="1" t="str">
        <f>IF(ISTEXT('_Data inputs (reported)'!B90),'_Data inputs (reported)'!B90,"")</f>
        <v/>
      </c>
      <c r="C90" s="179" t="str">
        <f>IF(ISBLANK('_Data inputs (reported)'!C90),"",'_Data inputs (reported)'!C90)</f>
        <v/>
      </c>
      <c r="D90" s="105" t="str">
        <f>IF(ISTEXT(VLOOKUP('_Data inputs (reported)'!D90,nametranslations,1,FALSE)),IF(Introduction!$A$2="English",VLOOKUP('_Data inputs (reported)'!D90,nametranslations,1,FALSE),IF(Introduction!$A$2="Spanish",VLOOKUP('_Data inputs (reported)'!D90,nametranslations,2,FALSE),IF(Introduction!$A$2="French",VLOOKUP('_Data inputs (reported)'!D90,nametranslations,3,FALSE),IF(Introduction!$A$2="Arabic",VLOOKUP('_Data inputs (reported)'!D90,nametranslations,4,FALSE),IF(Introduction!$A$2="Russian",VLOOKUP('_Data inputs (reported)'!D90,nametranslations,5,FALSE),IF(Introduction!$A$2="Chinese",VLOOKUP('_Data inputs (reported)'!D90,nametranslations,6,FALSE),IF(Introduction!$A$2="Other",VLOOKUP('_Data inputs (reported)'!D90,nametranslations,7,FALSE)))))))),"")</f>
        <v/>
      </c>
      <c r="E90" s="1" t="str">
        <f>IF(ISTEXT('_Data inputs (reported)'!E90),'_Data inputs (reported)'!E90,"")</f>
        <v/>
      </c>
      <c r="F90" s="8" t="str">
        <f>IF(ISNUMBER('_Data inputs (reported)'!F90),'_Data inputs (reported)'!F90,"")</f>
        <v/>
      </c>
      <c r="G90" s="105" t="str">
        <f>IF(ISTEXT(VLOOKUP('_Data inputs (reported)'!G90,nametranslations,1,FALSE)),IF(Introduction!$A$2="English",VLOOKUP('_Data inputs (reported)'!G90,nametranslations,1,FALSE),IF(Introduction!$A$2="Spanish",VLOOKUP('_Data inputs (reported)'!G90,nametranslations,2,FALSE),IF(Introduction!$A$2="French",VLOOKUP('_Data inputs (reported)'!G90,nametranslations,3,FALSE),IF(Introduction!$A$2="Arabic",VLOOKUP('_Data inputs (reported)'!G90,nametranslations,4,FALSE),IF(Introduction!$A$2="Russian",VLOOKUP('_Data inputs (reported)'!G90,nametranslations,5,FALSE),IF(Introduction!$A$2="Chinese",VLOOKUP('_Data inputs (reported)'!G90,nametranslations,6,FALSE),IF(Introduction!$A$2="Other",VLOOKUP('_Data inputs (reported)'!G90,nametranslations,7,FALSE)))))))),"")</f>
        <v/>
      </c>
      <c r="H90" s="1" t="str">
        <f>IF(ISTEXT('_Data inputs (reported)'!H90),'_Data inputs (reported)'!H90,"")</f>
        <v/>
      </c>
      <c r="I90" s="42" t="str">
        <f>IF(ISNUMBER('_Data inputs (reported)'!I90),'_Data inputs (reported)'!I90,"")</f>
        <v/>
      </c>
      <c r="J90" s="1" t="str">
        <f>IF(ISTEXT('_Data inputs (reported)'!J90),'_Data inputs (reported)'!J90,"")</f>
        <v/>
      </c>
      <c r="K90" s="105" t="str">
        <f>IF(ISTEXT('_Data inputs (reported)'!K90),'_Data inputs (reported)'!K90,"")</f>
        <v/>
      </c>
      <c r="L90" s="105" t="str">
        <f>IF(ISTEXT('_Data inputs (reported)'!L90),'_Data inputs (reported)'!L90,"")</f>
        <v/>
      </c>
      <c r="M90" s="1" t="str">
        <f>IF(ISTEXT('_Data inputs (reported)'!M90),'_Data inputs (reported)'!M90,"")</f>
        <v/>
      </c>
      <c r="N90" s="105" t="str">
        <f>IF(ISTEXT('_Data inputs (reported)'!N90),'_Data inputs (reported)'!N90,"")</f>
        <v/>
      </c>
    </row>
    <row xmlns:x14ac="http://schemas.microsoft.com/office/spreadsheetml/2009/9/ac" r="91" x14ac:dyDescent="0.2">
      <c r="A91" s="105" t="str">
        <f>IF(ISTEXT(VLOOKUP('_Data inputs (reported)'!B91,countryname,2,FALSE)),IF(Introduction!$A$2="English",VLOOKUP('_Data inputs (reported)'!B91,countryname,2,FALSE),IF(Introduction!$A$2="French",VLOOKUP('_Data inputs (reported)'!B91,countryname,3,FALSE),IF(Introduction!$A$2="Spanish",VLOOKUP('_Data inputs (reported)'!B91,countryname,4,FALSE),IF(Introduction!$A$2="Russian",VLOOKUP('_Data inputs (reported)'!B91,countryname,5,FALSE),IF(Introduction!$A$2="Arabic",VLOOKUP('_Data inputs (reported)'!B91,countryname,6,FALSE),IF(Introduction!$A$2="Chinese",VLOOKUP('_Data inputs (reported)'!B91,countryname,7,FALSE),IF(Introduction!$A$2="Other",VLOOKUP('_Data inputs (reported)'!B91,countryname,8,FALSE)))))))),"")</f>
        <v/>
      </c>
      <c r="B91" s="1" t="str">
        <f>IF(ISTEXT('_Data inputs (reported)'!B91),'_Data inputs (reported)'!B91,"")</f>
        <v/>
      </c>
      <c r="C91" s="179" t="str">
        <f>IF(ISBLANK('_Data inputs (reported)'!C91),"",'_Data inputs (reported)'!C91)</f>
        <v/>
      </c>
      <c r="D91" s="105" t="str">
        <f>IF(ISTEXT(VLOOKUP('_Data inputs (reported)'!D91,nametranslations,1,FALSE)),IF(Introduction!$A$2="English",VLOOKUP('_Data inputs (reported)'!D91,nametranslations,1,FALSE),IF(Introduction!$A$2="Spanish",VLOOKUP('_Data inputs (reported)'!D91,nametranslations,2,FALSE),IF(Introduction!$A$2="French",VLOOKUP('_Data inputs (reported)'!D91,nametranslations,3,FALSE),IF(Introduction!$A$2="Arabic",VLOOKUP('_Data inputs (reported)'!D91,nametranslations,4,FALSE),IF(Introduction!$A$2="Russian",VLOOKUP('_Data inputs (reported)'!D91,nametranslations,5,FALSE),IF(Introduction!$A$2="Chinese",VLOOKUP('_Data inputs (reported)'!D91,nametranslations,6,FALSE),IF(Introduction!$A$2="Other",VLOOKUP('_Data inputs (reported)'!D91,nametranslations,7,FALSE)))))))),"")</f>
        <v/>
      </c>
      <c r="E91" s="1" t="str">
        <f>IF(ISTEXT('_Data inputs (reported)'!E91),'_Data inputs (reported)'!E91,"")</f>
        <v/>
      </c>
      <c r="F91" s="8" t="str">
        <f>IF(ISNUMBER('_Data inputs (reported)'!F91),'_Data inputs (reported)'!F91,"")</f>
        <v/>
      </c>
      <c r="G91" s="105" t="str">
        <f>IF(ISTEXT(VLOOKUP('_Data inputs (reported)'!G91,nametranslations,1,FALSE)),IF(Introduction!$A$2="English",VLOOKUP('_Data inputs (reported)'!G91,nametranslations,1,FALSE),IF(Introduction!$A$2="Spanish",VLOOKUP('_Data inputs (reported)'!G91,nametranslations,2,FALSE),IF(Introduction!$A$2="French",VLOOKUP('_Data inputs (reported)'!G91,nametranslations,3,FALSE),IF(Introduction!$A$2="Arabic",VLOOKUP('_Data inputs (reported)'!G91,nametranslations,4,FALSE),IF(Introduction!$A$2="Russian",VLOOKUP('_Data inputs (reported)'!G91,nametranslations,5,FALSE),IF(Introduction!$A$2="Chinese",VLOOKUP('_Data inputs (reported)'!G91,nametranslations,6,FALSE),IF(Introduction!$A$2="Other",VLOOKUP('_Data inputs (reported)'!G91,nametranslations,7,FALSE)))))))),"")</f>
        <v/>
      </c>
      <c r="H91" s="1" t="str">
        <f>IF(ISTEXT('_Data inputs (reported)'!H91),'_Data inputs (reported)'!H91,"")</f>
        <v/>
      </c>
      <c r="I91" s="42" t="str">
        <f>IF(ISNUMBER('_Data inputs (reported)'!I91),'_Data inputs (reported)'!I91,"")</f>
        <v/>
      </c>
      <c r="J91" s="1" t="str">
        <f>IF(ISTEXT('_Data inputs (reported)'!J91),'_Data inputs (reported)'!J91,"")</f>
        <v/>
      </c>
      <c r="K91" s="105" t="str">
        <f>IF(ISTEXT('_Data inputs (reported)'!K91),'_Data inputs (reported)'!K91,"")</f>
        <v/>
      </c>
      <c r="L91" s="105" t="str">
        <f>IF(ISTEXT('_Data inputs (reported)'!L91),'_Data inputs (reported)'!L91,"")</f>
        <v/>
      </c>
      <c r="M91" s="1" t="str">
        <f>IF(ISTEXT('_Data inputs (reported)'!M91),'_Data inputs (reported)'!M91,"")</f>
        <v/>
      </c>
      <c r="N91" s="105" t="str">
        <f>IF(ISTEXT('_Data inputs (reported)'!N91),'_Data inputs (reported)'!N91,"")</f>
        <v/>
      </c>
    </row>
    <row xmlns:x14ac="http://schemas.microsoft.com/office/spreadsheetml/2009/9/ac" r="92" x14ac:dyDescent="0.2">
      <c r="A92" s="105" t="str">
        <f>IF(ISTEXT(VLOOKUP('_Data inputs (reported)'!B92,countryname,2,FALSE)),IF(Introduction!$A$2="English",VLOOKUP('_Data inputs (reported)'!B92,countryname,2,FALSE),IF(Introduction!$A$2="French",VLOOKUP('_Data inputs (reported)'!B92,countryname,3,FALSE),IF(Introduction!$A$2="Spanish",VLOOKUP('_Data inputs (reported)'!B92,countryname,4,FALSE),IF(Introduction!$A$2="Russian",VLOOKUP('_Data inputs (reported)'!B92,countryname,5,FALSE),IF(Introduction!$A$2="Arabic",VLOOKUP('_Data inputs (reported)'!B92,countryname,6,FALSE),IF(Introduction!$A$2="Chinese",VLOOKUP('_Data inputs (reported)'!B92,countryname,7,FALSE),IF(Introduction!$A$2="Other",VLOOKUP('_Data inputs (reported)'!B92,countryname,8,FALSE)))))))),"")</f>
        <v/>
      </c>
      <c r="B92" s="1" t="str">
        <f>IF(ISTEXT('_Data inputs (reported)'!B92),'_Data inputs (reported)'!B92,"")</f>
        <v/>
      </c>
      <c r="C92" s="179" t="str">
        <f>IF(ISBLANK('_Data inputs (reported)'!C92),"",'_Data inputs (reported)'!C92)</f>
        <v/>
      </c>
      <c r="D92" s="105" t="str">
        <f>IF(ISTEXT(VLOOKUP('_Data inputs (reported)'!D92,nametranslations,1,FALSE)),IF(Introduction!$A$2="English",VLOOKUP('_Data inputs (reported)'!D92,nametranslations,1,FALSE),IF(Introduction!$A$2="Spanish",VLOOKUP('_Data inputs (reported)'!D92,nametranslations,2,FALSE),IF(Introduction!$A$2="French",VLOOKUP('_Data inputs (reported)'!D92,nametranslations,3,FALSE),IF(Introduction!$A$2="Arabic",VLOOKUP('_Data inputs (reported)'!D92,nametranslations,4,FALSE),IF(Introduction!$A$2="Russian",VLOOKUP('_Data inputs (reported)'!D92,nametranslations,5,FALSE),IF(Introduction!$A$2="Chinese",VLOOKUP('_Data inputs (reported)'!D92,nametranslations,6,FALSE),IF(Introduction!$A$2="Other",VLOOKUP('_Data inputs (reported)'!D92,nametranslations,7,FALSE)))))))),"")</f>
        <v/>
      </c>
      <c r="E92" s="1" t="str">
        <f>IF(ISTEXT('_Data inputs (reported)'!E92),'_Data inputs (reported)'!E92,"")</f>
        <v/>
      </c>
      <c r="F92" s="8" t="str">
        <f>IF(ISNUMBER('_Data inputs (reported)'!F92),'_Data inputs (reported)'!F92,"")</f>
        <v/>
      </c>
      <c r="G92" s="105" t="str">
        <f>IF(ISTEXT(VLOOKUP('_Data inputs (reported)'!G92,nametranslations,1,FALSE)),IF(Introduction!$A$2="English",VLOOKUP('_Data inputs (reported)'!G92,nametranslations,1,FALSE),IF(Introduction!$A$2="Spanish",VLOOKUP('_Data inputs (reported)'!G92,nametranslations,2,FALSE),IF(Introduction!$A$2="French",VLOOKUP('_Data inputs (reported)'!G92,nametranslations,3,FALSE),IF(Introduction!$A$2="Arabic",VLOOKUP('_Data inputs (reported)'!G92,nametranslations,4,FALSE),IF(Introduction!$A$2="Russian",VLOOKUP('_Data inputs (reported)'!G92,nametranslations,5,FALSE),IF(Introduction!$A$2="Chinese",VLOOKUP('_Data inputs (reported)'!G92,nametranslations,6,FALSE),IF(Introduction!$A$2="Other",VLOOKUP('_Data inputs (reported)'!G92,nametranslations,7,FALSE)))))))),"")</f>
        <v/>
      </c>
      <c r="H92" s="1" t="str">
        <f>IF(ISTEXT('_Data inputs (reported)'!H92),'_Data inputs (reported)'!H92,"")</f>
        <v/>
      </c>
      <c r="I92" s="42" t="str">
        <f>IF(ISNUMBER('_Data inputs (reported)'!I92),'_Data inputs (reported)'!I92,"")</f>
        <v/>
      </c>
      <c r="J92" s="1" t="str">
        <f>IF(ISTEXT('_Data inputs (reported)'!J92),'_Data inputs (reported)'!J92,"")</f>
        <v/>
      </c>
      <c r="K92" s="105" t="str">
        <f>IF(ISTEXT('_Data inputs (reported)'!K92),'_Data inputs (reported)'!K92,"")</f>
        <v/>
      </c>
      <c r="L92" s="105" t="str">
        <f>IF(ISTEXT('_Data inputs (reported)'!L92),'_Data inputs (reported)'!L92,"")</f>
        <v/>
      </c>
      <c r="M92" s="1" t="str">
        <f>IF(ISTEXT('_Data inputs (reported)'!M92),'_Data inputs (reported)'!M92,"")</f>
        <v/>
      </c>
      <c r="N92" s="105" t="str">
        <f>IF(ISTEXT('_Data inputs (reported)'!N92),'_Data inputs (reported)'!N92,"")</f>
        <v/>
      </c>
    </row>
    <row xmlns:x14ac="http://schemas.microsoft.com/office/spreadsheetml/2009/9/ac" r="93" x14ac:dyDescent="0.2">
      <c r="A93" s="105" t="str">
        <f>IF(ISTEXT(VLOOKUP('_Data inputs (reported)'!B93,countryname,2,FALSE)),IF(Introduction!$A$2="English",VLOOKUP('_Data inputs (reported)'!B93,countryname,2,FALSE),IF(Introduction!$A$2="French",VLOOKUP('_Data inputs (reported)'!B93,countryname,3,FALSE),IF(Introduction!$A$2="Spanish",VLOOKUP('_Data inputs (reported)'!B93,countryname,4,FALSE),IF(Introduction!$A$2="Russian",VLOOKUP('_Data inputs (reported)'!B93,countryname,5,FALSE),IF(Introduction!$A$2="Arabic",VLOOKUP('_Data inputs (reported)'!B93,countryname,6,FALSE),IF(Introduction!$A$2="Chinese",VLOOKUP('_Data inputs (reported)'!B93,countryname,7,FALSE),IF(Introduction!$A$2="Other",VLOOKUP('_Data inputs (reported)'!B93,countryname,8,FALSE)))))))),"")</f>
        <v/>
      </c>
      <c r="B93" s="1" t="str">
        <f>IF(ISTEXT('_Data inputs (reported)'!B93),'_Data inputs (reported)'!B93,"")</f>
        <v/>
      </c>
      <c r="C93" s="179" t="str">
        <f>IF(ISBLANK('_Data inputs (reported)'!C93),"",'_Data inputs (reported)'!C93)</f>
        <v/>
      </c>
      <c r="D93" s="105" t="str">
        <f>IF(ISTEXT(VLOOKUP('_Data inputs (reported)'!D93,nametranslations,1,FALSE)),IF(Introduction!$A$2="English",VLOOKUP('_Data inputs (reported)'!D93,nametranslations,1,FALSE),IF(Introduction!$A$2="Spanish",VLOOKUP('_Data inputs (reported)'!D93,nametranslations,2,FALSE),IF(Introduction!$A$2="French",VLOOKUP('_Data inputs (reported)'!D93,nametranslations,3,FALSE),IF(Introduction!$A$2="Arabic",VLOOKUP('_Data inputs (reported)'!D93,nametranslations,4,FALSE),IF(Introduction!$A$2="Russian",VLOOKUP('_Data inputs (reported)'!D93,nametranslations,5,FALSE),IF(Introduction!$A$2="Chinese",VLOOKUP('_Data inputs (reported)'!D93,nametranslations,6,FALSE),IF(Introduction!$A$2="Other",VLOOKUP('_Data inputs (reported)'!D93,nametranslations,7,FALSE)))))))),"")</f>
        <v/>
      </c>
      <c r="E93" s="1" t="str">
        <f>IF(ISTEXT('_Data inputs (reported)'!E93),'_Data inputs (reported)'!E93,"")</f>
        <v/>
      </c>
      <c r="F93" s="8" t="str">
        <f>IF(ISNUMBER('_Data inputs (reported)'!F93),'_Data inputs (reported)'!F93,"")</f>
        <v/>
      </c>
      <c r="G93" s="105" t="str">
        <f>IF(ISTEXT(VLOOKUP('_Data inputs (reported)'!G93,nametranslations,1,FALSE)),IF(Introduction!$A$2="English",VLOOKUP('_Data inputs (reported)'!G93,nametranslations,1,FALSE),IF(Introduction!$A$2="Spanish",VLOOKUP('_Data inputs (reported)'!G93,nametranslations,2,FALSE),IF(Introduction!$A$2="French",VLOOKUP('_Data inputs (reported)'!G93,nametranslations,3,FALSE),IF(Introduction!$A$2="Arabic",VLOOKUP('_Data inputs (reported)'!G93,nametranslations,4,FALSE),IF(Introduction!$A$2="Russian",VLOOKUP('_Data inputs (reported)'!G93,nametranslations,5,FALSE),IF(Introduction!$A$2="Chinese",VLOOKUP('_Data inputs (reported)'!G93,nametranslations,6,FALSE),IF(Introduction!$A$2="Other",VLOOKUP('_Data inputs (reported)'!G93,nametranslations,7,FALSE)))))))),"")</f>
        <v/>
      </c>
      <c r="H93" s="1" t="str">
        <f>IF(ISTEXT('_Data inputs (reported)'!H93),'_Data inputs (reported)'!H93,"")</f>
        <v/>
      </c>
      <c r="I93" s="42" t="str">
        <f>IF(ISNUMBER('_Data inputs (reported)'!I93),'_Data inputs (reported)'!I93,"")</f>
        <v/>
      </c>
      <c r="J93" s="1" t="str">
        <f>IF(ISTEXT('_Data inputs (reported)'!J93),'_Data inputs (reported)'!J93,"")</f>
        <v/>
      </c>
      <c r="K93" s="105" t="str">
        <f>IF(ISTEXT('_Data inputs (reported)'!K93),'_Data inputs (reported)'!K93,"")</f>
        <v/>
      </c>
      <c r="L93" s="105" t="str">
        <f>IF(ISTEXT('_Data inputs (reported)'!L93),'_Data inputs (reported)'!L93,"")</f>
        <v/>
      </c>
      <c r="M93" s="1" t="str">
        <f>IF(ISTEXT('_Data inputs (reported)'!M93),'_Data inputs (reported)'!M93,"")</f>
        <v/>
      </c>
      <c r="N93" s="105" t="str">
        <f>IF(ISTEXT('_Data inputs (reported)'!N93),'_Data inputs (reported)'!N93,"")</f>
        <v/>
      </c>
    </row>
    <row xmlns:x14ac="http://schemas.microsoft.com/office/spreadsheetml/2009/9/ac" r="94" x14ac:dyDescent="0.2">
      <c r="A94" s="105" t="str">
        <f>IF(ISTEXT(VLOOKUP('_Data inputs (reported)'!B94,countryname,2,FALSE)),IF(Introduction!$A$2="English",VLOOKUP('_Data inputs (reported)'!B94,countryname,2,FALSE),IF(Introduction!$A$2="French",VLOOKUP('_Data inputs (reported)'!B94,countryname,3,FALSE),IF(Introduction!$A$2="Spanish",VLOOKUP('_Data inputs (reported)'!B94,countryname,4,FALSE),IF(Introduction!$A$2="Russian",VLOOKUP('_Data inputs (reported)'!B94,countryname,5,FALSE),IF(Introduction!$A$2="Arabic",VLOOKUP('_Data inputs (reported)'!B94,countryname,6,FALSE),IF(Introduction!$A$2="Chinese",VLOOKUP('_Data inputs (reported)'!B94,countryname,7,FALSE),IF(Introduction!$A$2="Other",VLOOKUP('_Data inputs (reported)'!B94,countryname,8,FALSE)))))))),"")</f>
        <v/>
      </c>
      <c r="B94" s="1" t="str">
        <f>IF(ISTEXT('_Data inputs (reported)'!B94),'_Data inputs (reported)'!B94,"")</f>
        <v/>
      </c>
      <c r="C94" s="179" t="str">
        <f>IF(ISBLANK('_Data inputs (reported)'!C94),"",'_Data inputs (reported)'!C94)</f>
        <v/>
      </c>
      <c r="D94" s="105" t="str">
        <f>IF(ISTEXT(VLOOKUP('_Data inputs (reported)'!D94,nametranslations,1,FALSE)),IF(Introduction!$A$2="English",VLOOKUP('_Data inputs (reported)'!D94,nametranslations,1,FALSE),IF(Introduction!$A$2="Spanish",VLOOKUP('_Data inputs (reported)'!D94,nametranslations,2,FALSE),IF(Introduction!$A$2="French",VLOOKUP('_Data inputs (reported)'!D94,nametranslations,3,FALSE),IF(Introduction!$A$2="Arabic",VLOOKUP('_Data inputs (reported)'!D94,nametranslations,4,FALSE),IF(Introduction!$A$2="Russian",VLOOKUP('_Data inputs (reported)'!D94,nametranslations,5,FALSE),IF(Introduction!$A$2="Chinese",VLOOKUP('_Data inputs (reported)'!D94,nametranslations,6,FALSE),IF(Introduction!$A$2="Other",VLOOKUP('_Data inputs (reported)'!D94,nametranslations,7,FALSE)))))))),"")</f>
        <v/>
      </c>
      <c r="E94" s="1" t="str">
        <f>IF(ISTEXT('_Data inputs (reported)'!E94),'_Data inputs (reported)'!E94,"")</f>
        <v/>
      </c>
      <c r="F94" s="8" t="str">
        <f>IF(ISNUMBER('_Data inputs (reported)'!F94),'_Data inputs (reported)'!F94,"")</f>
        <v/>
      </c>
      <c r="G94" s="105" t="str">
        <f>IF(ISTEXT(VLOOKUP('_Data inputs (reported)'!G94,nametranslations,1,FALSE)),IF(Introduction!$A$2="English",VLOOKUP('_Data inputs (reported)'!G94,nametranslations,1,FALSE),IF(Introduction!$A$2="Spanish",VLOOKUP('_Data inputs (reported)'!G94,nametranslations,2,FALSE),IF(Introduction!$A$2="French",VLOOKUP('_Data inputs (reported)'!G94,nametranslations,3,FALSE),IF(Introduction!$A$2="Arabic",VLOOKUP('_Data inputs (reported)'!G94,nametranslations,4,FALSE),IF(Introduction!$A$2="Russian",VLOOKUP('_Data inputs (reported)'!G94,nametranslations,5,FALSE),IF(Introduction!$A$2="Chinese",VLOOKUP('_Data inputs (reported)'!G94,nametranslations,6,FALSE),IF(Introduction!$A$2="Other",VLOOKUP('_Data inputs (reported)'!G94,nametranslations,7,FALSE)))))))),"")</f>
        <v/>
      </c>
      <c r="H94" s="1" t="str">
        <f>IF(ISTEXT('_Data inputs (reported)'!H94),'_Data inputs (reported)'!H94,"")</f>
        <v/>
      </c>
      <c r="I94" s="42" t="str">
        <f>IF(ISNUMBER('_Data inputs (reported)'!I94),'_Data inputs (reported)'!I94,"")</f>
        <v/>
      </c>
      <c r="J94" s="1" t="str">
        <f>IF(ISTEXT('_Data inputs (reported)'!J94),'_Data inputs (reported)'!J94,"")</f>
        <v/>
      </c>
      <c r="K94" s="105" t="str">
        <f>IF(ISTEXT('_Data inputs (reported)'!K94),'_Data inputs (reported)'!K94,"")</f>
        <v/>
      </c>
      <c r="L94" s="105" t="str">
        <f>IF(ISTEXT('_Data inputs (reported)'!L94),'_Data inputs (reported)'!L94,"")</f>
        <v/>
      </c>
      <c r="M94" s="1" t="str">
        <f>IF(ISTEXT('_Data inputs (reported)'!M94),'_Data inputs (reported)'!M94,"")</f>
        <v/>
      </c>
      <c r="N94" s="105" t="str">
        <f>IF(ISTEXT('_Data inputs (reported)'!N94),'_Data inputs (reported)'!N94,"")</f>
        <v/>
      </c>
    </row>
    <row xmlns:x14ac="http://schemas.microsoft.com/office/spreadsheetml/2009/9/ac" r="95" x14ac:dyDescent="0.2">
      <c r="A95" s="105" t="str">
        <f>IF(ISTEXT(VLOOKUP('_Data inputs (reported)'!B95,countryname,2,FALSE)),IF(Introduction!$A$2="English",VLOOKUP('_Data inputs (reported)'!B95,countryname,2,FALSE),IF(Introduction!$A$2="French",VLOOKUP('_Data inputs (reported)'!B95,countryname,3,FALSE),IF(Introduction!$A$2="Spanish",VLOOKUP('_Data inputs (reported)'!B95,countryname,4,FALSE),IF(Introduction!$A$2="Russian",VLOOKUP('_Data inputs (reported)'!B95,countryname,5,FALSE),IF(Introduction!$A$2="Arabic",VLOOKUP('_Data inputs (reported)'!B95,countryname,6,FALSE),IF(Introduction!$A$2="Chinese",VLOOKUP('_Data inputs (reported)'!B95,countryname,7,FALSE),IF(Introduction!$A$2="Other",VLOOKUP('_Data inputs (reported)'!B95,countryname,8,FALSE)))))))),"")</f>
        <v/>
      </c>
      <c r="B95" s="1" t="str">
        <f>IF(ISTEXT('_Data inputs (reported)'!B95),'_Data inputs (reported)'!B95,"")</f>
        <v/>
      </c>
      <c r="C95" s="179" t="str">
        <f>IF(ISBLANK('_Data inputs (reported)'!C95),"",'_Data inputs (reported)'!C95)</f>
        <v/>
      </c>
      <c r="D95" s="105" t="str">
        <f>IF(ISTEXT(VLOOKUP('_Data inputs (reported)'!D95,nametranslations,1,FALSE)),IF(Introduction!$A$2="English",VLOOKUP('_Data inputs (reported)'!D95,nametranslations,1,FALSE),IF(Introduction!$A$2="Spanish",VLOOKUP('_Data inputs (reported)'!D95,nametranslations,2,FALSE),IF(Introduction!$A$2="French",VLOOKUP('_Data inputs (reported)'!D95,nametranslations,3,FALSE),IF(Introduction!$A$2="Arabic",VLOOKUP('_Data inputs (reported)'!D95,nametranslations,4,FALSE),IF(Introduction!$A$2="Russian",VLOOKUP('_Data inputs (reported)'!D95,nametranslations,5,FALSE),IF(Introduction!$A$2="Chinese",VLOOKUP('_Data inputs (reported)'!D95,nametranslations,6,FALSE),IF(Introduction!$A$2="Other",VLOOKUP('_Data inputs (reported)'!D95,nametranslations,7,FALSE)))))))),"")</f>
        <v/>
      </c>
      <c r="E95" s="1" t="str">
        <f>IF(ISTEXT('_Data inputs (reported)'!E95),'_Data inputs (reported)'!E95,"")</f>
        <v/>
      </c>
      <c r="F95" s="8" t="str">
        <f>IF(ISNUMBER('_Data inputs (reported)'!F95),'_Data inputs (reported)'!F95,"")</f>
        <v/>
      </c>
      <c r="G95" s="105" t="str">
        <f>IF(ISTEXT(VLOOKUP('_Data inputs (reported)'!G95,nametranslations,1,FALSE)),IF(Introduction!$A$2="English",VLOOKUP('_Data inputs (reported)'!G95,nametranslations,1,FALSE),IF(Introduction!$A$2="Spanish",VLOOKUP('_Data inputs (reported)'!G95,nametranslations,2,FALSE),IF(Introduction!$A$2="French",VLOOKUP('_Data inputs (reported)'!G95,nametranslations,3,FALSE),IF(Introduction!$A$2="Arabic",VLOOKUP('_Data inputs (reported)'!G95,nametranslations,4,FALSE),IF(Introduction!$A$2="Russian",VLOOKUP('_Data inputs (reported)'!G95,nametranslations,5,FALSE),IF(Introduction!$A$2="Chinese",VLOOKUP('_Data inputs (reported)'!G95,nametranslations,6,FALSE),IF(Introduction!$A$2="Other",VLOOKUP('_Data inputs (reported)'!G95,nametranslations,7,FALSE)))))))),"")</f>
        <v/>
      </c>
      <c r="H95" s="1" t="str">
        <f>IF(ISTEXT('_Data inputs (reported)'!H95),'_Data inputs (reported)'!H95,"")</f>
        <v/>
      </c>
      <c r="I95" s="42" t="str">
        <f>IF(ISNUMBER('_Data inputs (reported)'!I95),'_Data inputs (reported)'!I95,"")</f>
        <v/>
      </c>
      <c r="J95" s="1" t="str">
        <f>IF(ISTEXT('_Data inputs (reported)'!J95),'_Data inputs (reported)'!J95,"")</f>
        <v/>
      </c>
      <c r="K95" s="105" t="str">
        <f>IF(ISTEXT('_Data inputs (reported)'!K95),'_Data inputs (reported)'!K95,"")</f>
        <v/>
      </c>
      <c r="L95" s="105" t="str">
        <f>IF(ISTEXT('_Data inputs (reported)'!L95),'_Data inputs (reported)'!L95,"")</f>
        <v/>
      </c>
      <c r="M95" s="1" t="str">
        <f>IF(ISTEXT('_Data inputs (reported)'!M95),'_Data inputs (reported)'!M95,"")</f>
        <v/>
      </c>
      <c r="N95" s="105" t="str">
        <f>IF(ISTEXT('_Data inputs (reported)'!N95),'_Data inputs (reported)'!N95,"")</f>
        <v/>
      </c>
    </row>
    <row xmlns:x14ac="http://schemas.microsoft.com/office/spreadsheetml/2009/9/ac" r="96" x14ac:dyDescent="0.2">
      <c r="A96" s="105" t="str">
        <f>IF(ISTEXT(VLOOKUP('_Data inputs (reported)'!B96,countryname,2,FALSE)),IF(Introduction!$A$2="English",VLOOKUP('_Data inputs (reported)'!B96,countryname,2,FALSE),IF(Introduction!$A$2="French",VLOOKUP('_Data inputs (reported)'!B96,countryname,3,FALSE),IF(Introduction!$A$2="Spanish",VLOOKUP('_Data inputs (reported)'!B96,countryname,4,FALSE),IF(Introduction!$A$2="Russian",VLOOKUP('_Data inputs (reported)'!B96,countryname,5,FALSE),IF(Introduction!$A$2="Arabic",VLOOKUP('_Data inputs (reported)'!B96,countryname,6,FALSE),IF(Introduction!$A$2="Chinese",VLOOKUP('_Data inputs (reported)'!B96,countryname,7,FALSE),IF(Introduction!$A$2="Other",VLOOKUP('_Data inputs (reported)'!B96,countryname,8,FALSE)))))))),"")</f>
        <v/>
      </c>
      <c r="B96" s="1" t="str">
        <f>IF(ISTEXT('_Data inputs (reported)'!B96),'_Data inputs (reported)'!B96,"")</f>
        <v/>
      </c>
      <c r="C96" s="179" t="str">
        <f>IF(ISBLANK('_Data inputs (reported)'!C96),"",'_Data inputs (reported)'!C96)</f>
        <v/>
      </c>
      <c r="D96" s="105" t="str">
        <f>IF(ISTEXT(VLOOKUP('_Data inputs (reported)'!D96,nametranslations,1,FALSE)),IF(Introduction!$A$2="English",VLOOKUP('_Data inputs (reported)'!D96,nametranslations,1,FALSE),IF(Introduction!$A$2="Spanish",VLOOKUP('_Data inputs (reported)'!D96,nametranslations,2,FALSE),IF(Introduction!$A$2="French",VLOOKUP('_Data inputs (reported)'!D96,nametranslations,3,FALSE),IF(Introduction!$A$2="Arabic",VLOOKUP('_Data inputs (reported)'!D96,nametranslations,4,FALSE),IF(Introduction!$A$2="Russian",VLOOKUP('_Data inputs (reported)'!D96,nametranslations,5,FALSE),IF(Introduction!$A$2="Chinese",VLOOKUP('_Data inputs (reported)'!D96,nametranslations,6,FALSE),IF(Introduction!$A$2="Other",VLOOKUP('_Data inputs (reported)'!D96,nametranslations,7,FALSE)))))))),"")</f>
        <v/>
      </c>
      <c r="E96" s="1" t="str">
        <f>IF(ISTEXT('_Data inputs (reported)'!E96),'_Data inputs (reported)'!E96,"")</f>
        <v/>
      </c>
      <c r="F96" s="8" t="str">
        <f>IF(ISNUMBER('_Data inputs (reported)'!F96),'_Data inputs (reported)'!F96,"")</f>
        <v/>
      </c>
      <c r="G96" s="105" t="str">
        <f>IF(ISTEXT(VLOOKUP('_Data inputs (reported)'!G96,nametranslations,1,FALSE)),IF(Introduction!$A$2="English",VLOOKUP('_Data inputs (reported)'!G96,nametranslations,1,FALSE),IF(Introduction!$A$2="Spanish",VLOOKUP('_Data inputs (reported)'!G96,nametranslations,2,FALSE),IF(Introduction!$A$2="French",VLOOKUP('_Data inputs (reported)'!G96,nametranslations,3,FALSE),IF(Introduction!$A$2="Arabic",VLOOKUP('_Data inputs (reported)'!G96,nametranslations,4,FALSE),IF(Introduction!$A$2="Russian",VLOOKUP('_Data inputs (reported)'!G96,nametranslations,5,FALSE),IF(Introduction!$A$2="Chinese",VLOOKUP('_Data inputs (reported)'!G96,nametranslations,6,FALSE),IF(Introduction!$A$2="Other",VLOOKUP('_Data inputs (reported)'!G96,nametranslations,7,FALSE)))))))),"")</f>
        <v/>
      </c>
      <c r="H96" s="1" t="str">
        <f>IF(ISTEXT('_Data inputs (reported)'!H96),'_Data inputs (reported)'!H96,"")</f>
        <v/>
      </c>
      <c r="I96" s="42" t="str">
        <f>IF(ISNUMBER('_Data inputs (reported)'!I96),'_Data inputs (reported)'!I96,"")</f>
        <v/>
      </c>
      <c r="J96" s="1" t="str">
        <f>IF(ISTEXT('_Data inputs (reported)'!J96),'_Data inputs (reported)'!J96,"")</f>
        <v/>
      </c>
      <c r="K96" s="105" t="str">
        <f>IF(ISTEXT('_Data inputs (reported)'!K96),'_Data inputs (reported)'!K96,"")</f>
        <v/>
      </c>
      <c r="L96" s="105" t="str">
        <f>IF(ISTEXT('_Data inputs (reported)'!L96),'_Data inputs (reported)'!L96,"")</f>
        <v/>
      </c>
      <c r="M96" s="1" t="str">
        <f>IF(ISTEXT('_Data inputs (reported)'!M96),'_Data inputs (reported)'!M96,"")</f>
        <v/>
      </c>
      <c r="N96" s="105" t="str">
        <f>IF(ISTEXT('_Data inputs (reported)'!N96),'_Data inputs (reported)'!N96,"")</f>
        <v/>
      </c>
    </row>
    <row xmlns:x14ac="http://schemas.microsoft.com/office/spreadsheetml/2009/9/ac" r="97" x14ac:dyDescent="0.2">
      <c r="A97" s="105" t="str">
        <f>IF(ISTEXT(VLOOKUP('_Data inputs (reported)'!B97,countryname,2,FALSE)),IF(Introduction!$A$2="English",VLOOKUP('_Data inputs (reported)'!B97,countryname,2,FALSE),IF(Introduction!$A$2="French",VLOOKUP('_Data inputs (reported)'!B97,countryname,3,FALSE),IF(Introduction!$A$2="Spanish",VLOOKUP('_Data inputs (reported)'!B97,countryname,4,FALSE),IF(Introduction!$A$2="Russian",VLOOKUP('_Data inputs (reported)'!B97,countryname,5,FALSE),IF(Introduction!$A$2="Arabic",VLOOKUP('_Data inputs (reported)'!B97,countryname,6,FALSE),IF(Introduction!$A$2="Chinese",VLOOKUP('_Data inputs (reported)'!B97,countryname,7,FALSE),IF(Introduction!$A$2="Other",VLOOKUP('_Data inputs (reported)'!B97,countryname,8,FALSE)))))))),"")</f>
        <v/>
      </c>
      <c r="B97" s="1" t="str">
        <f>IF(ISTEXT('_Data inputs (reported)'!B97),'_Data inputs (reported)'!B97,"")</f>
        <v/>
      </c>
      <c r="C97" s="179" t="str">
        <f>IF(ISBLANK('_Data inputs (reported)'!C97),"",'_Data inputs (reported)'!C97)</f>
        <v/>
      </c>
      <c r="D97" s="105" t="str">
        <f>IF(ISTEXT(VLOOKUP('_Data inputs (reported)'!D97,nametranslations,1,FALSE)),IF(Introduction!$A$2="English",VLOOKUP('_Data inputs (reported)'!D97,nametranslations,1,FALSE),IF(Introduction!$A$2="Spanish",VLOOKUP('_Data inputs (reported)'!D97,nametranslations,2,FALSE),IF(Introduction!$A$2="French",VLOOKUP('_Data inputs (reported)'!D97,nametranslations,3,FALSE),IF(Introduction!$A$2="Arabic",VLOOKUP('_Data inputs (reported)'!D97,nametranslations,4,FALSE),IF(Introduction!$A$2="Russian",VLOOKUP('_Data inputs (reported)'!D97,nametranslations,5,FALSE),IF(Introduction!$A$2="Chinese",VLOOKUP('_Data inputs (reported)'!D97,nametranslations,6,FALSE),IF(Introduction!$A$2="Other",VLOOKUP('_Data inputs (reported)'!D97,nametranslations,7,FALSE)))))))),"")</f>
        <v/>
      </c>
      <c r="E97" s="1" t="str">
        <f>IF(ISTEXT('_Data inputs (reported)'!E97),'_Data inputs (reported)'!E97,"")</f>
        <v/>
      </c>
      <c r="F97" s="8" t="str">
        <f>IF(ISNUMBER('_Data inputs (reported)'!F97),'_Data inputs (reported)'!F97,"")</f>
        <v/>
      </c>
      <c r="G97" s="105" t="str">
        <f>IF(ISTEXT(VLOOKUP('_Data inputs (reported)'!G97,nametranslations,1,FALSE)),IF(Introduction!$A$2="English",VLOOKUP('_Data inputs (reported)'!G97,nametranslations,1,FALSE),IF(Introduction!$A$2="Spanish",VLOOKUP('_Data inputs (reported)'!G97,nametranslations,2,FALSE),IF(Introduction!$A$2="French",VLOOKUP('_Data inputs (reported)'!G97,nametranslations,3,FALSE),IF(Introduction!$A$2="Arabic",VLOOKUP('_Data inputs (reported)'!G97,nametranslations,4,FALSE),IF(Introduction!$A$2="Russian",VLOOKUP('_Data inputs (reported)'!G97,nametranslations,5,FALSE),IF(Introduction!$A$2="Chinese",VLOOKUP('_Data inputs (reported)'!G97,nametranslations,6,FALSE),IF(Introduction!$A$2="Other",VLOOKUP('_Data inputs (reported)'!G97,nametranslations,7,FALSE)))))))),"")</f>
        <v/>
      </c>
      <c r="H97" s="1" t="str">
        <f>IF(ISTEXT('_Data inputs (reported)'!H97),'_Data inputs (reported)'!H97,"")</f>
        <v/>
      </c>
      <c r="I97" s="42" t="str">
        <f>IF(ISNUMBER('_Data inputs (reported)'!I97),'_Data inputs (reported)'!I97,"")</f>
        <v/>
      </c>
      <c r="J97" s="1" t="str">
        <f>IF(ISTEXT('_Data inputs (reported)'!J97),'_Data inputs (reported)'!J97,"")</f>
        <v/>
      </c>
      <c r="K97" s="105" t="str">
        <f>IF(ISTEXT('_Data inputs (reported)'!K97),'_Data inputs (reported)'!K97,"")</f>
        <v/>
      </c>
      <c r="L97" s="105" t="str">
        <f>IF(ISTEXT('_Data inputs (reported)'!L97),'_Data inputs (reported)'!L97,"")</f>
        <v/>
      </c>
      <c r="M97" s="1" t="str">
        <f>IF(ISTEXT('_Data inputs (reported)'!M97),'_Data inputs (reported)'!M97,"")</f>
        <v/>
      </c>
      <c r="N97" s="105" t="str">
        <f>IF(ISTEXT('_Data inputs (reported)'!N97),'_Data inputs (reported)'!N97,"")</f>
        <v/>
      </c>
    </row>
    <row xmlns:x14ac="http://schemas.microsoft.com/office/spreadsheetml/2009/9/ac" r="98" x14ac:dyDescent="0.2">
      <c r="A98" s="105" t="str">
        <f>IF(ISTEXT(VLOOKUP('_Data inputs (reported)'!B98,countryname,2,FALSE)),IF(Introduction!$A$2="English",VLOOKUP('_Data inputs (reported)'!B98,countryname,2,FALSE),IF(Introduction!$A$2="French",VLOOKUP('_Data inputs (reported)'!B98,countryname,3,FALSE),IF(Introduction!$A$2="Spanish",VLOOKUP('_Data inputs (reported)'!B98,countryname,4,FALSE),IF(Introduction!$A$2="Russian",VLOOKUP('_Data inputs (reported)'!B98,countryname,5,FALSE),IF(Introduction!$A$2="Arabic",VLOOKUP('_Data inputs (reported)'!B98,countryname,6,FALSE),IF(Introduction!$A$2="Chinese",VLOOKUP('_Data inputs (reported)'!B98,countryname,7,FALSE),IF(Introduction!$A$2="Other",VLOOKUP('_Data inputs (reported)'!B98,countryname,8,FALSE)))))))),"")</f>
        <v/>
      </c>
      <c r="B98" s="1" t="str">
        <f>IF(ISTEXT('_Data inputs (reported)'!B98),'_Data inputs (reported)'!B98,"")</f>
        <v/>
      </c>
      <c r="C98" s="179" t="str">
        <f>IF(ISBLANK('_Data inputs (reported)'!C98),"",'_Data inputs (reported)'!C98)</f>
        <v/>
      </c>
      <c r="D98" s="105" t="str">
        <f>IF(ISTEXT(VLOOKUP('_Data inputs (reported)'!D98,nametranslations,1,FALSE)),IF(Introduction!$A$2="English",VLOOKUP('_Data inputs (reported)'!D98,nametranslations,1,FALSE),IF(Introduction!$A$2="Spanish",VLOOKUP('_Data inputs (reported)'!D98,nametranslations,2,FALSE),IF(Introduction!$A$2="French",VLOOKUP('_Data inputs (reported)'!D98,nametranslations,3,FALSE),IF(Introduction!$A$2="Arabic",VLOOKUP('_Data inputs (reported)'!D98,nametranslations,4,FALSE),IF(Introduction!$A$2="Russian",VLOOKUP('_Data inputs (reported)'!D98,nametranslations,5,FALSE),IF(Introduction!$A$2="Chinese",VLOOKUP('_Data inputs (reported)'!D98,nametranslations,6,FALSE),IF(Introduction!$A$2="Other",VLOOKUP('_Data inputs (reported)'!D98,nametranslations,7,FALSE)))))))),"")</f>
        <v/>
      </c>
      <c r="E98" s="1" t="str">
        <f>IF(ISTEXT('_Data inputs (reported)'!E98),'_Data inputs (reported)'!E98,"")</f>
        <v/>
      </c>
      <c r="F98" s="8" t="str">
        <f>IF(ISNUMBER('_Data inputs (reported)'!F98),'_Data inputs (reported)'!F98,"")</f>
        <v/>
      </c>
      <c r="G98" s="105" t="str">
        <f>IF(ISTEXT(VLOOKUP('_Data inputs (reported)'!G98,nametranslations,1,FALSE)),IF(Introduction!$A$2="English",VLOOKUP('_Data inputs (reported)'!G98,nametranslations,1,FALSE),IF(Introduction!$A$2="Spanish",VLOOKUP('_Data inputs (reported)'!G98,nametranslations,2,FALSE),IF(Introduction!$A$2="French",VLOOKUP('_Data inputs (reported)'!G98,nametranslations,3,FALSE),IF(Introduction!$A$2="Arabic",VLOOKUP('_Data inputs (reported)'!G98,nametranslations,4,FALSE),IF(Introduction!$A$2="Russian",VLOOKUP('_Data inputs (reported)'!G98,nametranslations,5,FALSE),IF(Introduction!$A$2="Chinese",VLOOKUP('_Data inputs (reported)'!G98,nametranslations,6,FALSE),IF(Introduction!$A$2="Other",VLOOKUP('_Data inputs (reported)'!G98,nametranslations,7,FALSE)))))))),"")</f>
        <v/>
      </c>
      <c r="H98" s="1" t="str">
        <f>IF(ISTEXT('_Data inputs (reported)'!H98),'_Data inputs (reported)'!H98,"")</f>
        <v/>
      </c>
      <c r="I98" s="42" t="str">
        <f>IF(ISNUMBER('_Data inputs (reported)'!I98),'_Data inputs (reported)'!I98,"")</f>
        <v/>
      </c>
      <c r="J98" s="1" t="str">
        <f>IF(ISTEXT('_Data inputs (reported)'!J98),'_Data inputs (reported)'!J98,"")</f>
        <v/>
      </c>
      <c r="K98" s="105" t="str">
        <f>IF(ISTEXT('_Data inputs (reported)'!K98),'_Data inputs (reported)'!K98,"")</f>
        <v/>
      </c>
      <c r="L98" s="105" t="str">
        <f>IF(ISTEXT('_Data inputs (reported)'!L98),'_Data inputs (reported)'!L98,"")</f>
        <v/>
      </c>
      <c r="M98" s="1" t="str">
        <f>IF(ISTEXT('_Data inputs (reported)'!M98),'_Data inputs (reported)'!M98,"")</f>
        <v/>
      </c>
      <c r="N98" s="105" t="str">
        <f>IF(ISTEXT('_Data inputs (reported)'!N98),'_Data inputs (reported)'!N98,"")</f>
        <v/>
      </c>
    </row>
    <row xmlns:x14ac="http://schemas.microsoft.com/office/spreadsheetml/2009/9/ac" r="99" x14ac:dyDescent="0.2">
      <c r="A99" s="105" t="str">
        <f>IF(ISTEXT(VLOOKUP('_Data inputs (reported)'!B99,countryname,2,FALSE)),IF(Introduction!$A$2="English",VLOOKUP('_Data inputs (reported)'!B99,countryname,2,FALSE),IF(Introduction!$A$2="French",VLOOKUP('_Data inputs (reported)'!B99,countryname,3,FALSE),IF(Introduction!$A$2="Spanish",VLOOKUP('_Data inputs (reported)'!B99,countryname,4,FALSE),IF(Introduction!$A$2="Russian",VLOOKUP('_Data inputs (reported)'!B99,countryname,5,FALSE),IF(Introduction!$A$2="Arabic",VLOOKUP('_Data inputs (reported)'!B99,countryname,6,FALSE),IF(Introduction!$A$2="Chinese",VLOOKUP('_Data inputs (reported)'!B99,countryname,7,FALSE),IF(Introduction!$A$2="Other",VLOOKUP('_Data inputs (reported)'!B99,countryname,8,FALSE)))))))),"")</f>
        <v/>
      </c>
      <c r="B99" s="1" t="str">
        <f>IF(ISTEXT('_Data inputs (reported)'!B99),'_Data inputs (reported)'!B99,"")</f>
        <v/>
      </c>
      <c r="C99" s="179" t="str">
        <f>IF(ISBLANK('_Data inputs (reported)'!C99),"",'_Data inputs (reported)'!C99)</f>
        <v/>
      </c>
      <c r="D99" s="105" t="str">
        <f>IF(ISTEXT(VLOOKUP('_Data inputs (reported)'!D99,nametranslations,1,FALSE)),IF(Introduction!$A$2="English",VLOOKUP('_Data inputs (reported)'!D99,nametranslations,1,FALSE),IF(Introduction!$A$2="Spanish",VLOOKUP('_Data inputs (reported)'!D99,nametranslations,2,FALSE),IF(Introduction!$A$2="French",VLOOKUP('_Data inputs (reported)'!D99,nametranslations,3,FALSE),IF(Introduction!$A$2="Arabic",VLOOKUP('_Data inputs (reported)'!D99,nametranslations,4,FALSE),IF(Introduction!$A$2="Russian",VLOOKUP('_Data inputs (reported)'!D99,nametranslations,5,FALSE),IF(Introduction!$A$2="Chinese",VLOOKUP('_Data inputs (reported)'!D99,nametranslations,6,FALSE),IF(Introduction!$A$2="Other",VLOOKUP('_Data inputs (reported)'!D99,nametranslations,7,FALSE)))))))),"")</f>
        <v/>
      </c>
      <c r="E99" s="1" t="str">
        <f>IF(ISTEXT('_Data inputs (reported)'!E99),'_Data inputs (reported)'!E99,"")</f>
        <v/>
      </c>
      <c r="F99" s="8" t="str">
        <f>IF(ISNUMBER('_Data inputs (reported)'!F99),'_Data inputs (reported)'!F99,"")</f>
        <v/>
      </c>
      <c r="G99" s="105" t="str">
        <f>IF(ISTEXT(VLOOKUP('_Data inputs (reported)'!G99,nametranslations,1,FALSE)),IF(Introduction!$A$2="English",VLOOKUP('_Data inputs (reported)'!G99,nametranslations,1,FALSE),IF(Introduction!$A$2="Spanish",VLOOKUP('_Data inputs (reported)'!G99,nametranslations,2,FALSE),IF(Introduction!$A$2="French",VLOOKUP('_Data inputs (reported)'!G99,nametranslations,3,FALSE),IF(Introduction!$A$2="Arabic",VLOOKUP('_Data inputs (reported)'!G99,nametranslations,4,FALSE),IF(Introduction!$A$2="Russian",VLOOKUP('_Data inputs (reported)'!G99,nametranslations,5,FALSE),IF(Introduction!$A$2="Chinese",VLOOKUP('_Data inputs (reported)'!G99,nametranslations,6,FALSE),IF(Introduction!$A$2="Other",VLOOKUP('_Data inputs (reported)'!G99,nametranslations,7,FALSE)))))))),"")</f>
        <v/>
      </c>
      <c r="H99" s="1" t="str">
        <f>IF(ISTEXT('_Data inputs (reported)'!H99),'_Data inputs (reported)'!H99,"")</f>
        <v/>
      </c>
      <c r="I99" s="42" t="str">
        <f>IF(ISNUMBER('_Data inputs (reported)'!I99),'_Data inputs (reported)'!I99,"")</f>
        <v/>
      </c>
      <c r="J99" s="1" t="str">
        <f>IF(ISTEXT('_Data inputs (reported)'!J99),'_Data inputs (reported)'!J99,"")</f>
        <v/>
      </c>
      <c r="K99" s="105" t="str">
        <f>IF(ISTEXT('_Data inputs (reported)'!K99),'_Data inputs (reported)'!K99,"")</f>
        <v/>
      </c>
      <c r="L99" s="105" t="str">
        <f>IF(ISTEXT('_Data inputs (reported)'!L99),'_Data inputs (reported)'!L99,"")</f>
        <v/>
      </c>
      <c r="M99" s="1" t="str">
        <f>IF(ISTEXT('_Data inputs (reported)'!M99),'_Data inputs (reported)'!M99,"")</f>
        <v/>
      </c>
      <c r="N99" s="105" t="str">
        <f>IF(ISTEXT('_Data inputs (reported)'!N99),'_Data inputs (reported)'!N99,"")</f>
        <v/>
      </c>
    </row>
    <row xmlns:x14ac="http://schemas.microsoft.com/office/spreadsheetml/2009/9/ac" r="100" x14ac:dyDescent="0.2">
      <c r="A100" s="105" t="str">
        <f>IF(ISTEXT(VLOOKUP('_Data inputs (reported)'!B100,countryname,2,FALSE)),IF(Introduction!$A$2="English",VLOOKUP('_Data inputs (reported)'!B100,countryname,2,FALSE),IF(Introduction!$A$2="French",VLOOKUP('_Data inputs (reported)'!B100,countryname,3,FALSE),IF(Introduction!$A$2="Spanish",VLOOKUP('_Data inputs (reported)'!B100,countryname,4,FALSE),IF(Introduction!$A$2="Russian",VLOOKUP('_Data inputs (reported)'!B100,countryname,5,FALSE),IF(Introduction!$A$2="Arabic",VLOOKUP('_Data inputs (reported)'!B100,countryname,6,FALSE),IF(Introduction!$A$2="Chinese",VLOOKUP('_Data inputs (reported)'!B100,countryname,7,FALSE),IF(Introduction!$A$2="Other",VLOOKUP('_Data inputs (reported)'!B100,countryname,8,FALSE)))))))),"")</f>
        <v/>
      </c>
      <c r="B100" s="1" t="str">
        <f>IF(ISTEXT('_Data inputs (reported)'!B100),'_Data inputs (reported)'!B100,"")</f>
        <v/>
      </c>
      <c r="C100" s="179" t="str">
        <f>IF(ISBLANK('_Data inputs (reported)'!C100),"",'_Data inputs (reported)'!C100)</f>
        <v/>
      </c>
      <c r="D100" s="105" t="str">
        <f>IF(ISTEXT(VLOOKUP('_Data inputs (reported)'!D100,nametranslations,1,FALSE)),IF(Introduction!$A$2="English",VLOOKUP('_Data inputs (reported)'!D100,nametranslations,1,FALSE),IF(Introduction!$A$2="Spanish",VLOOKUP('_Data inputs (reported)'!D100,nametranslations,2,FALSE),IF(Introduction!$A$2="French",VLOOKUP('_Data inputs (reported)'!D100,nametranslations,3,FALSE),IF(Introduction!$A$2="Arabic",VLOOKUP('_Data inputs (reported)'!D100,nametranslations,4,FALSE),IF(Introduction!$A$2="Russian",VLOOKUP('_Data inputs (reported)'!D100,nametranslations,5,FALSE),IF(Introduction!$A$2="Chinese",VLOOKUP('_Data inputs (reported)'!D100,nametranslations,6,FALSE),IF(Introduction!$A$2="Other",VLOOKUP('_Data inputs (reported)'!D100,nametranslations,7,FALSE)))))))),"")</f>
        <v/>
      </c>
      <c r="E100" s="1" t="str">
        <f>IF(ISTEXT('_Data inputs (reported)'!E100),'_Data inputs (reported)'!E100,"")</f>
        <v/>
      </c>
      <c r="F100" s="8" t="str">
        <f>IF(ISNUMBER('_Data inputs (reported)'!F100),'_Data inputs (reported)'!F100,"")</f>
        <v/>
      </c>
      <c r="G100" s="105" t="str">
        <f>IF(ISTEXT(VLOOKUP('_Data inputs (reported)'!G100,nametranslations,1,FALSE)),IF(Introduction!$A$2="English",VLOOKUP('_Data inputs (reported)'!G100,nametranslations,1,FALSE),IF(Introduction!$A$2="Spanish",VLOOKUP('_Data inputs (reported)'!G100,nametranslations,2,FALSE),IF(Introduction!$A$2="French",VLOOKUP('_Data inputs (reported)'!G100,nametranslations,3,FALSE),IF(Introduction!$A$2="Arabic",VLOOKUP('_Data inputs (reported)'!G100,nametranslations,4,FALSE),IF(Introduction!$A$2="Russian",VLOOKUP('_Data inputs (reported)'!G100,nametranslations,5,FALSE),IF(Introduction!$A$2="Chinese",VLOOKUP('_Data inputs (reported)'!G100,nametranslations,6,FALSE),IF(Introduction!$A$2="Other",VLOOKUP('_Data inputs (reported)'!G100,nametranslations,7,FALSE)))))))),"")</f>
        <v/>
      </c>
      <c r="H100" s="1" t="str">
        <f>IF(ISTEXT('_Data inputs (reported)'!H100),'_Data inputs (reported)'!H100,"")</f>
        <v/>
      </c>
      <c r="I100" s="42" t="str">
        <f>IF(ISNUMBER('_Data inputs (reported)'!I100),'_Data inputs (reported)'!I100,"")</f>
        <v/>
      </c>
      <c r="J100" s="1" t="str">
        <f>IF(ISTEXT('_Data inputs (reported)'!J100),'_Data inputs (reported)'!J100,"")</f>
        <v/>
      </c>
      <c r="K100" s="105" t="str">
        <f>IF(ISTEXT('_Data inputs (reported)'!K100),'_Data inputs (reported)'!K100,"")</f>
        <v/>
      </c>
      <c r="L100" s="105" t="str">
        <f>IF(ISTEXT('_Data inputs (reported)'!L100),'_Data inputs (reported)'!L100,"")</f>
        <v/>
      </c>
      <c r="M100" s="1" t="str">
        <f>IF(ISTEXT('_Data inputs (reported)'!M100),'_Data inputs (reported)'!M100,"")</f>
        <v/>
      </c>
      <c r="N100" s="105" t="str">
        <f>IF(ISTEXT('_Data inputs (reported)'!N100),'_Data inputs (reported)'!N100,"")</f>
        <v/>
      </c>
    </row>
    <row xmlns:x14ac="http://schemas.microsoft.com/office/spreadsheetml/2009/9/ac" r="101" x14ac:dyDescent="0.2">
      <c r="A101" s="105" t="str">
        <f>IF(ISTEXT(VLOOKUP('_Data inputs (reported)'!B101,countryname,2,FALSE)),IF(Introduction!$A$2="English",VLOOKUP('_Data inputs (reported)'!B101,countryname,2,FALSE),IF(Introduction!$A$2="French",VLOOKUP('_Data inputs (reported)'!B101,countryname,3,FALSE),IF(Introduction!$A$2="Spanish",VLOOKUP('_Data inputs (reported)'!B101,countryname,4,FALSE),IF(Introduction!$A$2="Russian",VLOOKUP('_Data inputs (reported)'!B101,countryname,5,FALSE),IF(Introduction!$A$2="Arabic",VLOOKUP('_Data inputs (reported)'!B101,countryname,6,FALSE),IF(Introduction!$A$2="Chinese",VLOOKUP('_Data inputs (reported)'!B101,countryname,7,FALSE),IF(Introduction!$A$2="Other",VLOOKUP('_Data inputs (reported)'!B101,countryname,8,FALSE)))))))),"")</f>
        <v/>
      </c>
      <c r="B101" s="1" t="str">
        <f>IF(ISTEXT('_Data inputs (reported)'!B101),'_Data inputs (reported)'!B101,"")</f>
        <v/>
      </c>
      <c r="C101" s="179" t="str">
        <f>IF(ISBLANK('_Data inputs (reported)'!C101),"",'_Data inputs (reported)'!C101)</f>
        <v/>
      </c>
      <c r="D101" s="105" t="str">
        <f>IF(ISTEXT(VLOOKUP('_Data inputs (reported)'!D101,nametranslations,1,FALSE)),IF(Introduction!$A$2="English",VLOOKUP('_Data inputs (reported)'!D101,nametranslations,1,FALSE),IF(Introduction!$A$2="Spanish",VLOOKUP('_Data inputs (reported)'!D101,nametranslations,2,FALSE),IF(Introduction!$A$2="French",VLOOKUP('_Data inputs (reported)'!D101,nametranslations,3,FALSE),IF(Introduction!$A$2="Arabic",VLOOKUP('_Data inputs (reported)'!D101,nametranslations,4,FALSE),IF(Introduction!$A$2="Russian",VLOOKUP('_Data inputs (reported)'!D101,nametranslations,5,FALSE),IF(Introduction!$A$2="Chinese",VLOOKUP('_Data inputs (reported)'!D101,nametranslations,6,FALSE),IF(Introduction!$A$2="Other",VLOOKUP('_Data inputs (reported)'!D101,nametranslations,7,FALSE)))))))),"")</f>
        <v/>
      </c>
      <c r="E101" s="1" t="str">
        <f>IF(ISTEXT('_Data inputs (reported)'!E101),'_Data inputs (reported)'!E101,"")</f>
        <v/>
      </c>
      <c r="F101" s="8" t="str">
        <f>IF(ISNUMBER('_Data inputs (reported)'!F101),'_Data inputs (reported)'!F101,"")</f>
        <v/>
      </c>
      <c r="G101" s="105" t="str">
        <f>IF(ISTEXT(VLOOKUP('_Data inputs (reported)'!G101,nametranslations,1,FALSE)),IF(Introduction!$A$2="English",VLOOKUP('_Data inputs (reported)'!G101,nametranslations,1,FALSE),IF(Introduction!$A$2="Spanish",VLOOKUP('_Data inputs (reported)'!G101,nametranslations,2,FALSE),IF(Introduction!$A$2="French",VLOOKUP('_Data inputs (reported)'!G101,nametranslations,3,FALSE),IF(Introduction!$A$2="Arabic",VLOOKUP('_Data inputs (reported)'!G101,nametranslations,4,FALSE),IF(Introduction!$A$2="Russian",VLOOKUP('_Data inputs (reported)'!G101,nametranslations,5,FALSE),IF(Introduction!$A$2="Chinese",VLOOKUP('_Data inputs (reported)'!G101,nametranslations,6,FALSE),IF(Introduction!$A$2="Other",VLOOKUP('_Data inputs (reported)'!G101,nametranslations,7,FALSE)))))))),"")</f>
        <v/>
      </c>
      <c r="H101" s="1" t="str">
        <f>IF(ISTEXT('_Data inputs (reported)'!H101),'_Data inputs (reported)'!H101,"")</f>
        <v/>
      </c>
      <c r="I101" s="42" t="str">
        <f>IF(ISNUMBER('_Data inputs (reported)'!I101),'_Data inputs (reported)'!I101,"")</f>
        <v/>
      </c>
      <c r="J101" s="1" t="str">
        <f>IF(ISTEXT('_Data inputs (reported)'!J101),'_Data inputs (reported)'!J101,"")</f>
        <v/>
      </c>
      <c r="K101" s="105" t="str">
        <f>IF(ISTEXT('_Data inputs (reported)'!K101),'_Data inputs (reported)'!K101,"")</f>
        <v/>
      </c>
      <c r="L101" s="105" t="str">
        <f>IF(ISTEXT('_Data inputs (reported)'!L101),'_Data inputs (reported)'!L101,"")</f>
        <v/>
      </c>
      <c r="M101" s="1" t="str">
        <f>IF(ISTEXT('_Data inputs (reported)'!M101),'_Data inputs (reported)'!M101,"")</f>
        <v/>
      </c>
      <c r="N101" s="105" t="str">
        <f>IF(ISTEXT('_Data inputs (reported)'!N101),'_Data inputs (reported)'!N101,"")</f>
        <v/>
      </c>
    </row>
    <row xmlns:x14ac="http://schemas.microsoft.com/office/spreadsheetml/2009/9/ac" r="102" x14ac:dyDescent="0.2">
      <c r="A102" s="105" t="str">
        <f>IF(ISTEXT(VLOOKUP('_Data inputs (reported)'!B102,countryname,2,FALSE)),IF(Introduction!$A$2="English",VLOOKUP('_Data inputs (reported)'!B102,countryname,2,FALSE),IF(Introduction!$A$2="French",VLOOKUP('_Data inputs (reported)'!B102,countryname,3,FALSE),IF(Introduction!$A$2="Spanish",VLOOKUP('_Data inputs (reported)'!B102,countryname,4,FALSE),IF(Introduction!$A$2="Russian",VLOOKUP('_Data inputs (reported)'!B102,countryname,5,FALSE),IF(Introduction!$A$2="Arabic",VLOOKUP('_Data inputs (reported)'!B102,countryname,6,FALSE),IF(Introduction!$A$2="Chinese",VLOOKUP('_Data inputs (reported)'!B102,countryname,7,FALSE),IF(Introduction!$A$2="Other",VLOOKUP('_Data inputs (reported)'!B102,countryname,8,FALSE)))))))),"")</f>
        <v/>
      </c>
      <c r="B102" s="1" t="str">
        <f>IF(ISTEXT('_Data inputs (reported)'!B102),'_Data inputs (reported)'!B102,"")</f>
        <v/>
      </c>
      <c r="C102" s="179" t="str">
        <f>IF(ISBLANK('_Data inputs (reported)'!C102),"",'_Data inputs (reported)'!C102)</f>
        <v/>
      </c>
      <c r="D102" s="105" t="str">
        <f>IF(ISTEXT(VLOOKUP('_Data inputs (reported)'!D102,nametranslations,1,FALSE)),IF(Introduction!$A$2="English",VLOOKUP('_Data inputs (reported)'!D102,nametranslations,1,FALSE),IF(Introduction!$A$2="Spanish",VLOOKUP('_Data inputs (reported)'!D102,nametranslations,2,FALSE),IF(Introduction!$A$2="French",VLOOKUP('_Data inputs (reported)'!D102,nametranslations,3,FALSE),IF(Introduction!$A$2="Arabic",VLOOKUP('_Data inputs (reported)'!D102,nametranslations,4,FALSE),IF(Introduction!$A$2="Russian",VLOOKUP('_Data inputs (reported)'!D102,nametranslations,5,FALSE),IF(Introduction!$A$2="Chinese",VLOOKUP('_Data inputs (reported)'!D102,nametranslations,6,FALSE),IF(Introduction!$A$2="Other",VLOOKUP('_Data inputs (reported)'!D102,nametranslations,7,FALSE)))))))),"")</f>
        <v/>
      </c>
      <c r="E102" s="1" t="str">
        <f>IF(ISTEXT('_Data inputs (reported)'!E102),'_Data inputs (reported)'!E102,"")</f>
        <v/>
      </c>
      <c r="F102" s="8" t="str">
        <f>IF(ISNUMBER('_Data inputs (reported)'!F102),'_Data inputs (reported)'!F102,"")</f>
        <v/>
      </c>
      <c r="G102" s="105" t="str">
        <f>IF(ISTEXT(VLOOKUP('_Data inputs (reported)'!G102,nametranslations,1,FALSE)),IF(Introduction!$A$2="English",VLOOKUP('_Data inputs (reported)'!G102,nametranslations,1,FALSE),IF(Introduction!$A$2="Spanish",VLOOKUP('_Data inputs (reported)'!G102,nametranslations,2,FALSE),IF(Introduction!$A$2="French",VLOOKUP('_Data inputs (reported)'!G102,nametranslations,3,FALSE),IF(Introduction!$A$2="Arabic",VLOOKUP('_Data inputs (reported)'!G102,nametranslations,4,FALSE),IF(Introduction!$A$2="Russian",VLOOKUP('_Data inputs (reported)'!G102,nametranslations,5,FALSE),IF(Introduction!$A$2="Chinese",VLOOKUP('_Data inputs (reported)'!G102,nametranslations,6,FALSE),IF(Introduction!$A$2="Other",VLOOKUP('_Data inputs (reported)'!G102,nametranslations,7,FALSE)))))))),"")</f>
        <v/>
      </c>
      <c r="H102" s="1" t="str">
        <f>IF(ISTEXT('_Data inputs (reported)'!H102),'_Data inputs (reported)'!H102,"")</f>
        <v/>
      </c>
      <c r="I102" s="42" t="str">
        <f>IF(ISNUMBER('_Data inputs (reported)'!I102),'_Data inputs (reported)'!I102,"")</f>
        <v/>
      </c>
      <c r="J102" s="1" t="str">
        <f>IF(ISTEXT('_Data inputs (reported)'!J102),'_Data inputs (reported)'!J102,"")</f>
        <v/>
      </c>
      <c r="K102" s="105" t="str">
        <f>IF(ISTEXT('_Data inputs (reported)'!K102),'_Data inputs (reported)'!K102,"")</f>
        <v/>
      </c>
      <c r="L102" s="105" t="str">
        <f>IF(ISTEXT('_Data inputs (reported)'!L102),'_Data inputs (reported)'!L102,"")</f>
        <v/>
      </c>
      <c r="M102" s="1" t="str">
        <f>IF(ISTEXT('_Data inputs (reported)'!M102),'_Data inputs (reported)'!M102,"")</f>
        <v/>
      </c>
      <c r="N102" s="105" t="str">
        <f>IF(ISTEXT('_Data inputs (reported)'!N102),'_Data inputs (reported)'!N102,"")</f>
        <v/>
      </c>
    </row>
    <row xmlns:x14ac="http://schemas.microsoft.com/office/spreadsheetml/2009/9/ac" r="103" x14ac:dyDescent="0.2">
      <c r="A103" s="105" t="str">
        <f>IF(ISTEXT(VLOOKUP('_Data inputs (reported)'!B103,countryname,2,FALSE)),IF(Introduction!$A$2="English",VLOOKUP('_Data inputs (reported)'!B103,countryname,2,FALSE),IF(Introduction!$A$2="French",VLOOKUP('_Data inputs (reported)'!B103,countryname,3,FALSE),IF(Introduction!$A$2="Spanish",VLOOKUP('_Data inputs (reported)'!B103,countryname,4,FALSE),IF(Introduction!$A$2="Russian",VLOOKUP('_Data inputs (reported)'!B103,countryname,5,FALSE),IF(Introduction!$A$2="Arabic",VLOOKUP('_Data inputs (reported)'!B103,countryname,6,FALSE),IF(Introduction!$A$2="Chinese",VLOOKUP('_Data inputs (reported)'!B103,countryname,7,FALSE),IF(Introduction!$A$2="Other",VLOOKUP('_Data inputs (reported)'!B103,countryname,8,FALSE)))))))),"")</f>
        <v/>
      </c>
      <c r="B103" s="1" t="str">
        <f>IF(ISTEXT('_Data inputs (reported)'!B103),'_Data inputs (reported)'!B103,"")</f>
        <v/>
      </c>
      <c r="C103" s="179" t="str">
        <f>IF(ISBLANK('_Data inputs (reported)'!C103),"",'_Data inputs (reported)'!C103)</f>
        <v/>
      </c>
      <c r="D103" s="105" t="str">
        <f>IF(ISTEXT(VLOOKUP('_Data inputs (reported)'!D103,nametranslations,1,FALSE)),IF(Introduction!$A$2="English",VLOOKUP('_Data inputs (reported)'!D103,nametranslations,1,FALSE),IF(Introduction!$A$2="Spanish",VLOOKUP('_Data inputs (reported)'!D103,nametranslations,2,FALSE),IF(Introduction!$A$2="French",VLOOKUP('_Data inputs (reported)'!D103,nametranslations,3,FALSE),IF(Introduction!$A$2="Arabic",VLOOKUP('_Data inputs (reported)'!D103,nametranslations,4,FALSE),IF(Introduction!$A$2="Russian",VLOOKUP('_Data inputs (reported)'!D103,nametranslations,5,FALSE),IF(Introduction!$A$2="Chinese",VLOOKUP('_Data inputs (reported)'!D103,nametranslations,6,FALSE),IF(Introduction!$A$2="Other",VLOOKUP('_Data inputs (reported)'!D103,nametranslations,7,FALSE)))))))),"")</f>
        <v/>
      </c>
      <c r="E103" s="1" t="str">
        <f>IF(ISTEXT('_Data inputs (reported)'!E103),'_Data inputs (reported)'!E103,"")</f>
        <v/>
      </c>
      <c r="F103" s="8" t="str">
        <f>IF(ISNUMBER('_Data inputs (reported)'!F103),'_Data inputs (reported)'!F103,"")</f>
        <v/>
      </c>
      <c r="G103" s="105" t="str">
        <f>IF(ISTEXT(VLOOKUP('_Data inputs (reported)'!G103,nametranslations,1,FALSE)),IF(Introduction!$A$2="English",VLOOKUP('_Data inputs (reported)'!G103,nametranslations,1,FALSE),IF(Introduction!$A$2="Spanish",VLOOKUP('_Data inputs (reported)'!G103,nametranslations,2,FALSE),IF(Introduction!$A$2="French",VLOOKUP('_Data inputs (reported)'!G103,nametranslations,3,FALSE),IF(Introduction!$A$2="Arabic",VLOOKUP('_Data inputs (reported)'!G103,nametranslations,4,FALSE),IF(Introduction!$A$2="Russian",VLOOKUP('_Data inputs (reported)'!G103,nametranslations,5,FALSE),IF(Introduction!$A$2="Chinese",VLOOKUP('_Data inputs (reported)'!G103,nametranslations,6,FALSE),IF(Introduction!$A$2="Other",VLOOKUP('_Data inputs (reported)'!G103,nametranslations,7,FALSE)))))))),"")</f>
        <v/>
      </c>
      <c r="H103" s="1" t="str">
        <f>IF(ISTEXT('_Data inputs (reported)'!H103),'_Data inputs (reported)'!H103,"")</f>
        <v/>
      </c>
      <c r="I103" s="42" t="str">
        <f>IF(ISNUMBER('_Data inputs (reported)'!I103),'_Data inputs (reported)'!I103,"")</f>
        <v/>
      </c>
      <c r="J103" s="1" t="str">
        <f>IF(ISTEXT('_Data inputs (reported)'!J103),'_Data inputs (reported)'!J103,"")</f>
        <v/>
      </c>
      <c r="K103" s="105" t="str">
        <f>IF(ISTEXT('_Data inputs (reported)'!K103),'_Data inputs (reported)'!K103,"")</f>
        <v/>
      </c>
      <c r="L103" s="105" t="str">
        <f>IF(ISTEXT('_Data inputs (reported)'!L103),'_Data inputs (reported)'!L103,"")</f>
        <v/>
      </c>
      <c r="M103" s="1" t="str">
        <f>IF(ISTEXT('_Data inputs (reported)'!M103),'_Data inputs (reported)'!M103,"")</f>
        <v/>
      </c>
      <c r="N103" s="105" t="str">
        <f>IF(ISTEXT('_Data inputs (reported)'!N103),'_Data inputs (reported)'!N103,"")</f>
        <v/>
      </c>
    </row>
    <row xmlns:x14ac="http://schemas.microsoft.com/office/spreadsheetml/2009/9/ac" r="104" x14ac:dyDescent="0.2">
      <c r="A104" s="105" t="str">
        <f>IF(ISTEXT(VLOOKUP('_Data inputs (reported)'!B104,countryname,2,FALSE)),IF(Introduction!$A$2="English",VLOOKUP('_Data inputs (reported)'!B104,countryname,2,FALSE),IF(Introduction!$A$2="French",VLOOKUP('_Data inputs (reported)'!B104,countryname,3,FALSE),IF(Introduction!$A$2="Spanish",VLOOKUP('_Data inputs (reported)'!B104,countryname,4,FALSE),IF(Introduction!$A$2="Russian",VLOOKUP('_Data inputs (reported)'!B104,countryname,5,FALSE),IF(Introduction!$A$2="Arabic",VLOOKUP('_Data inputs (reported)'!B104,countryname,6,FALSE),IF(Introduction!$A$2="Chinese",VLOOKUP('_Data inputs (reported)'!B104,countryname,7,FALSE),IF(Introduction!$A$2="Other",VLOOKUP('_Data inputs (reported)'!B104,countryname,8,FALSE)))))))),"")</f>
        <v/>
      </c>
      <c r="B104" s="1" t="str">
        <f>IF(ISTEXT('_Data inputs (reported)'!B104),'_Data inputs (reported)'!B104,"")</f>
        <v/>
      </c>
      <c r="C104" s="179" t="str">
        <f>IF(ISBLANK('_Data inputs (reported)'!C104),"",'_Data inputs (reported)'!C104)</f>
        <v/>
      </c>
      <c r="D104" s="105" t="str">
        <f>IF(ISTEXT(VLOOKUP('_Data inputs (reported)'!D104,nametranslations,1,FALSE)),IF(Introduction!$A$2="English",VLOOKUP('_Data inputs (reported)'!D104,nametranslations,1,FALSE),IF(Introduction!$A$2="Spanish",VLOOKUP('_Data inputs (reported)'!D104,nametranslations,2,FALSE),IF(Introduction!$A$2="French",VLOOKUP('_Data inputs (reported)'!D104,nametranslations,3,FALSE),IF(Introduction!$A$2="Arabic",VLOOKUP('_Data inputs (reported)'!D104,nametranslations,4,FALSE),IF(Introduction!$A$2="Russian",VLOOKUP('_Data inputs (reported)'!D104,nametranslations,5,FALSE),IF(Introduction!$A$2="Chinese",VLOOKUP('_Data inputs (reported)'!D104,nametranslations,6,FALSE),IF(Introduction!$A$2="Other",VLOOKUP('_Data inputs (reported)'!D104,nametranslations,7,FALSE)))))))),"")</f>
        <v/>
      </c>
      <c r="E104" s="1" t="str">
        <f>IF(ISTEXT('_Data inputs (reported)'!E104),'_Data inputs (reported)'!E104,"")</f>
        <v/>
      </c>
      <c r="F104" s="8" t="str">
        <f>IF(ISNUMBER('_Data inputs (reported)'!F104),'_Data inputs (reported)'!F104,"")</f>
        <v/>
      </c>
      <c r="G104" s="105" t="str">
        <f>IF(ISTEXT(VLOOKUP('_Data inputs (reported)'!G104,nametranslations,1,FALSE)),IF(Introduction!$A$2="English",VLOOKUP('_Data inputs (reported)'!G104,nametranslations,1,FALSE),IF(Introduction!$A$2="Spanish",VLOOKUP('_Data inputs (reported)'!G104,nametranslations,2,FALSE),IF(Introduction!$A$2="French",VLOOKUP('_Data inputs (reported)'!G104,nametranslations,3,FALSE),IF(Introduction!$A$2="Arabic",VLOOKUP('_Data inputs (reported)'!G104,nametranslations,4,FALSE),IF(Introduction!$A$2="Russian",VLOOKUP('_Data inputs (reported)'!G104,nametranslations,5,FALSE),IF(Introduction!$A$2="Chinese",VLOOKUP('_Data inputs (reported)'!G104,nametranslations,6,FALSE),IF(Introduction!$A$2="Other",VLOOKUP('_Data inputs (reported)'!G104,nametranslations,7,FALSE)))))))),"")</f>
        <v/>
      </c>
      <c r="H104" s="1" t="str">
        <f>IF(ISTEXT('_Data inputs (reported)'!H104),'_Data inputs (reported)'!H104,"")</f>
        <v/>
      </c>
      <c r="I104" s="42" t="str">
        <f>IF(ISNUMBER('_Data inputs (reported)'!I104),'_Data inputs (reported)'!I104,"")</f>
        <v/>
      </c>
      <c r="J104" s="1" t="str">
        <f>IF(ISTEXT('_Data inputs (reported)'!J104),'_Data inputs (reported)'!J104,"")</f>
        <v/>
      </c>
      <c r="K104" s="105" t="str">
        <f>IF(ISTEXT('_Data inputs (reported)'!K104),'_Data inputs (reported)'!K104,"")</f>
        <v/>
      </c>
      <c r="L104" s="105" t="str">
        <f>IF(ISTEXT('_Data inputs (reported)'!L104),'_Data inputs (reported)'!L104,"")</f>
        <v/>
      </c>
      <c r="M104" s="1" t="str">
        <f>IF(ISTEXT('_Data inputs (reported)'!M104),'_Data inputs (reported)'!M104,"")</f>
        <v/>
      </c>
      <c r="N104" s="105" t="str">
        <f>IF(ISTEXT('_Data inputs (reported)'!N104),'_Data inputs (reported)'!N104,"")</f>
        <v/>
      </c>
    </row>
    <row xmlns:x14ac="http://schemas.microsoft.com/office/spreadsheetml/2009/9/ac" r="105" x14ac:dyDescent="0.2">
      <c r="A105" s="105" t="str">
        <f>IF(ISTEXT(VLOOKUP('_Data inputs (reported)'!B105,countryname,2,FALSE)),IF(Introduction!$A$2="English",VLOOKUP('_Data inputs (reported)'!B105,countryname,2,FALSE),IF(Introduction!$A$2="French",VLOOKUP('_Data inputs (reported)'!B105,countryname,3,FALSE),IF(Introduction!$A$2="Spanish",VLOOKUP('_Data inputs (reported)'!B105,countryname,4,FALSE),IF(Introduction!$A$2="Russian",VLOOKUP('_Data inputs (reported)'!B105,countryname,5,FALSE),IF(Introduction!$A$2="Arabic",VLOOKUP('_Data inputs (reported)'!B105,countryname,6,FALSE),IF(Introduction!$A$2="Chinese",VLOOKUP('_Data inputs (reported)'!B105,countryname,7,FALSE),IF(Introduction!$A$2="Other",VLOOKUP('_Data inputs (reported)'!B105,countryname,8,FALSE)))))))),"")</f>
        <v/>
      </c>
      <c r="B105" s="1" t="str">
        <f>IF(ISTEXT('_Data inputs (reported)'!B105),'_Data inputs (reported)'!B105,"")</f>
        <v/>
      </c>
      <c r="C105" s="179" t="str">
        <f>IF(ISBLANK('_Data inputs (reported)'!C105),"",'_Data inputs (reported)'!C105)</f>
        <v/>
      </c>
      <c r="D105" s="105" t="str">
        <f>IF(ISTEXT(VLOOKUP('_Data inputs (reported)'!D105,nametranslations,1,FALSE)),IF(Introduction!$A$2="English",VLOOKUP('_Data inputs (reported)'!D105,nametranslations,1,FALSE),IF(Introduction!$A$2="Spanish",VLOOKUP('_Data inputs (reported)'!D105,nametranslations,2,FALSE),IF(Introduction!$A$2="French",VLOOKUP('_Data inputs (reported)'!D105,nametranslations,3,FALSE),IF(Introduction!$A$2="Arabic",VLOOKUP('_Data inputs (reported)'!D105,nametranslations,4,FALSE),IF(Introduction!$A$2="Russian",VLOOKUP('_Data inputs (reported)'!D105,nametranslations,5,FALSE),IF(Introduction!$A$2="Chinese",VLOOKUP('_Data inputs (reported)'!D105,nametranslations,6,FALSE),IF(Introduction!$A$2="Other",VLOOKUP('_Data inputs (reported)'!D105,nametranslations,7,FALSE)))))))),"")</f>
        <v/>
      </c>
      <c r="E105" s="1" t="str">
        <f>IF(ISTEXT('_Data inputs (reported)'!E105),'_Data inputs (reported)'!E105,"")</f>
        <v/>
      </c>
      <c r="F105" s="8" t="str">
        <f>IF(ISNUMBER('_Data inputs (reported)'!F105),'_Data inputs (reported)'!F105,"")</f>
        <v/>
      </c>
      <c r="G105" s="105" t="str">
        <f>IF(ISTEXT(VLOOKUP('_Data inputs (reported)'!G105,nametranslations,1,FALSE)),IF(Introduction!$A$2="English",VLOOKUP('_Data inputs (reported)'!G105,nametranslations,1,FALSE),IF(Introduction!$A$2="Spanish",VLOOKUP('_Data inputs (reported)'!G105,nametranslations,2,FALSE),IF(Introduction!$A$2="French",VLOOKUP('_Data inputs (reported)'!G105,nametranslations,3,FALSE),IF(Introduction!$A$2="Arabic",VLOOKUP('_Data inputs (reported)'!G105,nametranslations,4,FALSE),IF(Introduction!$A$2="Russian",VLOOKUP('_Data inputs (reported)'!G105,nametranslations,5,FALSE),IF(Introduction!$A$2="Chinese",VLOOKUP('_Data inputs (reported)'!G105,nametranslations,6,FALSE),IF(Introduction!$A$2="Other",VLOOKUP('_Data inputs (reported)'!G105,nametranslations,7,FALSE)))))))),"")</f>
        <v/>
      </c>
      <c r="H105" s="1" t="str">
        <f>IF(ISTEXT('_Data inputs (reported)'!H105),'_Data inputs (reported)'!H105,"")</f>
        <v/>
      </c>
      <c r="I105" s="42" t="str">
        <f>IF(ISNUMBER('_Data inputs (reported)'!I105),'_Data inputs (reported)'!I105,"")</f>
        <v/>
      </c>
      <c r="J105" s="1" t="str">
        <f>IF(ISTEXT('_Data inputs (reported)'!J105),'_Data inputs (reported)'!J105,"")</f>
        <v/>
      </c>
      <c r="K105" s="105" t="str">
        <f>IF(ISTEXT('_Data inputs (reported)'!K105),'_Data inputs (reported)'!K105,"")</f>
        <v/>
      </c>
      <c r="L105" s="105" t="str">
        <f>IF(ISTEXT('_Data inputs (reported)'!L105),'_Data inputs (reported)'!L105,"")</f>
        <v/>
      </c>
      <c r="M105" s="1" t="str">
        <f>IF(ISTEXT('_Data inputs (reported)'!M105),'_Data inputs (reported)'!M105,"")</f>
        <v/>
      </c>
      <c r="N105" s="105" t="str">
        <f>IF(ISTEXT('_Data inputs (reported)'!N105),'_Data inputs (reported)'!N105,"")</f>
        <v/>
      </c>
    </row>
    <row xmlns:x14ac="http://schemas.microsoft.com/office/spreadsheetml/2009/9/ac" r="106" x14ac:dyDescent="0.2">
      <c r="A106" s="105" t="str">
        <f>IF(ISTEXT(VLOOKUP('_Data inputs (reported)'!B106,countryname,2,FALSE)),IF(Introduction!$A$2="English",VLOOKUP('_Data inputs (reported)'!B106,countryname,2,FALSE),IF(Introduction!$A$2="French",VLOOKUP('_Data inputs (reported)'!B106,countryname,3,FALSE),IF(Introduction!$A$2="Spanish",VLOOKUP('_Data inputs (reported)'!B106,countryname,4,FALSE),IF(Introduction!$A$2="Russian",VLOOKUP('_Data inputs (reported)'!B106,countryname,5,FALSE),IF(Introduction!$A$2="Arabic",VLOOKUP('_Data inputs (reported)'!B106,countryname,6,FALSE),IF(Introduction!$A$2="Chinese",VLOOKUP('_Data inputs (reported)'!B106,countryname,7,FALSE),IF(Introduction!$A$2="Other",VLOOKUP('_Data inputs (reported)'!B106,countryname,8,FALSE)))))))),"")</f>
        <v/>
      </c>
      <c r="B106" s="1" t="str">
        <f>IF(ISTEXT('_Data inputs (reported)'!B106),'_Data inputs (reported)'!B106,"")</f>
        <v/>
      </c>
      <c r="C106" s="179" t="str">
        <f>IF(ISBLANK('_Data inputs (reported)'!C106),"",'_Data inputs (reported)'!C106)</f>
        <v/>
      </c>
      <c r="D106" s="105" t="str">
        <f>IF(ISTEXT(VLOOKUP('_Data inputs (reported)'!D106,nametranslations,1,FALSE)),IF(Introduction!$A$2="English",VLOOKUP('_Data inputs (reported)'!D106,nametranslations,1,FALSE),IF(Introduction!$A$2="Spanish",VLOOKUP('_Data inputs (reported)'!D106,nametranslations,2,FALSE),IF(Introduction!$A$2="French",VLOOKUP('_Data inputs (reported)'!D106,nametranslations,3,FALSE),IF(Introduction!$A$2="Arabic",VLOOKUP('_Data inputs (reported)'!D106,nametranslations,4,FALSE),IF(Introduction!$A$2="Russian",VLOOKUP('_Data inputs (reported)'!D106,nametranslations,5,FALSE),IF(Introduction!$A$2="Chinese",VLOOKUP('_Data inputs (reported)'!D106,nametranslations,6,FALSE),IF(Introduction!$A$2="Other",VLOOKUP('_Data inputs (reported)'!D106,nametranslations,7,FALSE)))))))),"")</f>
        <v/>
      </c>
      <c r="E106" s="1" t="str">
        <f>IF(ISTEXT('_Data inputs (reported)'!E106),'_Data inputs (reported)'!E106,"")</f>
        <v/>
      </c>
      <c r="F106" s="8" t="str">
        <f>IF(ISNUMBER('_Data inputs (reported)'!F106),'_Data inputs (reported)'!F106,"")</f>
        <v/>
      </c>
      <c r="G106" s="105" t="str">
        <f>IF(ISTEXT(VLOOKUP('_Data inputs (reported)'!G106,nametranslations,1,FALSE)),IF(Introduction!$A$2="English",VLOOKUP('_Data inputs (reported)'!G106,nametranslations,1,FALSE),IF(Introduction!$A$2="Spanish",VLOOKUP('_Data inputs (reported)'!G106,nametranslations,2,FALSE),IF(Introduction!$A$2="French",VLOOKUP('_Data inputs (reported)'!G106,nametranslations,3,FALSE),IF(Introduction!$A$2="Arabic",VLOOKUP('_Data inputs (reported)'!G106,nametranslations,4,FALSE),IF(Introduction!$A$2="Russian",VLOOKUP('_Data inputs (reported)'!G106,nametranslations,5,FALSE),IF(Introduction!$A$2="Chinese",VLOOKUP('_Data inputs (reported)'!G106,nametranslations,6,FALSE),IF(Introduction!$A$2="Other",VLOOKUP('_Data inputs (reported)'!G106,nametranslations,7,FALSE)))))))),"")</f>
        <v/>
      </c>
      <c r="H106" s="1" t="str">
        <f>IF(ISTEXT('_Data inputs (reported)'!H106),'_Data inputs (reported)'!H106,"")</f>
        <v/>
      </c>
      <c r="I106" s="42" t="str">
        <f>IF(ISNUMBER('_Data inputs (reported)'!I106),'_Data inputs (reported)'!I106,"")</f>
        <v/>
      </c>
      <c r="J106" s="1" t="str">
        <f>IF(ISTEXT('_Data inputs (reported)'!J106),'_Data inputs (reported)'!J106,"")</f>
        <v/>
      </c>
      <c r="K106" s="105" t="str">
        <f>IF(ISTEXT('_Data inputs (reported)'!K106),'_Data inputs (reported)'!K106,"")</f>
        <v/>
      </c>
      <c r="L106" s="105" t="str">
        <f>IF(ISTEXT('_Data inputs (reported)'!L106),'_Data inputs (reported)'!L106,"")</f>
        <v/>
      </c>
      <c r="M106" s="1" t="str">
        <f>IF(ISTEXT('_Data inputs (reported)'!M106),'_Data inputs (reported)'!M106,"")</f>
        <v/>
      </c>
      <c r="N106" s="105" t="str">
        <f>IF(ISTEXT('_Data inputs (reported)'!N106),'_Data inputs (reported)'!N106,"")</f>
        <v/>
      </c>
    </row>
    <row xmlns:x14ac="http://schemas.microsoft.com/office/spreadsheetml/2009/9/ac" r="107" x14ac:dyDescent="0.2">
      <c r="A107" s="105" t="str">
        <f>IF(ISTEXT(VLOOKUP('_Data inputs (reported)'!B107,countryname,2,FALSE)),IF(Introduction!$A$2="English",VLOOKUP('_Data inputs (reported)'!B107,countryname,2,FALSE),IF(Introduction!$A$2="French",VLOOKUP('_Data inputs (reported)'!B107,countryname,3,FALSE),IF(Introduction!$A$2="Spanish",VLOOKUP('_Data inputs (reported)'!B107,countryname,4,FALSE),IF(Introduction!$A$2="Russian",VLOOKUP('_Data inputs (reported)'!B107,countryname,5,FALSE),IF(Introduction!$A$2="Arabic",VLOOKUP('_Data inputs (reported)'!B107,countryname,6,FALSE),IF(Introduction!$A$2="Chinese",VLOOKUP('_Data inputs (reported)'!B107,countryname,7,FALSE),IF(Introduction!$A$2="Other",VLOOKUP('_Data inputs (reported)'!B107,countryname,8,FALSE)))))))),"")</f>
        <v/>
      </c>
      <c r="B107" s="1" t="str">
        <f>IF(ISTEXT('_Data inputs (reported)'!B107),'_Data inputs (reported)'!B107,"")</f>
        <v/>
      </c>
      <c r="C107" s="179" t="str">
        <f>IF(ISBLANK('_Data inputs (reported)'!C107),"",'_Data inputs (reported)'!C107)</f>
        <v/>
      </c>
      <c r="D107" s="105" t="str">
        <f>IF(ISTEXT(VLOOKUP('_Data inputs (reported)'!D107,nametranslations,1,FALSE)),IF(Introduction!$A$2="English",VLOOKUP('_Data inputs (reported)'!D107,nametranslations,1,FALSE),IF(Introduction!$A$2="Spanish",VLOOKUP('_Data inputs (reported)'!D107,nametranslations,2,FALSE),IF(Introduction!$A$2="French",VLOOKUP('_Data inputs (reported)'!D107,nametranslations,3,FALSE),IF(Introduction!$A$2="Arabic",VLOOKUP('_Data inputs (reported)'!D107,nametranslations,4,FALSE),IF(Introduction!$A$2="Russian",VLOOKUP('_Data inputs (reported)'!D107,nametranslations,5,FALSE),IF(Introduction!$A$2="Chinese",VLOOKUP('_Data inputs (reported)'!D107,nametranslations,6,FALSE),IF(Introduction!$A$2="Other",VLOOKUP('_Data inputs (reported)'!D107,nametranslations,7,FALSE)))))))),"")</f>
        <v/>
      </c>
      <c r="E107" s="1" t="str">
        <f>IF(ISTEXT('_Data inputs (reported)'!E107),'_Data inputs (reported)'!E107,"")</f>
        <v/>
      </c>
      <c r="F107" s="8" t="str">
        <f>IF(ISNUMBER('_Data inputs (reported)'!F107),'_Data inputs (reported)'!F107,"")</f>
        <v/>
      </c>
      <c r="G107" s="105" t="str">
        <f>IF(ISTEXT(VLOOKUP('_Data inputs (reported)'!G107,nametranslations,1,FALSE)),IF(Introduction!$A$2="English",VLOOKUP('_Data inputs (reported)'!G107,nametranslations,1,FALSE),IF(Introduction!$A$2="Spanish",VLOOKUP('_Data inputs (reported)'!G107,nametranslations,2,FALSE),IF(Introduction!$A$2="French",VLOOKUP('_Data inputs (reported)'!G107,nametranslations,3,FALSE),IF(Introduction!$A$2="Arabic",VLOOKUP('_Data inputs (reported)'!G107,nametranslations,4,FALSE),IF(Introduction!$A$2="Russian",VLOOKUP('_Data inputs (reported)'!G107,nametranslations,5,FALSE),IF(Introduction!$A$2="Chinese",VLOOKUP('_Data inputs (reported)'!G107,nametranslations,6,FALSE),IF(Introduction!$A$2="Other",VLOOKUP('_Data inputs (reported)'!G107,nametranslations,7,FALSE)))))))),"")</f>
        <v/>
      </c>
      <c r="H107" s="1" t="str">
        <f>IF(ISTEXT('_Data inputs (reported)'!H107),'_Data inputs (reported)'!H107,"")</f>
        <v/>
      </c>
      <c r="I107" s="42" t="str">
        <f>IF(ISNUMBER('_Data inputs (reported)'!I107),'_Data inputs (reported)'!I107,"")</f>
        <v/>
      </c>
      <c r="J107" s="1" t="str">
        <f>IF(ISTEXT('_Data inputs (reported)'!J107),'_Data inputs (reported)'!J107,"")</f>
        <v/>
      </c>
      <c r="K107" s="105" t="str">
        <f>IF(ISTEXT('_Data inputs (reported)'!K107),'_Data inputs (reported)'!K107,"")</f>
        <v/>
      </c>
      <c r="L107" s="105" t="str">
        <f>IF(ISTEXT('_Data inputs (reported)'!L107),'_Data inputs (reported)'!L107,"")</f>
        <v/>
      </c>
      <c r="M107" s="1" t="str">
        <f>IF(ISTEXT('_Data inputs (reported)'!M107),'_Data inputs (reported)'!M107,"")</f>
        <v/>
      </c>
      <c r="N107" s="105" t="str">
        <f>IF(ISTEXT('_Data inputs (reported)'!N107),'_Data inputs (reported)'!N107,"")</f>
        <v/>
      </c>
    </row>
    <row xmlns:x14ac="http://schemas.microsoft.com/office/spreadsheetml/2009/9/ac" r="108" x14ac:dyDescent="0.2">
      <c r="A108" s="105" t="str">
        <f>IF(ISTEXT(VLOOKUP('_Data inputs (reported)'!B108,countryname,2,FALSE)),IF(Introduction!$A$2="English",VLOOKUP('_Data inputs (reported)'!B108,countryname,2,FALSE),IF(Introduction!$A$2="French",VLOOKUP('_Data inputs (reported)'!B108,countryname,3,FALSE),IF(Introduction!$A$2="Spanish",VLOOKUP('_Data inputs (reported)'!B108,countryname,4,FALSE),IF(Introduction!$A$2="Russian",VLOOKUP('_Data inputs (reported)'!B108,countryname,5,FALSE),IF(Introduction!$A$2="Arabic",VLOOKUP('_Data inputs (reported)'!B108,countryname,6,FALSE),IF(Introduction!$A$2="Chinese",VLOOKUP('_Data inputs (reported)'!B108,countryname,7,FALSE),IF(Introduction!$A$2="Other",VLOOKUP('_Data inputs (reported)'!B108,countryname,8,FALSE)))))))),"")</f>
        <v/>
      </c>
      <c r="B108" s="1" t="str">
        <f>IF(ISTEXT('_Data inputs (reported)'!B108),'_Data inputs (reported)'!B108,"")</f>
        <v/>
      </c>
      <c r="C108" s="179" t="str">
        <f>IF(ISBLANK('_Data inputs (reported)'!C108),"",'_Data inputs (reported)'!C108)</f>
        <v/>
      </c>
      <c r="D108" s="105" t="str">
        <f>IF(ISTEXT(VLOOKUP('_Data inputs (reported)'!D108,nametranslations,1,FALSE)),IF(Introduction!$A$2="English",VLOOKUP('_Data inputs (reported)'!D108,nametranslations,1,FALSE),IF(Introduction!$A$2="Spanish",VLOOKUP('_Data inputs (reported)'!D108,nametranslations,2,FALSE),IF(Introduction!$A$2="French",VLOOKUP('_Data inputs (reported)'!D108,nametranslations,3,FALSE),IF(Introduction!$A$2="Arabic",VLOOKUP('_Data inputs (reported)'!D108,nametranslations,4,FALSE),IF(Introduction!$A$2="Russian",VLOOKUP('_Data inputs (reported)'!D108,nametranslations,5,FALSE),IF(Introduction!$A$2="Chinese",VLOOKUP('_Data inputs (reported)'!D108,nametranslations,6,FALSE),IF(Introduction!$A$2="Other",VLOOKUP('_Data inputs (reported)'!D108,nametranslations,7,FALSE)))))))),"")</f>
        <v/>
      </c>
      <c r="E108" s="1" t="str">
        <f>IF(ISTEXT('_Data inputs (reported)'!E108),'_Data inputs (reported)'!E108,"")</f>
        <v/>
      </c>
      <c r="F108" s="8" t="str">
        <f>IF(ISNUMBER('_Data inputs (reported)'!F108),'_Data inputs (reported)'!F108,"")</f>
        <v/>
      </c>
      <c r="G108" s="105" t="str">
        <f>IF(ISTEXT(VLOOKUP('_Data inputs (reported)'!G108,nametranslations,1,FALSE)),IF(Introduction!$A$2="English",VLOOKUP('_Data inputs (reported)'!G108,nametranslations,1,FALSE),IF(Introduction!$A$2="Spanish",VLOOKUP('_Data inputs (reported)'!G108,nametranslations,2,FALSE),IF(Introduction!$A$2="French",VLOOKUP('_Data inputs (reported)'!G108,nametranslations,3,FALSE),IF(Introduction!$A$2="Arabic",VLOOKUP('_Data inputs (reported)'!G108,nametranslations,4,FALSE),IF(Introduction!$A$2="Russian",VLOOKUP('_Data inputs (reported)'!G108,nametranslations,5,FALSE),IF(Introduction!$A$2="Chinese",VLOOKUP('_Data inputs (reported)'!G108,nametranslations,6,FALSE),IF(Introduction!$A$2="Other",VLOOKUP('_Data inputs (reported)'!G108,nametranslations,7,FALSE)))))))),"")</f>
        <v/>
      </c>
      <c r="H108" s="1" t="str">
        <f>IF(ISTEXT('_Data inputs (reported)'!H108),'_Data inputs (reported)'!H108,"")</f>
        <v/>
      </c>
      <c r="I108" s="42" t="str">
        <f>IF(ISNUMBER('_Data inputs (reported)'!I108),'_Data inputs (reported)'!I108,"")</f>
        <v/>
      </c>
      <c r="J108" s="1" t="str">
        <f>IF(ISTEXT('_Data inputs (reported)'!J108),'_Data inputs (reported)'!J108,"")</f>
        <v/>
      </c>
      <c r="K108" s="105" t="str">
        <f>IF(ISTEXT('_Data inputs (reported)'!K108),'_Data inputs (reported)'!K108,"")</f>
        <v/>
      </c>
      <c r="L108" s="105" t="str">
        <f>IF(ISTEXT('_Data inputs (reported)'!L108),'_Data inputs (reported)'!L108,"")</f>
        <v/>
      </c>
      <c r="M108" s="1" t="str">
        <f>IF(ISTEXT('_Data inputs (reported)'!M108),'_Data inputs (reported)'!M108,"")</f>
        <v/>
      </c>
      <c r="N108" s="105" t="str">
        <f>IF(ISTEXT('_Data inputs (reported)'!N108),'_Data inputs (reported)'!N108,"")</f>
        <v/>
      </c>
    </row>
    <row xmlns:x14ac="http://schemas.microsoft.com/office/spreadsheetml/2009/9/ac" r="109" x14ac:dyDescent="0.2">
      <c r="A109" s="105" t="str">
        <f>IF(ISTEXT(VLOOKUP('_Data inputs (reported)'!B109,countryname,2,FALSE)),IF(Introduction!$A$2="English",VLOOKUP('_Data inputs (reported)'!B109,countryname,2,FALSE),IF(Introduction!$A$2="French",VLOOKUP('_Data inputs (reported)'!B109,countryname,3,FALSE),IF(Introduction!$A$2="Spanish",VLOOKUP('_Data inputs (reported)'!B109,countryname,4,FALSE),IF(Introduction!$A$2="Russian",VLOOKUP('_Data inputs (reported)'!B109,countryname,5,FALSE),IF(Introduction!$A$2="Arabic",VLOOKUP('_Data inputs (reported)'!B109,countryname,6,FALSE),IF(Introduction!$A$2="Chinese",VLOOKUP('_Data inputs (reported)'!B109,countryname,7,FALSE),IF(Introduction!$A$2="Other",VLOOKUP('_Data inputs (reported)'!B109,countryname,8,FALSE)))))))),"")</f>
        <v/>
      </c>
      <c r="B109" s="1" t="str">
        <f>IF(ISTEXT('_Data inputs (reported)'!B109),'_Data inputs (reported)'!B109,"")</f>
        <v/>
      </c>
      <c r="C109" s="179" t="str">
        <f>IF(ISBLANK('_Data inputs (reported)'!C109),"",'_Data inputs (reported)'!C109)</f>
        <v/>
      </c>
      <c r="D109" s="105" t="str">
        <f>IF(ISTEXT(VLOOKUP('_Data inputs (reported)'!D109,nametranslations,1,FALSE)),IF(Introduction!$A$2="English",VLOOKUP('_Data inputs (reported)'!D109,nametranslations,1,FALSE),IF(Introduction!$A$2="Spanish",VLOOKUP('_Data inputs (reported)'!D109,nametranslations,2,FALSE),IF(Introduction!$A$2="French",VLOOKUP('_Data inputs (reported)'!D109,nametranslations,3,FALSE),IF(Introduction!$A$2="Arabic",VLOOKUP('_Data inputs (reported)'!D109,nametranslations,4,FALSE),IF(Introduction!$A$2="Russian",VLOOKUP('_Data inputs (reported)'!D109,nametranslations,5,FALSE),IF(Introduction!$A$2="Chinese",VLOOKUP('_Data inputs (reported)'!D109,nametranslations,6,FALSE),IF(Introduction!$A$2="Other",VLOOKUP('_Data inputs (reported)'!D109,nametranslations,7,FALSE)))))))),"")</f>
        <v/>
      </c>
      <c r="E109" s="1" t="str">
        <f>IF(ISTEXT('_Data inputs (reported)'!E109),'_Data inputs (reported)'!E109,"")</f>
        <v/>
      </c>
      <c r="F109" s="8" t="str">
        <f>IF(ISNUMBER('_Data inputs (reported)'!F109),'_Data inputs (reported)'!F109,"")</f>
        <v/>
      </c>
      <c r="G109" s="105" t="str">
        <f>IF(ISTEXT(VLOOKUP('_Data inputs (reported)'!G109,nametranslations,1,FALSE)),IF(Introduction!$A$2="English",VLOOKUP('_Data inputs (reported)'!G109,nametranslations,1,FALSE),IF(Introduction!$A$2="Spanish",VLOOKUP('_Data inputs (reported)'!G109,nametranslations,2,FALSE),IF(Introduction!$A$2="French",VLOOKUP('_Data inputs (reported)'!G109,nametranslations,3,FALSE),IF(Introduction!$A$2="Arabic",VLOOKUP('_Data inputs (reported)'!G109,nametranslations,4,FALSE),IF(Introduction!$A$2="Russian",VLOOKUP('_Data inputs (reported)'!G109,nametranslations,5,FALSE),IF(Introduction!$A$2="Chinese",VLOOKUP('_Data inputs (reported)'!G109,nametranslations,6,FALSE),IF(Introduction!$A$2="Other",VLOOKUP('_Data inputs (reported)'!G109,nametranslations,7,FALSE)))))))),"")</f>
        <v/>
      </c>
      <c r="H109" s="1" t="str">
        <f>IF(ISTEXT('_Data inputs (reported)'!H109),'_Data inputs (reported)'!H109,"")</f>
        <v/>
      </c>
      <c r="I109" s="42" t="str">
        <f>IF(ISNUMBER('_Data inputs (reported)'!I109),'_Data inputs (reported)'!I109,"")</f>
        <v/>
      </c>
      <c r="J109" s="1" t="str">
        <f>IF(ISTEXT('_Data inputs (reported)'!J109),'_Data inputs (reported)'!J109,"")</f>
        <v/>
      </c>
      <c r="K109" s="105" t="str">
        <f>IF(ISTEXT('_Data inputs (reported)'!K109),'_Data inputs (reported)'!K109,"")</f>
        <v/>
      </c>
      <c r="L109" s="105" t="str">
        <f>IF(ISTEXT('_Data inputs (reported)'!L109),'_Data inputs (reported)'!L109,"")</f>
        <v/>
      </c>
      <c r="M109" s="1" t="str">
        <f>IF(ISTEXT('_Data inputs (reported)'!M109),'_Data inputs (reported)'!M109,"")</f>
        <v/>
      </c>
      <c r="N109" s="105" t="str">
        <f>IF(ISTEXT('_Data inputs (reported)'!N109),'_Data inputs (reported)'!N109,"")</f>
        <v/>
      </c>
    </row>
    <row xmlns:x14ac="http://schemas.microsoft.com/office/spreadsheetml/2009/9/ac" r="110" x14ac:dyDescent="0.2">
      <c r="A110" s="105" t="str">
        <f>IF(ISTEXT(VLOOKUP('_Data inputs (reported)'!B110,countryname,2,FALSE)),IF(Introduction!$A$2="English",VLOOKUP('_Data inputs (reported)'!B110,countryname,2,FALSE),IF(Introduction!$A$2="French",VLOOKUP('_Data inputs (reported)'!B110,countryname,3,FALSE),IF(Introduction!$A$2="Spanish",VLOOKUP('_Data inputs (reported)'!B110,countryname,4,FALSE),IF(Introduction!$A$2="Russian",VLOOKUP('_Data inputs (reported)'!B110,countryname,5,FALSE),IF(Introduction!$A$2="Arabic",VLOOKUP('_Data inputs (reported)'!B110,countryname,6,FALSE),IF(Introduction!$A$2="Chinese",VLOOKUP('_Data inputs (reported)'!B110,countryname,7,FALSE),IF(Introduction!$A$2="Other",VLOOKUP('_Data inputs (reported)'!B110,countryname,8,FALSE)))))))),"")</f>
        <v/>
      </c>
      <c r="B110" s="1" t="str">
        <f>IF(ISTEXT('_Data inputs (reported)'!B110),'_Data inputs (reported)'!B110,"")</f>
        <v/>
      </c>
      <c r="C110" s="179" t="str">
        <f>IF(ISBLANK('_Data inputs (reported)'!C110),"",'_Data inputs (reported)'!C110)</f>
        <v/>
      </c>
      <c r="D110" s="105" t="str">
        <f>IF(ISTEXT(VLOOKUP('_Data inputs (reported)'!D110,nametranslations,1,FALSE)),IF(Introduction!$A$2="English",VLOOKUP('_Data inputs (reported)'!D110,nametranslations,1,FALSE),IF(Introduction!$A$2="Spanish",VLOOKUP('_Data inputs (reported)'!D110,nametranslations,2,FALSE),IF(Introduction!$A$2="French",VLOOKUP('_Data inputs (reported)'!D110,nametranslations,3,FALSE),IF(Introduction!$A$2="Arabic",VLOOKUP('_Data inputs (reported)'!D110,nametranslations,4,FALSE),IF(Introduction!$A$2="Russian",VLOOKUP('_Data inputs (reported)'!D110,nametranslations,5,FALSE),IF(Introduction!$A$2="Chinese",VLOOKUP('_Data inputs (reported)'!D110,nametranslations,6,FALSE),IF(Introduction!$A$2="Other",VLOOKUP('_Data inputs (reported)'!D110,nametranslations,7,FALSE)))))))),"")</f>
        <v/>
      </c>
      <c r="E110" s="1" t="str">
        <f>IF(ISTEXT('_Data inputs (reported)'!E110),'_Data inputs (reported)'!E110,"")</f>
        <v/>
      </c>
      <c r="F110" s="8" t="str">
        <f>IF(ISNUMBER('_Data inputs (reported)'!F110),'_Data inputs (reported)'!F110,"")</f>
        <v/>
      </c>
      <c r="G110" s="105" t="str">
        <f>IF(ISTEXT(VLOOKUP('_Data inputs (reported)'!G110,nametranslations,1,FALSE)),IF(Introduction!$A$2="English",VLOOKUP('_Data inputs (reported)'!G110,nametranslations,1,FALSE),IF(Introduction!$A$2="Spanish",VLOOKUP('_Data inputs (reported)'!G110,nametranslations,2,FALSE),IF(Introduction!$A$2="French",VLOOKUP('_Data inputs (reported)'!G110,nametranslations,3,FALSE),IF(Introduction!$A$2="Arabic",VLOOKUP('_Data inputs (reported)'!G110,nametranslations,4,FALSE),IF(Introduction!$A$2="Russian",VLOOKUP('_Data inputs (reported)'!G110,nametranslations,5,FALSE),IF(Introduction!$A$2="Chinese",VLOOKUP('_Data inputs (reported)'!G110,nametranslations,6,FALSE),IF(Introduction!$A$2="Other",VLOOKUP('_Data inputs (reported)'!G110,nametranslations,7,FALSE)))))))),"")</f>
        <v/>
      </c>
      <c r="H110" s="1" t="str">
        <f>IF(ISTEXT('_Data inputs (reported)'!H110),'_Data inputs (reported)'!H110,"")</f>
        <v/>
      </c>
      <c r="I110" s="42" t="str">
        <f>IF(ISNUMBER('_Data inputs (reported)'!I110),'_Data inputs (reported)'!I110,"")</f>
        <v/>
      </c>
      <c r="J110" s="1" t="str">
        <f>IF(ISTEXT('_Data inputs (reported)'!J110),'_Data inputs (reported)'!J110,"")</f>
        <v/>
      </c>
      <c r="K110" s="105" t="str">
        <f>IF(ISTEXT('_Data inputs (reported)'!K110),'_Data inputs (reported)'!K110,"")</f>
        <v/>
      </c>
      <c r="L110" s="105" t="str">
        <f>IF(ISTEXT('_Data inputs (reported)'!L110),'_Data inputs (reported)'!L110,"")</f>
        <v/>
      </c>
      <c r="M110" s="1" t="str">
        <f>IF(ISTEXT('_Data inputs (reported)'!M110),'_Data inputs (reported)'!M110,"")</f>
        <v/>
      </c>
      <c r="N110" s="105" t="str">
        <f>IF(ISTEXT('_Data inputs (reported)'!N110),'_Data inputs (reported)'!N110,"")</f>
        <v/>
      </c>
    </row>
    <row xmlns:x14ac="http://schemas.microsoft.com/office/spreadsheetml/2009/9/ac" r="111" x14ac:dyDescent="0.2">
      <c r="A111" s="105" t="str">
        <f>IF(ISTEXT(VLOOKUP('_Data inputs (reported)'!B111,countryname,2,FALSE)),IF(Introduction!$A$2="English",VLOOKUP('_Data inputs (reported)'!B111,countryname,2,FALSE),IF(Introduction!$A$2="French",VLOOKUP('_Data inputs (reported)'!B111,countryname,3,FALSE),IF(Introduction!$A$2="Spanish",VLOOKUP('_Data inputs (reported)'!B111,countryname,4,FALSE),IF(Introduction!$A$2="Russian",VLOOKUP('_Data inputs (reported)'!B111,countryname,5,FALSE),IF(Introduction!$A$2="Arabic",VLOOKUP('_Data inputs (reported)'!B111,countryname,6,FALSE),IF(Introduction!$A$2="Chinese",VLOOKUP('_Data inputs (reported)'!B111,countryname,7,FALSE),IF(Introduction!$A$2="Other",VLOOKUP('_Data inputs (reported)'!B111,countryname,8,FALSE)))))))),"")</f>
        <v/>
      </c>
      <c r="B111" s="1" t="str">
        <f>IF(ISTEXT('_Data inputs (reported)'!B111),'_Data inputs (reported)'!B111,"")</f>
        <v/>
      </c>
      <c r="C111" s="179" t="str">
        <f>IF(ISBLANK('_Data inputs (reported)'!C111),"",'_Data inputs (reported)'!C111)</f>
        <v/>
      </c>
      <c r="D111" s="105" t="str">
        <f>IF(ISTEXT(VLOOKUP('_Data inputs (reported)'!D111,nametranslations,1,FALSE)),IF(Introduction!$A$2="English",VLOOKUP('_Data inputs (reported)'!D111,nametranslations,1,FALSE),IF(Introduction!$A$2="Spanish",VLOOKUP('_Data inputs (reported)'!D111,nametranslations,2,FALSE),IF(Introduction!$A$2="French",VLOOKUP('_Data inputs (reported)'!D111,nametranslations,3,FALSE),IF(Introduction!$A$2="Arabic",VLOOKUP('_Data inputs (reported)'!D111,nametranslations,4,FALSE),IF(Introduction!$A$2="Russian",VLOOKUP('_Data inputs (reported)'!D111,nametranslations,5,FALSE),IF(Introduction!$A$2="Chinese",VLOOKUP('_Data inputs (reported)'!D111,nametranslations,6,FALSE),IF(Introduction!$A$2="Other",VLOOKUP('_Data inputs (reported)'!D111,nametranslations,7,FALSE)))))))),"")</f>
        <v/>
      </c>
      <c r="E111" s="1" t="str">
        <f>IF(ISTEXT('_Data inputs (reported)'!E111),'_Data inputs (reported)'!E111,"")</f>
        <v/>
      </c>
      <c r="F111" s="8" t="str">
        <f>IF(ISNUMBER('_Data inputs (reported)'!F111),'_Data inputs (reported)'!F111,"")</f>
        <v/>
      </c>
      <c r="G111" s="105" t="str">
        <f>IF(ISTEXT(VLOOKUP('_Data inputs (reported)'!G111,nametranslations,1,FALSE)),IF(Introduction!$A$2="English",VLOOKUP('_Data inputs (reported)'!G111,nametranslations,1,FALSE),IF(Introduction!$A$2="Spanish",VLOOKUP('_Data inputs (reported)'!G111,nametranslations,2,FALSE),IF(Introduction!$A$2="French",VLOOKUP('_Data inputs (reported)'!G111,nametranslations,3,FALSE),IF(Introduction!$A$2="Arabic",VLOOKUP('_Data inputs (reported)'!G111,nametranslations,4,FALSE),IF(Introduction!$A$2="Russian",VLOOKUP('_Data inputs (reported)'!G111,nametranslations,5,FALSE),IF(Introduction!$A$2="Chinese",VLOOKUP('_Data inputs (reported)'!G111,nametranslations,6,FALSE),IF(Introduction!$A$2="Other",VLOOKUP('_Data inputs (reported)'!G111,nametranslations,7,FALSE)))))))),"")</f>
        <v/>
      </c>
      <c r="H111" s="1" t="str">
        <f>IF(ISTEXT('_Data inputs (reported)'!H111),'_Data inputs (reported)'!H111,"")</f>
        <v/>
      </c>
      <c r="I111" s="42" t="str">
        <f>IF(ISNUMBER('_Data inputs (reported)'!I111),'_Data inputs (reported)'!I111,"")</f>
        <v/>
      </c>
      <c r="J111" s="1" t="str">
        <f>IF(ISTEXT('_Data inputs (reported)'!J111),'_Data inputs (reported)'!J111,"")</f>
        <v/>
      </c>
      <c r="K111" s="105" t="str">
        <f>IF(ISTEXT('_Data inputs (reported)'!K111),'_Data inputs (reported)'!K111,"")</f>
        <v/>
      </c>
      <c r="L111" s="105" t="str">
        <f>IF(ISTEXT('_Data inputs (reported)'!L111),'_Data inputs (reported)'!L111,"")</f>
        <v/>
      </c>
      <c r="M111" s="1" t="str">
        <f>IF(ISTEXT('_Data inputs (reported)'!M111),'_Data inputs (reported)'!M111,"")</f>
        <v/>
      </c>
      <c r="N111" s="105" t="str">
        <f>IF(ISTEXT('_Data inputs (reported)'!N111),'_Data inputs (reported)'!N111,"")</f>
        <v/>
      </c>
    </row>
    <row xmlns:x14ac="http://schemas.microsoft.com/office/spreadsheetml/2009/9/ac" r="112" x14ac:dyDescent="0.2">
      <c r="A112" s="105" t="str">
        <f>IF(ISTEXT(VLOOKUP('_Data inputs (reported)'!B112,countryname,2,FALSE)),IF(Introduction!$A$2="English",VLOOKUP('_Data inputs (reported)'!B112,countryname,2,FALSE),IF(Introduction!$A$2="French",VLOOKUP('_Data inputs (reported)'!B112,countryname,3,FALSE),IF(Introduction!$A$2="Spanish",VLOOKUP('_Data inputs (reported)'!B112,countryname,4,FALSE),IF(Introduction!$A$2="Russian",VLOOKUP('_Data inputs (reported)'!B112,countryname,5,FALSE),IF(Introduction!$A$2="Arabic",VLOOKUP('_Data inputs (reported)'!B112,countryname,6,FALSE),IF(Introduction!$A$2="Chinese",VLOOKUP('_Data inputs (reported)'!B112,countryname,7,FALSE),IF(Introduction!$A$2="Other",VLOOKUP('_Data inputs (reported)'!B112,countryname,8,FALSE)))))))),"")</f>
        <v/>
      </c>
      <c r="B112" s="1" t="str">
        <f>IF(ISTEXT('_Data inputs (reported)'!B112),'_Data inputs (reported)'!B112,"")</f>
        <v/>
      </c>
      <c r="C112" s="179" t="str">
        <f>IF(ISBLANK('_Data inputs (reported)'!C112),"",'_Data inputs (reported)'!C112)</f>
        <v/>
      </c>
      <c r="D112" s="105" t="str">
        <f>IF(ISTEXT(VLOOKUP('_Data inputs (reported)'!D112,nametranslations,1,FALSE)),IF(Introduction!$A$2="English",VLOOKUP('_Data inputs (reported)'!D112,nametranslations,1,FALSE),IF(Introduction!$A$2="Spanish",VLOOKUP('_Data inputs (reported)'!D112,nametranslations,2,FALSE),IF(Introduction!$A$2="French",VLOOKUP('_Data inputs (reported)'!D112,nametranslations,3,FALSE),IF(Introduction!$A$2="Arabic",VLOOKUP('_Data inputs (reported)'!D112,nametranslations,4,FALSE),IF(Introduction!$A$2="Russian",VLOOKUP('_Data inputs (reported)'!D112,nametranslations,5,FALSE),IF(Introduction!$A$2="Chinese",VLOOKUP('_Data inputs (reported)'!D112,nametranslations,6,FALSE),IF(Introduction!$A$2="Other",VLOOKUP('_Data inputs (reported)'!D112,nametranslations,7,FALSE)))))))),"")</f>
        <v/>
      </c>
      <c r="E112" s="1" t="str">
        <f>IF(ISTEXT('_Data inputs (reported)'!E112),'_Data inputs (reported)'!E112,"")</f>
        <v/>
      </c>
      <c r="F112" s="8" t="str">
        <f>IF(ISNUMBER('_Data inputs (reported)'!F112),'_Data inputs (reported)'!F112,"")</f>
        <v/>
      </c>
      <c r="G112" s="105" t="str">
        <f>IF(ISTEXT(VLOOKUP('_Data inputs (reported)'!G112,nametranslations,1,FALSE)),IF(Introduction!$A$2="English",VLOOKUP('_Data inputs (reported)'!G112,nametranslations,1,FALSE),IF(Introduction!$A$2="Spanish",VLOOKUP('_Data inputs (reported)'!G112,nametranslations,2,FALSE),IF(Introduction!$A$2="French",VLOOKUP('_Data inputs (reported)'!G112,nametranslations,3,FALSE),IF(Introduction!$A$2="Arabic",VLOOKUP('_Data inputs (reported)'!G112,nametranslations,4,FALSE),IF(Introduction!$A$2="Russian",VLOOKUP('_Data inputs (reported)'!G112,nametranslations,5,FALSE),IF(Introduction!$A$2="Chinese",VLOOKUP('_Data inputs (reported)'!G112,nametranslations,6,FALSE),IF(Introduction!$A$2="Other",VLOOKUP('_Data inputs (reported)'!G112,nametranslations,7,FALSE)))))))),"")</f>
        <v/>
      </c>
      <c r="H112" s="1" t="str">
        <f>IF(ISTEXT('_Data inputs (reported)'!H112),'_Data inputs (reported)'!H112,"")</f>
        <v/>
      </c>
      <c r="I112" s="42" t="str">
        <f>IF(ISNUMBER('_Data inputs (reported)'!I112),'_Data inputs (reported)'!I112,"")</f>
        <v/>
      </c>
      <c r="J112" s="1" t="str">
        <f>IF(ISTEXT('_Data inputs (reported)'!J112),'_Data inputs (reported)'!J112,"")</f>
        <v/>
      </c>
      <c r="K112" s="105" t="str">
        <f>IF(ISTEXT('_Data inputs (reported)'!K112),'_Data inputs (reported)'!K112,"")</f>
        <v/>
      </c>
      <c r="L112" s="105" t="str">
        <f>IF(ISTEXT('_Data inputs (reported)'!L112),'_Data inputs (reported)'!L112,"")</f>
        <v/>
      </c>
      <c r="M112" s="1" t="str">
        <f>IF(ISTEXT('_Data inputs (reported)'!M112),'_Data inputs (reported)'!M112,"")</f>
        <v/>
      </c>
      <c r="N112" s="105" t="str">
        <f>IF(ISTEXT('_Data inputs (reported)'!N112),'_Data inputs (reported)'!N112,"")</f>
        <v/>
      </c>
    </row>
    <row xmlns:x14ac="http://schemas.microsoft.com/office/spreadsheetml/2009/9/ac" r="113" x14ac:dyDescent="0.2">
      <c r="A113" s="105" t="str">
        <f>IF(ISTEXT(VLOOKUP('_Data inputs (reported)'!B113,countryname,2,FALSE)),IF(Introduction!$A$2="English",VLOOKUP('_Data inputs (reported)'!B113,countryname,2,FALSE),IF(Introduction!$A$2="French",VLOOKUP('_Data inputs (reported)'!B113,countryname,3,FALSE),IF(Introduction!$A$2="Spanish",VLOOKUP('_Data inputs (reported)'!B113,countryname,4,FALSE),IF(Introduction!$A$2="Russian",VLOOKUP('_Data inputs (reported)'!B113,countryname,5,FALSE),IF(Introduction!$A$2="Arabic",VLOOKUP('_Data inputs (reported)'!B113,countryname,6,FALSE),IF(Introduction!$A$2="Chinese",VLOOKUP('_Data inputs (reported)'!B113,countryname,7,FALSE),IF(Introduction!$A$2="Other",VLOOKUP('_Data inputs (reported)'!B113,countryname,8,FALSE)))))))),"")</f>
        <v/>
      </c>
      <c r="B113" s="1" t="str">
        <f>IF(ISTEXT('_Data inputs (reported)'!B113),'_Data inputs (reported)'!B113,"")</f>
        <v/>
      </c>
      <c r="C113" s="179" t="str">
        <f>IF(ISBLANK('_Data inputs (reported)'!C113),"",'_Data inputs (reported)'!C113)</f>
        <v/>
      </c>
      <c r="D113" s="105" t="str">
        <f>IF(ISTEXT(VLOOKUP('_Data inputs (reported)'!D113,nametranslations,1,FALSE)),IF(Introduction!$A$2="English",VLOOKUP('_Data inputs (reported)'!D113,nametranslations,1,FALSE),IF(Introduction!$A$2="Spanish",VLOOKUP('_Data inputs (reported)'!D113,nametranslations,2,FALSE),IF(Introduction!$A$2="French",VLOOKUP('_Data inputs (reported)'!D113,nametranslations,3,FALSE),IF(Introduction!$A$2="Arabic",VLOOKUP('_Data inputs (reported)'!D113,nametranslations,4,FALSE),IF(Introduction!$A$2="Russian",VLOOKUP('_Data inputs (reported)'!D113,nametranslations,5,FALSE),IF(Introduction!$A$2="Chinese",VLOOKUP('_Data inputs (reported)'!D113,nametranslations,6,FALSE),IF(Introduction!$A$2="Other",VLOOKUP('_Data inputs (reported)'!D113,nametranslations,7,FALSE)))))))),"")</f>
        <v/>
      </c>
      <c r="E113" s="1" t="str">
        <f>IF(ISTEXT('_Data inputs (reported)'!E113),'_Data inputs (reported)'!E113,"")</f>
        <v/>
      </c>
      <c r="F113" s="8" t="str">
        <f>IF(ISNUMBER('_Data inputs (reported)'!F113),'_Data inputs (reported)'!F113,"")</f>
        <v/>
      </c>
      <c r="G113" s="105" t="str">
        <f>IF(ISTEXT(VLOOKUP('_Data inputs (reported)'!G113,nametranslations,1,FALSE)),IF(Introduction!$A$2="English",VLOOKUP('_Data inputs (reported)'!G113,nametranslations,1,FALSE),IF(Introduction!$A$2="Spanish",VLOOKUP('_Data inputs (reported)'!G113,nametranslations,2,FALSE),IF(Introduction!$A$2="French",VLOOKUP('_Data inputs (reported)'!G113,nametranslations,3,FALSE),IF(Introduction!$A$2="Arabic",VLOOKUP('_Data inputs (reported)'!G113,nametranslations,4,FALSE),IF(Introduction!$A$2="Russian",VLOOKUP('_Data inputs (reported)'!G113,nametranslations,5,FALSE),IF(Introduction!$A$2="Chinese",VLOOKUP('_Data inputs (reported)'!G113,nametranslations,6,FALSE),IF(Introduction!$A$2="Other",VLOOKUP('_Data inputs (reported)'!G113,nametranslations,7,FALSE)))))))),"")</f>
        <v/>
      </c>
      <c r="H113" s="1" t="str">
        <f>IF(ISTEXT('_Data inputs (reported)'!H113),'_Data inputs (reported)'!H113,"")</f>
        <v/>
      </c>
      <c r="I113" s="42" t="str">
        <f>IF(ISNUMBER('_Data inputs (reported)'!I113),'_Data inputs (reported)'!I113,"")</f>
        <v/>
      </c>
      <c r="J113" s="1" t="str">
        <f>IF(ISTEXT('_Data inputs (reported)'!J113),'_Data inputs (reported)'!J113,"")</f>
        <v/>
      </c>
      <c r="K113" s="105" t="str">
        <f>IF(ISTEXT('_Data inputs (reported)'!K113),'_Data inputs (reported)'!K113,"")</f>
        <v/>
      </c>
      <c r="L113" s="105" t="str">
        <f>IF(ISTEXT('_Data inputs (reported)'!L113),'_Data inputs (reported)'!L113,"")</f>
        <v/>
      </c>
      <c r="M113" s="1" t="str">
        <f>IF(ISTEXT('_Data inputs (reported)'!M113),'_Data inputs (reported)'!M113,"")</f>
        <v/>
      </c>
      <c r="N113" s="105" t="str">
        <f>IF(ISTEXT('_Data inputs (reported)'!N113),'_Data inputs (reported)'!N113,"")</f>
        <v/>
      </c>
    </row>
    <row xmlns:x14ac="http://schemas.microsoft.com/office/spreadsheetml/2009/9/ac" r="114" x14ac:dyDescent="0.2">
      <c r="A114" s="105" t="str">
        <f>IF(ISTEXT(VLOOKUP('_Data inputs (reported)'!B114,countryname,2,FALSE)),IF(Introduction!$A$2="English",VLOOKUP('_Data inputs (reported)'!B114,countryname,2,FALSE),IF(Introduction!$A$2="French",VLOOKUP('_Data inputs (reported)'!B114,countryname,3,FALSE),IF(Introduction!$A$2="Spanish",VLOOKUP('_Data inputs (reported)'!B114,countryname,4,FALSE),IF(Introduction!$A$2="Russian",VLOOKUP('_Data inputs (reported)'!B114,countryname,5,FALSE),IF(Introduction!$A$2="Arabic",VLOOKUP('_Data inputs (reported)'!B114,countryname,6,FALSE),IF(Introduction!$A$2="Chinese",VLOOKUP('_Data inputs (reported)'!B114,countryname,7,FALSE),IF(Introduction!$A$2="Other",VLOOKUP('_Data inputs (reported)'!B114,countryname,8,FALSE)))))))),"")</f>
        <v/>
      </c>
      <c r="B114" s="1" t="str">
        <f>IF(ISTEXT('_Data inputs (reported)'!B114),'_Data inputs (reported)'!B114,"")</f>
        <v/>
      </c>
      <c r="C114" s="179" t="str">
        <f>IF(ISBLANK('_Data inputs (reported)'!C114),"",'_Data inputs (reported)'!C114)</f>
        <v/>
      </c>
      <c r="D114" s="105" t="str">
        <f>IF(ISTEXT(VLOOKUP('_Data inputs (reported)'!D114,nametranslations,1,FALSE)),IF(Introduction!$A$2="English",VLOOKUP('_Data inputs (reported)'!D114,nametranslations,1,FALSE),IF(Introduction!$A$2="Spanish",VLOOKUP('_Data inputs (reported)'!D114,nametranslations,2,FALSE),IF(Introduction!$A$2="French",VLOOKUP('_Data inputs (reported)'!D114,nametranslations,3,FALSE),IF(Introduction!$A$2="Arabic",VLOOKUP('_Data inputs (reported)'!D114,nametranslations,4,FALSE),IF(Introduction!$A$2="Russian",VLOOKUP('_Data inputs (reported)'!D114,nametranslations,5,FALSE),IF(Introduction!$A$2="Chinese",VLOOKUP('_Data inputs (reported)'!D114,nametranslations,6,FALSE),IF(Introduction!$A$2="Other",VLOOKUP('_Data inputs (reported)'!D114,nametranslations,7,FALSE)))))))),"")</f>
        <v/>
      </c>
      <c r="E114" s="1" t="str">
        <f>IF(ISTEXT('_Data inputs (reported)'!E114),'_Data inputs (reported)'!E114,"")</f>
        <v/>
      </c>
      <c r="F114" s="8" t="str">
        <f>IF(ISNUMBER('_Data inputs (reported)'!F114),'_Data inputs (reported)'!F114,"")</f>
        <v/>
      </c>
      <c r="G114" s="105" t="str">
        <f>IF(ISTEXT(VLOOKUP('_Data inputs (reported)'!G114,nametranslations,1,FALSE)),IF(Introduction!$A$2="English",VLOOKUP('_Data inputs (reported)'!G114,nametranslations,1,FALSE),IF(Introduction!$A$2="Spanish",VLOOKUP('_Data inputs (reported)'!G114,nametranslations,2,FALSE),IF(Introduction!$A$2="French",VLOOKUP('_Data inputs (reported)'!G114,nametranslations,3,FALSE),IF(Introduction!$A$2="Arabic",VLOOKUP('_Data inputs (reported)'!G114,nametranslations,4,FALSE),IF(Introduction!$A$2="Russian",VLOOKUP('_Data inputs (reported)'!G114,nametranslations,5,FALSE),IF(Introduction!$A$2="Chinese",VLOOKUP('_Data inputs (reported)'!G114,nametranslations,6,FALSE),IF(Introduction!$A$2="Other",VLOOKUP('_Data inputs (reported)'!G114,nametranslations,7,FALSE)))))))),"")</f>
        <v/>
      </c>
      <c r="H114" s="1" t="str">
        <f>IF(ISTEXT('_Data inputs (reported)'!H114),'_Data inputs (reported)'!H114,"")</f>
        <v/>
      </c>
      <c r="I114" s="42" t="str">
        <f>IF(ISNUMBER('_Data inputs (reported)'!I114),'_Data inputs (reported)'!I114,"")</f>
        <v/>
      </c>
      <c r="J114" s="1" t="str">
        <f>IF(ISTEXT('_Data inputs (reported)'!J114),'_Data inputs (reported)'!J114,"")</f>
        <v/>
      </c>
      <c r="K114" s="105" t="str">
        <f>IF(ISTEXT('_Data inputs (reported)'!K114),'_Data inputs (reported)'!K114,"")</f>
        <v/>
      </c>
      <c r="L114" s="105" t="str">
        <f>IF(ISTEXT('_Data inputs (reported)'!L114),'_Data inputs (reported)'!L114,"")</f>
        <v/>
      </c>
      <c r="M114" s="1" t="str">
        <f>IF(ISTEXT('_Data inputs (reported)'!M114),'_Data inputs (reported)'!M114,"")</f>
        <v/>
      </c>
      <c r="N114" s="105" t="str">
        <f>IF(ISTEXT('_Data inputs (reported)'!N114),'_Data inputs (reported)'!N114,"")</f>
        <v/>
      </c>
    </row>
    <row xmlns:x14ac="http://schemas.microsoft.com/office/spreadsheetml/2009/9/ac" r="115" x14ac:dyDescent="0.2">
      <c r="A115" s="105" t="str">
        <f>IF(ISTEXT(VLOOKUP('_Data inputs (reported)'!B115,countryname,2,FALSE)),IF(Introduction!$A$2="English",VLOOKUP('_Data inputs (reported)'!B115,countryname,2,FALSE),IF(Introduction!$A$2="French",VLOOKUP('_Data inputs (reported)'!B115,countryname,3,FALSE),IF(Introduction!$A$2="Spanish",VLOOKUP('_Data inputs (reported)'!B115,countryname,4,FALSE),IF(Introduction!$A$2="Russian",VLOOKUP('_Data inputs (reported)'!B115,countryname,5,FALSE),IF(Introduction!$A$2="Arabic",VLOOKUP('_Data inputs (reported)'!B115,countryname,6,FALSE),IF(Introduction!$A$2="Chinese",VLOOKUP('_Data inputs (reported)'!B115,countryname,7,FALSE),IF(Introduction!$A$2="Other",VLOOKUP('_Data inputs (reported)'!B115,countryname,8,FALSE)))))))),"")</f>
        <v/>
      </c>
      <c r="B115" s="1" t="str">
        <f>IF(ISTEXT('_Data inputs (reported)'!B115),'_Data inputs (reported)'!B115,"")</f>
        <v/>
      </c>
      <c r="C115" s="179" t="str">
        <f>IF(ISBLANK('_Data inputs (reported)'!C115),"",'_Data inputs (reported)'!C115)</f>
        <v/>
      </c>
      <c r="D115" s="105" t="str">
        <f>IF(ISTEXT(VLOOKUP('_Data inputs (reported)'!D115,nametranslations,1,FALSE)),IF(Introduction!$A$2="English",VLOOKUP('_Data inputs (reported)'!D115,nametranslations,1,FALSE),IF(Introduction!$A$2="Spanish",VLOOKUP('_Data inputs (reported)'!D115,nametranslations,2,FALSE),IF(Introduction!$A$2="French",VLOOKUP('_Data inputs (reported)'!D115,nametranslations,3,FALSE),IF(Introduction!$A$2="Arabic",VLOOKUP('_Data inputs (reported)'!D115,nametranslations,4,FALSE),IF(Introduction!$A$2="Russian",VLOOKUP('_Data inputs (reported)'!D115,nametranslations,5,FALSE),IF(Introduction!$A$2="Chinese",VLOOKUP('_Data inputs (reported)'!D115,nametranslations,6,FALSE),IF(Introduction!$A$2="Other",VLOOKUP('_Data inputs (reported)'!D115,nametranslations,7,FALSE)))))))),"")</f>
        <v/>
      </c>
      <c r="E115" s="1" t="str">
        <f>IF(ISTEXT('_Data inputs (reported)'!E115),'_Data inputs (reported)'!E115,"")</f>
        <v/>
      </c>
      <c r="F115" s="8" t="str">
        <f>IF(ISNUMBER('_Data inputs (reported)'!F115),'_Data inputs (reported)'!F115,"")</f>
        <v/>
      </c>
      <c r="G115" s="105" t="str">
        <f>IF(ISTEXT(VLOOKUP('_Data inputs (reported)'!G115,nametranslations,1,FALSE)),IF(Introduction!$A$2="English",VLOOKUP('_Data inputs (reported)'!G115,nametranslations,1,FALSE),IF(Introduction!$A$2="Spanish",VLOOKUP('_Data inputs (reported)'!G115,nametranslations,2,FALSE),IF(Introduction!$A$2="French",VLOOKUP('_Data inputs (reported)'!G115,nametranslations,3,FALSE),IF(Introduction!$A$2="Arabic",VLOOKUP('_Data inputs (reported)'!G115,nametranslations,4,FALSE),IF(Introduction!$A$2="Russian",VLOOKUP('_Data inputs (reported)'!G115,nametranslations,5,FALSE),IF(Introduction!$A$2="Chinese",VLOOKUP('_Data inputs (reported)'!G115,nametranslations,6,FALSE),IF(Introduction!$A$2="Other",VLOOKUP('_Data inputs (reported)'!G115,nametranslations,7,FALSE)))))))),"")</f>
        <v/>
      </c>
      <c r="H115" s="1" t="str">
        <f>IF(ISTEXT('_Data inputs (reported)'!H115),'_Data inputs (reported)'!H115,"")</f>
        <v/>
      </c>
      <c r="I115" s="42" t="str">
        <f>IF(ISNUMBER('_Data inputs (reported)'!I115),'_Data inputs (reported)'!I115,"")</f>
        <v/>
      </c>
      <c r="J115" s="1" t="str">
        <f>IF(ISTEXT('_Data inputs (reported)'!J115),'_Data inputs (reported)'!J115,"")</f>
        <v/>
      </c>
      <c r="K115" s="105" t="str">
        <f>IF(ISTEXT('_Data inputs (reported)'!K115),'_Data inputs (reported)'!K115,"")</f>
        <v/>
      </c>
      <c r="L115" s="105" t="str">
        <f>IF(ISTEXT('_Data inputs (reported)'!L115),'_Data inputs (reported)'!L115,"")</f>
        <v/>
      </c>
      <c r="M115" s="1" t="str">
        <f>IF(ISTEXT('_Data inputs (reported)'!M115),'_Data inputs (reported)'!M115,"")</f>
        <v/>
      </c>
      <c r="N115" s="105" t="str">
        <f>IF(ISTEXT('_Data inputs (reported)'!N115),'_Data inputs (reported)'!N115,"")</f>
        <v/>
      </c>
    </row>
    <row xmlns:x14ac="http://schemas.microsoft.com/office/spreadsheetml/2009/9/ac" r="116" x14ac:dyDescent="0.2">
      <c r="A116" s="105" t="str">
        <f>IF(ISTEXT(VLOOKUP('_Data inputs (reported)'!B116,countryname,2,FALSE)),IF(Introduction!$A$2="English",VLOOKUP('_Data inputs (reported)'!B116,countryname,2,FALSE),IF(Introduction!$A$2="French",VLOOKUP('_Data inputs (reported)'!B116,countryname,3,FALSE),IF(Introduction!$A$2="Spanish",VLOOKUP('_Data inputs (reported)'!B116,countryname,4,FALSE),IF(Introduction!$A$2="Russian",VLOOKUP('_Data inputs (reported)'!B116,countryname,5,FALSE),IF(Introduction!$A$2="Arabic",VLOOKUP('_Data inputs (reported)'!B116,countryname,6,FALSE),IF(Introduction!$A$2="Chinese",VLOOKUP('_Data inputs (reported)'!B116,countryname,7,FALSE),IF(Introduction!$A$2="Other",VLOOKUP('_Data inputs (reported)'!B116,countryname,8,FALSE)))))))),"")</f>
        <v/>
      </c>
      <c r="B116" s="1" t="str">
        <f>IF(ISTEXT('_Data inputs (reported)'!B116),'_Data inputs (reported)'!B116,"")</f>
        <v/>
      </c>
      <c r="C116" s="179" t="str">
        <f>IF(ISBLANK('_Data inputs (reported)'!C116),"",'_Data inputs (reported)'!C116)</f>
        <v/>
      </c>
      <c r="D116" s="105" t="str">
        <f>IF(ISTEXT(VLOOKUP('_Data inputs (reported)'!D116,nametranslations,1,FALSE)),IF(Introduction!$A$2="English",VLOOKUP('_Data inputs (reported)'!D116,nametranslations,1,FALSE),IF(Introduction!$A$2="Spanish",VLOOKUP('_Data inputs (reported)'!D116,nametranslations,2,FALSE),IF(Introduction!$A$2="French",VLOOKUP('_Data inputs (reported)'!D116,nametranslations,3,FALSE),IF(Introduction!$A$2="Arabic",VLOOKUP('_Data inputs (reported)'!D116,nametranslations,4,FALSE),IF(Introduction!$A$2="Russian",VLOOKUP('_Data inputs (reported)'!D116,nametranslations,5,FALSE),IF(Introduction!$A$2="Chinese",VLOOKUP('_Data inputs (reported)'!D116,nametranslations,6,FALSE),IF(Introduction!$A$2="Other",VLOOKUP('_Data inputs (reported)'!D116,nametranslations,7,FALSE)))))))),"")</f>
        <v/>
      </c>
      <c r="E116" s="1" t="str">
        <f>IF(ISTEXT('_Data inputs (reported)'!E116),'_Data inputs (reported)'!E116,"")</f>
        <v/>
      </c>
      <c r="F116" s="8" t="str">
        <f>IF(ISNUMBER('_Data inputs (reported)'!F116),'_Data inputs (reported)'!F116,"")</f>
        <v/>
      </c>
      <c r="G116" s="105" t="str">
        <f>IF(ISTEXT(VLOOKUP('_Data inputs (reported)'!G116,nametranslations,1,FALSE)),IF(Introduction!$A$2="English",VLOOKUP('_Data inputs (reported)'!G116,nametranslations,1,FALSE),IF(Introduction!$A$2="Spanish",VLOOKUP('_Data inputs (reported)'!G116,nametranslations,2,FALSE),IF(Introduction!$A$2="French",VLOOKUP('_Data inputs (reported)'!G116,nametranslations,3,FALSE),IF(Introduction!$A$2="Arabic",VLOOKUP('_Data inputs (reported)'!G116,nametranslations,4,FALSE),IF(Introduction!$A$2="Russian",VLOOKUP('_Data inputs (reported)'!G116,nametranslations,5,FALSE),IF(Introduction!$A$2="Chinese",VLOOKUP('_Data inputs (reported)'!G116,nametranslations,6,FALSE),IF(Introduction!$A$2="Other",VLOOKUP('_Data inputs (reported)'!G116,nametranslations,7,FALSE)))))))),"")</f>
        <v/>
      </c>
      <c r="H116" s="1" t="str">
        <f>IF(ISTEXT('_Data inputs (reported)'!H116),'_Data inputs (reported)'!H116,"")</f>
        <v/>
      </c>
      <c r="I116" s="42" t="str">
        <f>IF(ISNUMBER('_Data inputs (reported)'!I116),'_Data inputs (reported)'!I116,"")</f>
        <v/>
      </c>
      <c r="J116" s="1" t="str">
        <f>IF(ISTEXT('_Data inputs (reported)'!J116),'_Data inputs (reported)'!J116,"")</f>
        <v/>
      </c>
      <c r="K116" s="105" t="str">
        <f>IF(ISTEXT('_Data inputs (reported)'!K116),'_Data inputs (reported)'!K116,"")</f>
        <v/>
      </c>
      <c r="L116" s="105" t="str">
        <f>IF(ISTEXT('_Data inputs (reported)'!L116),'_Data inputs (reported)'!L116,"")</f>
        <v/>
      </c>
      <c r="M116" s="1" t="str">
        <f>IF(ISTEXT('_Data inputs (reported)'!M116),'_Data inputs (reported)'!M116,"")</f>
        <v/>
      </c>
      <c r="N116" s="105" t="str">
        <f>IF(ISTEXT('_Data inputs (reported)'!N116),'_Data inputs (reported)'!N116,"")</f>
        <v/>
      </c>
    </row>
    <row xmlns:x14ac="http://schemas.microsoft.com/office/spreadsheetml/2009/9/ac" r="117" x14ac:dyDescent="0.2">
      <c r="A117" s="105" t="str">
        <f>IF(ISTEXT(VLOOKUP('_Data inputs (reported)'!B117,countryname,2,FALSE)),IF(Introduction!$A$2="English",VLOOKUP('_Data inputs (reported)'!B117,countryname,2,FALSE),IF(Introduction!$A$2="French",VLOOKUP('_Data inputs (reported)'!B117,countryname,3,FALSE),IF(Introduction!$A$2="Spanish",VLOOKUP('_Data inputs (reported)'!B117,countryname,4,FALSE),IF(Introduction!$A$2="Russian",VLOOKUP('_Data inputs (reported)'!B117,countryname,5,FALSE),IF(Introduction!$A$2="Arabic",VLOOKUP('_Data inputs (reported)'!B117,countryname,6,FALSE),IF(Introduction!$A$2="Chinese",VLOOKUP('_Data inputs (reported)'!B117,countryname,7,FALSE),IF(Introduction!$A$2="Other",VLOOKUP('_Data inputs (reported)'!B117,countryname,8,FALSE)))))))),"")</f>
        <v/>
      </c>
      <c r="B117" s="1" t="str">
        <f>IF(ISTEXT('_Data inputs (reported)'!B117),'_Data inputs (reported)'!B117,"")</f>
        <v/>
      </c>
      <c r="C117" s="179" t="str">
        <f>IF(ISBLANK('_Data inputs (reported)'!C117),"",'_Data inputs (reported)'!C117)</f>
        <v/>
      </c>
      <c r="D117" s="105" t="str">
        <f>IF(ISTEXT(VLOOKUP('_Data inputs (reported)'!D117,nametranslations,1,FALSE)),IF(Introduction!$A$2="English",VLOOKUP('_Data inputs (reported)'!D117,nametranslations,1,FALSE),IF(Introduction!$A$2="Spanish",VLOOKUP('_Data inputs (reported)'!D117,nametranslations,2,FALSE),IF(Introduction!$A$2="French",VLOOKUP('_Data inputs (reported)'!D117,nametranslations,3,FALSE),IF(Introduction!$A$2="Arabic",VLOOKUP('_Data inputs (reported)'!D117,nametranslations,4,FALSE),IF(Introduction!$A$2="Russian",VLOOKUP('_Data inputs (reported)'!D117,nametranslations,5,FALSE),IF(Introduction!$A$2="Chinese",VLOOKUP('_Data inputs (reported)'!D117,nametranslations,6,FALSE),IF(Introduction!$A$2="Other",VLOOKUP('_Data inputs (reported)'!D117,nametranslations,7,FALSE)))))))),"")</f>
        <v/>
      </c>
      <c r="E117" s="1" t="str">
        <f>IF(ISTEXT('_Data inputs (reported)'!E117),'_Data inputs (reported)'!E117,"")</f>
        <v/>
      </c>
      <c r="F117" s="8" t="str">
        <f>IF(ISNUMBER('_Data inputs (reported)'!F117),'_Data inputs (reported)'!F117,"")</f>
        <v/>
      </c>
      <c r="G117" s="105" t="str">
        <f>IF(ISTEXT(VLOOKUP('_Data inputs (reported)'!G117,nametranslations,1,FALSE)),IF(Introduction!$A$2="English",VLOOKUP('_Data inputs (reported)'!G117,nametranslations,1,FALSE),IF(Introduction!$A$2="Spanish",VLOOKUP('_Data inputs (reported)'!G117,nametranslations,2,FALSE),IF(Introduction!$A$2="French",VLOOKUP('_Data inputs (reported)'!G117,nametranslations,3,FALSE),IF(Introduction!$A$2="Arabic",VLOOKUP('_Data inputs (reported)'!G117,nametranslations,4,FALSE),IF(Introduction!$A$2="Russian",VLOOKUP('_Data inputs (reported)'!G117,nametranslations,5,FALSE),IF(Introduction!$A$2="Chinese",VLOOKUP('_Data inputs (reported)'!G117,nametranslations,6,FALSE),IF(Introduction!$A$2="Other",VLOOKUP('_Data inputs (reported)'!G117,nametranslations,7,FALSE)))))))),"")</f>
        <v/>
      </c>
      <c r="H117" s="1" t="str">
        <f>IF(ISTEXT('_Data inputs (reported)'!H117),'_Data inputs (reported)'!H117,"")</f>
        <v/>
      </c>
      <c r="I117" s="42" t="str">
        <f>IF(ISNUMBER('_Data inputs (reported)'!I117),'_Data inputs (reported)'!I117,"")</f>
        <v/>
      </c>
      <c r="J117" s="1" t="str">
        <f>IF(ISTEXT('_Data inputs (reported)'!J117),'_Data inputs (reported)'!J117,"")</f>
        <v/>
      </c>
      <c r="K117" s="105" t="str">
        <f>IF(ISTEXT('_Data inputs (reported)'!K117),'_Data inputs (reported)'!K117,"")</f>
        <v/>
      </c>
      <c r="L117" s="105" t="str">
        <f>IF(ISTEXT('_Data inputs (reported)'!L117),'_Data inputs (reported)'!L117,"")</f>
        <v/>
      </c>
      <c r="M117" s="1" t="str">
        <f>IF(ISTEXT('_Data inputs (reported)'!M117),'_Data inputs (reported)'!M117,"")</f>
        <v/>
      </c>
      <c r="N117" s="105" t="str">
        <f>IF(ISTEXT('_Data inputs (reported)'!N117),'_Data inputs (reported)'!N117,"")</f>
        <v/>
      </c>
    </row>
    <row xmlns:x14ac="http://schemas.microsoft.com/office/spreadsheetml/2009/9/ac" r="118" x14ac:dyDescent="0.2">
      <c r="A118" s="105" t="str">
        <f>IF(ISTEXT(VLOOKUP('_Data inputs (reported)'!B118,countryname,2,FALSE)),IF(Introduction!$A$2="English",VLOOKUP('_Data inputs (reported)'!B118,countryname,2,FALSE),IF(Introduction!$A$2="French",VLOOKUP('_Data inputs (reported)'!B118,countryname,3,FALSE),IF(Introduction!$A$2="Spanish",VLOOKUP('_Data inputs (reported)'!B118,countryname,4,FALSE),IF(Introduction!$A$2="Russian",VLOOKUP('_Data inputs (reported)'!B118,countryname,5,FALSE),IF(Introduction!$A$2="Arabic",VLOOKUP('_Data inputs (reported)'!B118,countryname,6,FALSE),IF(Introduction!$A$2="Chinese",VLOOKUP('_Data inputs (reported)'!B118,countryname,7,FALSE),IF(Introduction!$A$2="Other",VLOOKUP('_Data inputs (reported)'!B118,countryname,8,FALSE)))))))),"")</f>
        <v/>
      </c>
      <c r="B118" s="1" t="str">
        <f>IF(ISTEXT('_Data inputs (reported)'!B118),'_Data inputs (reported)'!B118,"")</f>
        <v/>
      </c>
      <c r="C118" s="179" t="str">
        <f>IF(ISBLANK('_Data inputs (reported)'!C118),"",'_Data inputs (reported)'!C118)</f>
        <v/>
      </c>
      <c r="D118" s="105" t="str">
        <f>IF(ISTEXT(VLOOKUP('_Data inputs (reported)'!D118,nametranslations,1,FALSE)),IF(Introduction!$A$2="English",VLOOKUP('_Data inputs (reported)'!D118,nametranslations,1,FALSE),IF(Introduction!$A$2="Spanish",VLOOKUP('_Data inputs (reported)'!D118,nametranslations,2,FALSE),IF(Introduction!$A$2="French",VLOOKUP('_Data inputs (reported)'!D118,nametranslations,3,FALSE),IF(Introduction!$A$2="Arabic",VLOOKUP('_Data inputs (reported)'!D118,nametranslations,4,FALSE),IF(Introduction!$A$2="Russian",VLOOKUP('_Data inputs (reported)'!D118,nametranslations,5,FALSE),IF(Introduction!$A$2="Chinese",VLOOKUP('_Data inputs (reported)'!D118,nametranslations,6,FALSE),IF(Introduction!$A$2="Other",VLOOKUP('_Data inputs (reported)'!D118,nametranslations,7,FALSE)))))))),"")</f>
        <v/>
      </c>
      <c r="E118" s="1" t="str">
        <f>IF(ISTEXT('_Data inputs (reported)'!E118),'_Data inputs (reported)'!E118,"")</f>
        <v/>
      </c>
      <c r="F118" s="8" t="str">
        <f>IF(ISNUMBER('_Data inputs (reported)'!F118),'_Data inputs (reported)'!F118,"")</f>
        <v/>
      </c>
      <c r="G118" s="105" t="str">
        <f>IF(ISTEXT(VLOOKUP('_Data inputs (reported)'!G118,nametranslations,1,FALSE)),IF(Introduction!$A$2="English",VLOOKUP('_Data inputs (reported)'!G118,nametranslations,1,FALSE),IF(Introduction!$A$2="Spanish",VLOOKUP('_Data inputs (reported)'!G118,nametranslations,2,FALSE),IF(Introduction!$A$2="French",VLOOKUP('_Data inputs (reported)'!G118,nametranslations,3,FALSE),IF(Introduction!$A$2="Arabic",VLOOKUP('_Data inputs (reported)'!G118,nametranslations,4,FALSE),IF(Introduction!$A$2="Russian",VLOOKUP('_Data inputs (reported)'!G118,nametranslations,5,FALSE),IF(Introduction!$A$2="Chinese",VLOOKUP('_Data inputs (reported)'!G118,nametranslations,6,FALSE),IF(Introduction!$A$2="Other",VLOOKUP('_Data inputs (reported)'!G118,nametranslations,7,FALSE)))))))),"")</f>
        <v/>
      </c>
      <c r="H118" s="1" t="str">
        <f>IF(ISTEXT('_Data inputs (reported)'!H118),'_Data inputs (reported)'!H118,"")</f>
        <v/>
      </c>
      <c r="I118" s="42" t="str">
        <f>IF(ISNUMBER('_Data inputs (reported)'!I118),'_Data inputs (reported)'!I118,"")</f>
        <v/>
      </c>
      <c r="J118" s="1" t="str">
        <f>IF(ISTEXT('_Data inputs (reported)'!J118),'_Data inputs (reported)'!J118,"")</f>
        <v/>
      </c>
      <c r="K118" s="105" t="str">
        <f>IF(ISTEXT('_Data inputs (reported)'!K118),'_Data inputs (reported)'!K118,"")</f>
        <v/>
      </c>
      <c r="L118" s="105" t="str">
        <f>IF(ISTEXT('_Data inputs (reported)'!L118),'_Data inputs (reported)'!L118,"")</f>
        <v/>
      </c>
      <c r="M118" s="1" t="str">
        <f>IF(ISTEXT('_Data inputs (reported)'!M118),'_Data inputs (reported)'!M118,"")</f>
        <v/>
      </c>
      <c r="N118" s="105" t="str">
        <f>IF(ISTEXT('_Data inputs (reported)'!N118),'_Data inputs (reported)'!N118,"")</f>
        <v/>
      </c>
    </row>
    <row xmlns:x14ac="http://schemas.microsoft.com/office/spreadsheetml/2009/9/ac" r="119" x14ac:dyDescent="0.2">
      <c r="A119" s="105" t="str">
        <f>IF(ISTEXT(VLOOKUP('_Data inputs (reported)'!B119,countryname,2,FALSE)),IF(Introduction!$A$2="English",VLOOKUP('_Data inputs (reported)'!B119,countryname,2,FALSE),IF(Introduction!$A$2="French",VLOOKUP('_Data inputs (reported)'!B119,countryname,3,FALSE),IF(Introduction!$A$2="Spanish",VLOOKUP('_Data inputs (reported)'!B119,countryname,4,FALSE),IF(Introduction!$A$2="Russian",VLOOKUP('_Data inputs (reported)'!B119,countryname,5,FALSE),IF(Introduction!$A$2="Arabic",VLOOKUP('_Data inputs (reported)'!B119,countryname,6,FALSE),IF(Introduction!$A$2="Chinese",VLOOKUP('_Data inputs (reported)'!B119,countryname,7,FALSE),IF(Introduction!$A$2="Other",VLOOKUP('_Data inputs (reported)'!B119,countryname,8,FALSE)))))))),"")</f>
        <v/>
      </c>
      <c r="B119" s="1" t="str">
        <f>IF(ISTEXT('_Data inputs (reported)'!B119),'_Data inputs (reported)'!B119,"")</f>
        <v/>
      </c>
      <c r="C119" s="179" t="str">
        <f>IF(ISBLANK('_Data inputs (reported)'!C119),"",'_Data inputs (reported)'!C119)</f>
        <v/>
      </c>
      <c r="D119" s="105" t="str">
        <f>IF(ISTEXT(VLOOKUP('_Data inputs (reported)'!D119,nametranslations,1,FALSE)),IF(Introduction!$A$2="English",VLOOKUP('_Data inputs (reported)'!D119,nametranslations,1,FALSE),IF(Introduction!$A$2="Spanish",VLOOKUP('_Data inputs (reported)'!D119,nametranslations,2,FALSE),IF(Introduction!$A$2="French",VLOOKUP('_Data inputs (reported)'!D119,nametranslations,3,FALSE),IF(Introduction!$A$2="Arabic",VLOOKUP('_Data inputs (reported)'!D119,nametranslations,4,FALSE),IF(Introduction!$A$2="Russian",VLOOKUP('_Data inputs (reported)'!D119,nametranslations,5,FALSE),IF(Introduction!$A$2="Chinese",VLOOKUP('_Data inputs (reported)'!D119,nametranslations,6,FALSE),IF(Introduction!$A$2="Other",VLOOKUP('_Data inputs (reported)'!D119,nametranslations,7,FALSE)))))))),"")</f>
        <v/>
      </c>
      <c r="E119" s="1" t="str">
        <f>IF(ISTEXT('_Data inputs (reported)'!E119),'_Data inputs (reported)'!E119,"")</f>
        <v/>
      </c>
      <c r="F119" s="8" t="str">
        <f>IF(ISNUMBER('_Data inputs (reported)'!F119),'_Data inputs (reported)'!F119,"")</f>
        <v/>
      </c>
      <c r="G119" s="105" t="str">
        <f>IF(ISTEXT(VLOOKUP('_Data inputs (reported)'!G119,nametranslations,1,FALSE)),IF(Introduction!$A$2="English",VLOOKUP('_Data inputs (reported)'!G119,nametranslations,1,FALSE),IF(Introduction!$A$2="Spanish",VLOOKUP('_Data inputs (reported)'!G119,nametranslations,2,FALSE),IF(Introduction!$A$2="French",VLOOKUP('_Data inputs (reported)'!G119,nametranslations,3,FALSE),IF(Introduction!$A$2="Arabic",VLOOKUP('_Data inputs (reported)'!G119,nametranslations,4,FALSE),IF(Introduction!$A$2="Russian",VLOOKUP('_Data inputs (reported)'!G119,nametranslations,5,FALSE),IF(Introduction!$A$2="Chinese",VLOOKUP('_Data inputs (reported)'!G119,nametranslations,6,FALSE),IF(Introduction!$A$2="Other",VLOOKUP('_Data inputs (reported)'!G119,nametranslations,7,FALSE)))))))),"")</f>
        <v/>
      </c>
      <c r="H119" s="1" t="str">
        <f>IF(ISTEXT('_Data inputs (reported)'!H119),'_Data inputs (reported)'!H119,"")</f>
        <v/>
      </c>
      <c r="I119" s="42" t="str">
        <f>IF(ISNUMBER('_Data inputs (reported)'!I119),'_Data inputs (reported)'!I119,"")</f>
        <v/>
      </c>
      <c r="J119" s="1" t="str">
        <f>IF(ISTEXT('_Data inputs (reported)'!J119),'_Data inputs (reported)'!J119,"")</f>
        <v/>
      </c>
      <c r="K119" s="105" t="str">
        <f>IF(ISTEXT('_Data inputs (reported)'!K119),'_Data inputs (reported)'!K119,"")</f>
        <v/>
      </c>
      <c r="L119" s="105" t="str">
        <f>IF(ISTEXT('_Data inputs (reported)'!L119),'_Data inputs (reported)'!L119,"")</f>
        <v/>
      </c>
      <c r="M119" s="1" t="str">
        <f>IF(ISTEXT('_Data inputs (reported)'!M119),'_Data inputs (reported)'!M119,"")</f>
        <v/>
      </c>
      <c r="N119" s="105" t="str">
        <f>IF(ISTEXT('_Data inputs (reported)'!N119),'_Data inputs (reported)'!N119,"")</f>
        <v/>
      </c>
    </row>
    <row xmlns:x14ac="http://schemas.microsoft.com/office/spreadsheetml/2009/9/ac" r="120" x14ac:dyDescent="0.2">
      <c r="A120" s="105" t="str">
        <f>IF(ISTEXT(VLOOKUP('_Data inputs (reported)'!B120,countryname,2,FALSE)),IF(Introduction!$A$2="English",VLOOKUP('_Data inputs (reported)'!B120,countryname,2,FALSE),IF(Introduction!$A$2="French",VLOOKUP('_Data inputs (reported)'!B120,countryname,3,FALSE),IF(Introduction!$A$2="Spanish",VLOOKUP('_Data inputs (reported)'!B120,countryname,4,FALSE),IF(Introduction!$A$2="Russian",VLOOKUP('_Data inputs (reported)'!B120,countryname,5,FALSE),IF(Introduction!$A$2="Arabic",VLOOKUP('_Data inputs (reported)'!B120,countryname,6,FALSE),IF(Introduction!$A$2="Chinese",VLOOKUP('_Data inputs (reported)'!B120,countryname,7,FALSE),IF(Introduction!$A$2="Other",VLOOKUP('_Data inputs (reported)'!B120,countryname,8,FALSE)))))))),"")</f>
        <v/>
      </c>
      <c r="B120" s="1" t="str">
        <f>IF(ISTEXT('_Data inputs (reported)'!B120),'_Data inputs (reported)'!B120,"")</f>
        <v/>
      </c>
      <c r="C120" s="179" t="str">
        <f>IF(ISBLANK('_Data inputs (reported)'!C120),"",'_Data inputs (reported)'!C120)</f>
        <v/>
      </c>
      <c r="D120" s="105" t="str">
        <f>IF(ISTEXT(VLOOKUP('_Data inputs (reported)'!D120,nametranslations,1,FALSE)),IF(Introduction!$A$2="English",VLOOKUP('_Data inputs (reported)'!D120,nametranslations,1,FALSE),IF(Introduction!$A$2="Spanish",VLOOKUP('_Data inputs (reported)'!D120,nametranslations,2,FALSE),IF(Introduction!$A$2="French",VLOOKUP('_Data inputs (reported)'!D120,nametranslations,3,FALSE),IF(Introduction!$A$2="Arabic",VLOOKUP('_Data inputs (reported)'!D120,nametranslations,4,FALSE),IF(Introduction!$A$2="Russian",VLOOKUP('_Data inputs (reported)'!D120,nametranslations,5,FALSE),IF(Introduction!$A$2="Chinese",VLOOKUP('_Data inputs (reported)'!D120,nametranslations,6,FALSE),IF(Introduction!$A$2="Other",VLOOKUP('_Data inputs (reported)'!D120,nametranslations,7,FALSE)))))))),"")</f>
        <v/>
      </c>
      <c r="E120" s="1" t="str">
        <f>IF(ISTEXT('_Data inputs (reported)'!E120),'_Data inputs (reported)'!E120,"")</f>
        <v/>
      </c>
      <c r="F120" s="8" t="str">
        <f>IF(ISNUMBER('_Data inputs (reported)'!F120),'_Data inputs (reported)'!F120,"")</f>
        <v/>
      </c>
      <c r="G120" s="105" t="str">
        <f>IF(ISTEXT(VLOOKUP('_Data inputs (reported)'!G120,nametranslations,1,FALSE)),IF(Introduction!$A$2="English",VLOOKUP('_Data inputs (reported)'!G120,nametranslations,1,FALSE),IF(Introduction!$A$2="Spanish",VLOOKUP('_Data inputs (reported)'!G120,nametranslations,2,FALSE),IF(Introduction!$A$2="French",VLOOKUP('_Data inputs (reported)'!G120,nametranslations,3,FALSE),IF(Introduction!$A$2="Arabic",VLOOKUP('_Data inputs (reported)'!G120,nametranslations,4,FALSE),IF(Introduction!$A$2="Russian",VLOOKUP('_Data inputs (reported)'!G120,nametranslations,5,FALSE),IF(Introduction!$A$2="Chinese",VLOOKUP('_Data inputs (reported)'!G120,nametranslations,6,FALSE),IF(Introduction!$A$2="Other",VLOOKUP('_Data inputs (reported)'!G120,nametranslations,7,FALSE)))))))),"")</f>
        <v/>
      </c>
      <c r="H120" s="1" t="str">
        <f>IF(ISTEXT('_Data inputs (reported)'!H120),'_Data inputs (reported)'!H120,"")</f>
        <v/>
      </c>
      <c r="I120" s="42" t="str">
        <f>IF(ISNUMBER('_Data inputs (reported)'!I120),'_Data inputs (reported)'!I120,"")</f>
        <v/>
      </c>
      <c r="J120" s="1" t="str">
        <f>IF(ISTEXT('_Data inputs (reported)'!J120),'_Data inputs (reported)'!J120,"")</f>
        <v/>
      </c>
      <c r="K120" s="105" t="str">
        <f>IF(ISTEXT('_Data inputs (reported)'!K120),'_Data inputs (reported)'!K120,"")</f>
        <v/>
      </c>
      <c r="L120" s="105" t="str">
        <f>IF(ISTEXT('_Data inputs (reported)'!L120),'_Data inputs (reported)'!L120,"")</f>
        <v/>
      </c>
      <c r="M120" s="1" t="str">
        <f>IF(ISTEXT('_Data inputs (reported)'!M120),'_Data inputs (reported)'!M120,"")</f>
        <v/>
      </c>
      <c r="N120" s="105" t="str">
        <f>IF(ISTEXT('_Data inputs (reported)'!N120),'_Data inputs (reported)'!N120,"")</f>
        <v/>
      </c>
    </row>
    <row xmlns:x14ac="http://schemas.microsoft.com/office/spreadsheetml/2009/9/ac" r="121" x14ac:dyDescent="0.2">
      <c r="A121" s="105" t="str">
        <f>IF(ISTEXT(VLOOKUP('_Data inputs (reported)'!B121,countryname,2,FALSE)),IF(Introduction!$A$2="English",VLOOKUP('_Data inputs (reported)'!B121,countryname,2,FALSE),IF(Introduction!$A$2="French",VLOOKUP('_Data inputs (reported)'!B121,countryname,3,FALSE),IF(Introduction!$A$2="Spanish",VLOOKUP('_Data inputs (reported)'!B121,countryname,4,FALSE),IF(Introduction!$A$2="Russian",VLOOKUP('_Data inputs (reported)'!B121,countryname,5,FALSE),IF(Introduction!$A$2="Arabic",VLOOKUP('_Data inputs (reported)'!B121,countryname,6,FALSE),IF(Introduction!$A$2="Chinese",VLOOKUP('_Data inputs (reported)'!B121,countryname,7,FALSE),IF(Introduction!$A$2="Other",VLOOKUP('_Data inputs (reported)'!B121,countryname,8,FALSE)))))))),"")</f>
        <v/>
      </c>
      <c r="B121" s="1" t="str">
        <f>IF(ISTEXT('_Data inputs (reported)'!B121),'_Data inputs (reported)'!B121,"")</f>
        <v/>
      </c>
      <c r="C121" s="179" t="str">
        <f>IF(ISBLANK('_Data inputs (reported)'!C121),"",'_Data inputs (reported)'!C121)</f>
        <v/>
      </c>
      <c r="D121" s="105" t="str">
        <f>IF(ISTEXT(VLOOKUP('_Data inputs (reported)'!D121,nametranslations,1,FALSE)),IF(Introduction!$A$2="English",VLOOKUP('_Data inputs (reported)'!D121,nametranslations,1,FALSE),IF(Introduction!$A$2="Spanish",VLOOKUP('_Data inputs (reported)'!D121,nametranslations,2,FALSE),IF(Introduction!$A$2="French",VLOOKUP('_Data inputs (reported)'!D121,nametranslations,3,FALSE),IF(Introduction!$A$2="Arabic",VLOOKUP('_Data inputs (reported)'!D121,nametranslations,4,FALSE),IF(Introduction!$A$2="Russian",VLOOKUP('_Data inputs (reported)'!D121,nametranslations,5,FALSE),IF(Introduction!$A$2="Chinese",VLOOKUP('_Data inputs (reported)'!D121,nametranslations,6,FALSE),IF(Introduction!$A$2="Other",VLOOKUP('_Data inputs (reported)'!D121,nametranslations,7,FALSE)))))))),"")</f>
        <v/>
      </c>
      <c r="E121" s="1" t="str">
        <f>IF(ISTEXT('_Data inputs (reported)'!E121),'_Data inputs (reported)'!E121,"")</f>
        <v/>
      </c>
      <c r="F121" s="8" t="str">
        <f>IF(ISNUMBER('_Data inputs (reported)'!F121),'_Data inputs (reported)'!F121,"")</f>
        <v/>
      </c>
      <c r="G121" s="105" t="str">
        <f>IF(ISTEXT(VLOOKUP('_Data inputs (reported)'!G121,nametranslations,1,FALSE)),IF(Introduction!$A$2="English",VLOOKUP('_Data inputs (reported)'!G121,nametranslations,1,FALSE),IF(Introduction!$A$2="Spanish",VLOOKUP('_Data inputs (reported)'!G121,nametranslations,2,FALSE),IF(Introduction!$A$2="French",VLOOKUP('_Data inputs (reported)'!G121,nametranslations,3,FALSE),IF(Introduction!$A$2="Arabic",VLOOKUP('_Data inputs (reported)'!G121,nametranslations,4,FALSE),IF(Introduction!$A$2="Russian",VLOOKUP('_Data inputs (reported)'!G121,nametranslations,5,FALSE),IF(Introduction!$A$2="Chinese",VLOOKUP('_Data inputs (reported)'!G121,nametranslations,6,FALSE),IF(Introduction!$A$2="Other",VLOOKUP('_Data inputs (reported)'!G121,nametranslations,7,FALSE)))))))),"")</f>
        <v/>
      </c>
      <c r="H121" s="1" t="str">
        <f>IF(ISTEXT('_Data inputs (reported)'!H121),'_Data inputs (reported)'!H121,"")</f>
        <v/>
      </c>
      <c r="I121" s="42" t="str">
        <f>IF(ISNUMBER('_Data inputs (reported)'!I121),'_Data inputs (reported)'!I121,"")</f>
        <v/>
      </c>
      <c r="J121" s="1" t="str">
        <f>IF(ISTEXT('_Data inputs (reported)'!J121),'_Data inputs (reported)'!J121,"")</f>
        <v/>
      </c>
      <c r="K121" s="105" t="str">
        <f>IF(ISTEXT('_Data inputs (reported)'!K121),'_Data inputs (reported)'!K121,"")</f>
        <v/>
      </c>
      <c r="L121" s="105" t="str">
        <f>IF(ISTEXT('_Data inputs (reported)'!L121),'_Data inputs (reported)'!L121,"")</f>
        <v/>
      </c>
      <c r="M121" s="1" t="str">
        <f>IF(ISTEXT('_Data inputs (reported)'!M121),'_Data inputs (reported)'!M121,"")</f>
        <v/>
      </c>
      <c r="N121" s="105" t="str">
        <f>IF(ISTEXT('_Data inputs (reported)'!N121),'_Data inputs (reported)'!N121,"")</f>
        <v/>
      </c>
    </row>
    <row xmlns:x14ac="http://schemas.microsoft.com/office/spreadsheetml/2009/9/ac" r="122" x14ac:dyDescent="0.2">
      <c r="A122" s="105" t="str">
        <f>IF(ISTEXT(VLOOKUP('_Data inputs (reported)'!B122,countryname,2,FALSE)),IF(Introduction!$A$2="English",VLOOKUP('_Data inputs (reported)'!B122,countryname,2,FALSE),IF(Introduction!$A$2="French",VLOOKUP('_Data inputs (reported)'!B122,countryname,3,FALSE),IF(Introduction!$A$2="Spanish",VLOOKUP('_Data inputs (reported)'!B122,countryname,4,FALSE),IF(Introduction!$A$2="Russian",VLOOKUP('_Data inputs (reported)'!B122,countryname,5,FALSE),IF(Introduction!$A$2="Arabic",VLOOKUP('_Data inputs (reported)'!B122,countryname,6,FALSE),IF(Introduction!$A$2="Chinese",VLOOKUP('_Data inputs (reported)'!B122,countryname,7,FALSE),IF(Introduction!$A$2="Other",VLOOKUP('_Data inputs (reported)'!B122,countryname,8,FALSE)))))))),"")</f>
        <v/>
      </c>
      <c r="B122" s="1" t="str">
        <f>IF(ISTEXT('_Data inputs (reported)'!B122),'_Data inputs (reported)'!B122,"")</f>
        <v/>
      </c>
      <c r="C122" s="179" t="str">
        <f>IF(ISBLANK('_Data inputs (reported)'!C122),"",'_Data inputs (reported)'!C122)</f>
        <v/>
      </c>
      <c r="D122" s="105" t="str">
        <f>IF(ISTEXT(VLOOKUP('_Data inputs (reported)'!D122,nametranslations,1,FALSE)),IF(Introduction!$A$2="English",VLOOKUP('_Data inputs (reported)'!D122,nametranslations,1,FALSE),IF(Introduction!$A$2="Spanish",VLOOKUP('_Data inputs (reported)'!D122,nametranslations,2,FALSE),IF(Introduction!$A$2="French",VLOOKUP('_Data inputs (reported)'!D122,nametranslations,3,FALSE),IF(Introduction!$A$2="Arabic",VLOOKUP('_Data inputs (reported)'!D122,nametranslations,4,FALSE),IF(Introduction!$A$2="Russian",VLOOKUP('_Data inputs (reported)'!D122,nametranslations,5,FALSE),IF(Introduction!$A$2="Chinese",VLOOKUP('_Data inputs (reported)'!D122,nametranslations,6,FALSE),IF(Introduction!$A$2="Other",VLOOKUP('_Data inputs (reported)'!D122,nametranslations,7,FALSE)))))))),"")</f>
        <v/>
      </c>
      <c r="E122" s="1" t="str">
        <f>IF(ISTEXT('_Data inputs (reported)'!E122),'_Data inputs (reported)'!E122,"")</f>
        <v/>
      </c>
      <c r="F122" s="8" t="str">
        <f>IF(ISNUMBER('_Data inputs (reported)'!F122),'_Data inputs (reported)'!F122,"")</f>
        <v/>
      </c>
      <c r="G122" s="105" t="str">
        <f>IF(ISTEXT(VLOOKUP('_Data inputs (reported)'!G122,nametranslations,1,FALSE)),IF(Introduction!$A$2="English",VLOOKUP('_Data inputs (reported)'!G122,nametranslations,1,FALSE),IF(Introduction!$A$2="Spanish",VLOOKUP('_Data inputs (reported)'!G122,nametranslations,2,FALSE),IF(Introduction!$A$2="French",VLOOKUP('_Data inputs (reported)'!G122,nametranslations,3,FALSE),IF(Introduction!$A$2="Arabic",VLOOKUP('_Data inputs (reported)'!G122,nametranslations,4,FALSE),IF(Introduction!$A$2="Russian",VLOOKUP('_Data inputs (reported)'!G122,nametranslations,5,FALSE),IF(Introduction!$A$2="Chinese",VLOOKUP('_Data inputs (reported)'!G122,nametranslations,6,FALSE),IF(Introduction!$A$2="Other",VLOOKUP('_Data inputs (reported)'!G122,nametranslations,7,FALSE)))))))),"")</f>
        <v/>
      </c>
      <c r="H122" s="1" t="str">
        <f>IF(ISTEXT('_Data inputs (reported)'!H122),'_Data inputs (reported)'!H122,"")</f>
        <v/>
      </c>
      <c r="I122" s="42" t="str">
        <f>IF(ISNUMBER('_Data inputs (reported)'!I122),'_Data inputs (reported)'!I122,"")</f>
        <v/>
      </c>
      <c r="J122" s="1" t="str">
        <f>IF(ISTEXT('_Data inputs (reported)'!J122),'_Data inputs (reported)'!J122,"")</f>
        <v/>
      </c>
      <c r="K122" s="105" t="str">
        <f>IF(ISTEXT('_Data inputs (reported)'!K122),'_Data inputs (reported)'!K122,"")</f>
        <v/>
      </c>
      <c r="L122" s="105" t="str">
        <f>IF(ISTEXT('_Data inputs (reported)'!L122),'_Data inputs (reported)'!L122,"")</f>
        <v/>
      </c>
      <c r="M122" s="1" t="str">
        <f>IF(ISTEXT('_Data inputs (reported)'!M122),'_Data inputs (reported)'!M122,"")</f>
        <v/>
      </c>
      <c r="N122" s="105" t="str">
        <f>IF(ISTEXT('_Data inputs (reported)'!N122),'_Data inputs (reported)'!N122,"")</f>
        <v/>
      </c>
    </row>
    <row xmlns:x14ac="http://schemas.microsoft.com/office/spreadsheetml/2009/9/ac" r="123" x14ac:dyDescent="0.2">
      <c r="A123" s="105" t="str">
        <f>IF(ISTEXT(VLOOKUP('_Data inputs (reported)'!B123,countryname,2,FALSE)),IF(Introduction!$A$2="English",VLOOKUP('_Data inputs (reported)'!B123,countryname,2,FALSE),IF(Introduction!$A$2="French",VLOOKUP('_Data inputs (reported)'!B123,countryname,3,FALSE),IF(Introduction!$A$2="Spanish",VLOOKUP('_Data inputs (reported)'!B123,countryname,4,FALSE),IF(Introduction!$A$2="Russian",VLOOKUP('_Data inputs (reported)'!B123,countryname,5,FALSE),IF(Introduction!$A$2="Arabic",VLOOKUP('_Data inputs (reported)'!B123,countryname,6,FALSE),IF(Introduction!$A$2="Chinese",VLOOKUP('_Data inputs (reported)'!B123,countryname,7,FALSE),IF(Introduction!$A$2="Other",VLOOKUP('_Data inputs (reported)'!B123,countryname,8,FALSE)))))))),"")</f>
        <v/>
      </c>
      <c r="B123" s="1" t="str">
        <f>IF(ISTEXT('_Data inputs (reported)'!B123),'_Data inputs (reported)'!B123,"")</f>
        <v/>
      </c>
      <c r="C123" s="179" t="str">
        <f>IF(ISBLANK('_Data inputs (reported)'!C123),"",'_Data inputs (reported)'!C123)</f>
        <v/>
      </c>
      <c r="D123" s="105" t="str">
        <f>IF(ISTEXT(VLOOKUP('_Data inputs (reported)'!D123,nametranslations,1,FALSE)),IF(Introduction!$A$2="English",VLOOKUP('_Data inputs (reported)'!D123,nametranslations,1,FALSE),IF(Introduction!$A$2="Spanish",VLOOKUP('_Data inputs (reported)'!D123,nametranslations,2,FALSE),IF(Introduction!$A$2="French",VLOOKUP('_Data inputs (reported)'!D123,nametranslations,3,FALSE),IF(Introduction!$A$2="Arabic",VLOOKUP('_Data inputs (reported)'!D123,nametranslations,4,FALSE),IF(Introduction!$A$2="Russian",VLOOKUP('_Data inputs (reported)'!D123,nametranslations,5,FALSE),IF(Introduction!$A$2="Chinese",VLOOKUP('_Data inputs (reported)'!D123,nametranslations,6,FALSE),IF(Introduction!$A$2="Other",VLOOKUP('_Data inputs (reported)'!D123,nametranslations,7,FALSE)))))))),"")</f>
        <v/>
      </c>
      <c r="E123" s="1" t="str">
        <f>IF(ISTEXT('_Data inputs (reported)'!E123),'_Data inputs (reported)'!E123,"")</f>
        <v/>
      </c>
      <c r="F123" s="8" t="str">
        <f>IF(ISNUMBER('_Data inputs (reported)'!F123),'_Data inputs (reported)'!F123,"")</f>
        <v/>
      </c>
      <c r="G123" s="105" t="str">
        <f>IF(ISTEXT(VLOOKUP('_Data inputs (reported)'!G123,nametranslations,1,FALSE)),IF(Introduction!$A$2="English",VLOOKUP('_Data inputs (reported)'!G123,nametranslations,1,FALSE),IF(Introduction!$A$2="Spanish",VLOOKUP('_Data inputs (reported)'!G123,nametranslations,2,FALSE),IF(Introduction!$A$2="French",VLOOKUP('_Data inputs (reported)'!G123,nametranslations,3,FALSE),IF(Introduction!$A$2="Arabic",VLOOKUP('_Data inputs (reported)'!G123,nametranslations,4,FALSE),IF(Introduction!$A$2="Russian",VLOOKUP('_Data inputs (reported)'!G123,nametranslations,5,FALSE),IF(Introduction!$A$2="Chinese",VLOOKUP('_Data inputs (reported)'!G123,nametranslations,6,FALSE),IF(Introduction!$A$2="Other",VLOOKUP('_Data inputs (reported)'!G123,nametranslations,7,FALSE)))))))),"")</f>
        <v/>
      </c>
      <c r="H123" s="1" t="str">
        <f>IF(ISTEXT('_Data inputs (reported)'!H123),'_Data inputs (reported)'!H123,"")</f>
        <v/>
      </c>
      <c r="I123" s="42" t="str">
        <f>IF(ISNUMBER('_Data inputs (reported)'!I123),'_Data inputs (reported)'!I123,"")</f>
        <v/>
      </c>
      <c r="J123" s="1" t="str">
        <f>IF(ISTEXT('_Data inputs (reported)'!J123),'_Data inputs (reported)'!J123,"")</f>
        <v/>
      </c>
      <c r="K123" s="105" t="str">
        <f>IF(ISTEXT('_Data inputs (reported)'!K123),'_Data inputs (reported)'!K123,"")</f>
        <v/>
      </c>
      <c r="L123" s="105" t="str">
        <f>IF(ISTEXT('_Data inputs (reported)'!L123),'_Data inputs (reported)'!L123,"")</f>
        <v/>
      </c>
      <c r="M123" s="1" t="str">
        <f>IF(ISTEXT('_Data inputs (reported)'!M123),'_Data inputs (reported)'!M123,"")</f>
        <v/>
      </c>
      <c r="N123" s="105" t="str">
        <f>IF(ISTEXT('_Data inputs (reported)'!N123),'_Data inputs (reported)'!N123,"")</f>
        <v/>
      </c>
    </row>
    <row xmlns:x14ac="http://schemas.microsoft.com/office/spreadsheetml/2009/9/ac" r="124" x14ac:dyDescent="0.2">
      <c r="A124" s="105" t="str">
        <f>IF(ISTEXT(VLOOKUP('_Data inputs (reported)'!B124,countryname,2,FALSE)),IF(Introduction!$A$2="English",VLOOKUP('_Data inputs (reported)'!B124,countryname,2,FALSE),IF(Introduction!$A$2="French",VLOOKUP('_Data inputs (reported)'!B124,countryname,3,FALSE),IF(Introduction!$A$2="Spanish",VLOOKUP('_Data inputs (reported)'!B124,countryname,4,FALSE),IF(Introduction!$A$2="Russian",VLOOKUP('_Data inputs (reported)'!B124,countryname,5,FALSE),IF(Introduction!$A$2="Arabic",VLOOKUP('_Data inputs (reported)'!B124,countryname,6,FALSE),IF(Introduction!$A$2="Chinese",VLOOKUP('_Data inputs (reported)'!B124,countryname,7,FALSE),IF(Introduction!$A$2="Other",VLOOKUP('_Data inputs (reported)'!B124,countryname,8,FALSE)))))))),"")</f>
        <v/>
      </c>
      <c r="B124" s="1" t="str">
        <f>IF(ISTEXT('_Data inputs (reported)'!B124),'_Data inputs (reported)'!B124,"")</f>
        <v/>
      </c>
      <c r="C124" s="179" t="str">
        <f>IF(ISBLANK('_Data inputs (reported)'!C124),"",'_Data inputs (reported)'!C124)</f>
        <v/>
      </c>
      <c r="D124" s="105" t="str">
        <f>IF(ISTEXT(VLOOKUP('_Data inputs (reported)'!D124,nametranslations,1,FALSE)),IF(Introduction!$A$2="English",VLOOKUP('_Data inputs (reported)'!D124,nametranslations,1,FALSE),IF(Introduction!$A$2="Spanish",VLOOKUP('_Data inputs (reported)'!D124,nametranslations,2,FALSE),IF(Introduction!$A$2="French",VLOOKUP('_Data inputs (reported)'!D124,nametranslations,3,FALSE),IF(Introduction!$A$2="Arabic",VLOOKUP('_Data inputs (reported)'!D124,nametranslations,4,FALSE),IF(Introduction!$A$2="Russian",VLOOKUP('_Data inputs (reported)'!D124,nametranslations,5,FALSE),IF(Introduction!$A$2="Chinese",VLOOKUP('_Data inputs (reported)'!D124,nametranslations,6,FALSE),IF(Introduction!$A$2="Other",VLOOKUP('_Data inputs (reported)'!D124,nametranslations,7,FALSE)))))))),"")</f>
        <v/>
      </c>
      <c r="E124" s="1" t="str">
        <f>IF(ISTEXT('_Data inputs (reported)'!E124),'_Data inputs (reported)'!E124,"")</f>
        <v/>
      </c>
      <c r="F124" s="8" t="str">
        <f>IF(ISNUMBER('_Data inputs (reported)'!F124),'_Data inputs (reported)'!F124,"")</f>
        <v/>
      </c>
      <c r="G124" s="105" t="str">
        <f>IF(ISTEXT(VLOOKUP('_Data inputs (reported)'!G124,nametranslations,1,FALSE)),IF(Introduction!$A$2="English",VLOOKUP('_Data inputs (reported)'!G124,nametranslations,1,FALSE),IF(Introduction!$A$2="Spanish",VLOOKUP('_Data inputs (reported)'!G124,nametranslations,2,FALSE),IF(Introduction!$A$2="French",VLOOKUP('_Data inputs (reported)'!G124,nametranslations,3,FALSE),IF(Introduction!$A$2="Arabic",VLOOKUP('_Data inputs (reported)'!G124,nametranslations,4,FALSE),IF(Introduction!$A$2="Russian",VLOOKUP('_Data inputs (reported)'!G124,nametranslations,5,FALSE),IF(Introduction!$A$2="Chinese",VLOOKUP('_Data inputs (reported)'!G124,nametranslations,6,FALSE),IF(Introduction!$A$2="Other",VLOOKUP('_Data inputs (reported)'!G124,nametranslations,7,FALSE)))))))),"")</f>
        <v/>
      </c>
      <c r="H124" s="1" t="str">
        <f>IF(ISTEXT('_Data inputs (reported)'!H124),'_Data inputs (reported)'!H124,"")</f>
        <v/>
      </c>
      <c r="I124" s="42" t="str">
        <f>IF(ISNUMBER('_Data inputs (reported)'!I124),'_Data inputs (reported)'!I124,"")</f>
        <v/>
      </c>
      <c r="J124" s="1" t="str">
        <f>IF(ISTEXT('_Data inputs (reported)'!J124),'_Data inputs (reported)'!J124,"")</f>
        <v/>
      </c>
      <c r="K124" s="105" t="str">
        <f>IF(ISTEXT('_Data inputs (reported)'!K124),'_Data inputs (reported)'!K124,"")</f>
        <v/>
      </c>
      <c r="L124" s="105" t="str">
        <f>IF(ISTEXT('_Data inputs (reported)'!L124),'_Data inputs (reported)'!L124,"")</f>
        <v/>
      </c>
      <c r="M124" s="1" t="str">
        <f>IF(ISTEXT('_Data inputs (reported)'!M124),'_Data inputs (reported)'!M124,"")</f>
        <v/>
      </c>
      <c r="N124" s="105" t="str">
        <f>IF(ISTEXT('_Data inputs (reported)'!N124),'_Data inputs (reported)'!N124,"")</f>
        <v/>
      </c>
    </row>
    <row xmlns:x14ac="http://schemas.microsoft.com/office/spreadsheetml/2009/9/ac" r="125" x14ac:dyDescent="0.2">
      <c r="A125" s="105" t="str">
        <f>IF(ISTEXT(VLOOKUP('_Data inputs (reported)'!B125,countryname,2,FALSE)),IF(Introduction!$A$2="English",VLOOKUP('_Data inputs (reported)'!B125,countryname,2,FALSE),IF(Introduction!$A$2="French",VLOOKUP('_Data inputs (reported)'!B125,countryname,3,FALSE),IF(Introduction!$A$2="Spanish",VLOOKUP('_Data inputs (reported)'!B125,countryname,4,FALSE),IF(Introduction!$A$2="Russian",VLOOKUP('_Data inputs (reported)'!B125,countryname,5,FALSE),IF(Introduction!$A$2="Arabic",VLOOKUP('_Data inputs (reported)'!B125,countryname,6,FALSE),IF(Introduction!$A$2="Chinese",VLOOKUP('_Data inputs (reported)'!B125,countryname,7,FALSE),IF(Introduction!$A$2="Other",VLOOKUP('_Data inputs (reported)'!B125,countryname,8,FALSE)))))))),"")</f>
        <v/>
      </c>
      <c r="B125" s="1" t="str">
        <f>IF(ISTEXT('_Data inputs (reported)'!B125),'_Data inputs (reported)'!B125,"")</f>
        <v/>
      </c>
      <c r="C125" s="179" t="str">
        <f>IF(ISBLANK('_Data inputs (reported)'!C125),"",'_Data inputs (reported)'!C125)</f>
        <v/>
      </c>
      <c r="D125" s="105" t="str">
        <f>IF(ISTEXT(VLOOKUP('_Data inputs (reported)'!D125,nametranslations,1,FALSE)),IF(Introduction!$A$2="English",VLOOKUP('_Data inputs (reported)'!D125,nametranslations,1,FALSE),IF(Introduction!$A$2="Spanish",VLOOKUP('_Data inputs (reported)'!D125,nametranslations,2,FALSE),IF(Introduction!$A$2="French",VLOOKUP('_Data inputs (reported)'!D125,nametranslations,3,FALSE),IF(Introduction!$A$2="Arabic",VLOOKUP('_Data inputs (reported)'!D125,nametranslations,4,FALSE),IF(Introduction!$A$2="Russian",VLOOKUP('_Data inputs (reported)'!D125,nametranslations,5,FALSE),IF(Introduction!$A$2="Chinese",VLOOKUP('_Data inputs (reported)'!D125,nametranslations,6,FALSE),IF(Introduction!$A$2="Other",VLOOKUP('_Data inputs (reported)'!D125,nametranslations,7,FALSE)))))))),"")</f>
        <v/>
      </c>
      <c r="E125" s="1" t="str">
        <f>IF(ISTEXT('_Data inputs (reported)'!E125),'_Data inputs (reported)'!E125,"")</f>
        <v/>
      </c>
      <c r="F125" s="8" t="str">
        <f>IF(ISNUMBER('_Data inputs (reported)'!F125),'_Data inputs (reported)'!F125,"")</f>
        <v/>
      </c>
      <c r="G125" s="105" t="str">
        <f>IF(ISTEXT(VLOOKUP('_Data inputs (reported)'!G125,nametranslations,1,FALSE)),IF(Introduction!$A$2="English",VLOOKUP('_Data inputs (reported)'!G125,nametranslations,1,FALSE),IF(Introduction!$A$2="Spanish",VLOOKUP('_Data inputs (reported)'!G125,nametranslations,2,FALSE),IF(Introduction!$A$2="French",VLOOKUP('_Data inputs (reported)'!G125,nametranslations,3,FALSE),IF(Introduction!$A$2="Arabic",VLOOKUP('_Data inputs (reported)'!G125,nametranslations,4,FALSE),IF(Introduction!$A$2="Russian",VLOOKUP('_Data inputs (reported)'!G125,nametranslations,5,FALSE),IF(Introduction!$A$2="Chinese",VLOOKUP('_Data inputs (reported)'!G125,nametranslations,6,FALSE),IF(Introduction!$A$2="Other",VLOOKUP('_Data inputs (reported)'!G125,nametranslations,7,FALSE)))))))),"")</f>
        <v/>
      </c>
      <c r="H125" s="1" t="str">
        <f>IF(ISTEXT('_Data inputs (reported)'!H125),'_Data inputs (reported)'!H125,"")</f>
        <v/>
      </c>
      <c r="I125" s="42" t="str">
        <f>IF(ISNUMBER('_Data inputs (reported)'!I125),'_Data inputs (reported)'!I125,"")</f>
        <v/>
      </c>
      <c r="J125" s="1" t="str">
        <f>IF(ISTEXT('_Data inputs (reported)'!J125),'_Data inputs (reported)'!J125,"")</f>
        <v/>
      </c>
      <c r="K125" s="105" t="str">
        <f>IF(ISTEXT('_Data inputs (reported)'!K125),'_Data inputs (reported)'!K125,"")</f>
        <v/>
      </c>
      <c r="L125" s="105" t="str">
        <f>IF(ISTEXT('_Data inputs (reported)'!L125),'_Data inputs (reported)'!L125,"")</f>
        <v/>
      </c>
      <c r="M125" s="1" t="str">
        <f>IF(ISTEXT('_Data inputs (reported)'!M125),'_Data inputs (reported)'!M125,"")</f>
        <v/>
      </c>
      <c r="N125" s="105" t="str">
        <f>IF(ISTEXT('_Data inputs (reported)'!N125),'_Data inputs (reported)'!N125,"")</f>
        <v/>
      </c>
    </row>
    <row xmlns:x14ac="http://schemas.microsoft.com/office/spreadsheetml/2009/9/ac" r="126" x14ac:dyDescent="0.2">
      <c r="A126" s="105" t="str">
        <f>IF(ISTEXT(VLOOKUP('_Data inputs (reported)'!B126,countryname,2,FALSE)),IF(Introduction!$A$2="English",VLOOKUP('_Data inputs (reported)'!B126,countryname,2,FALSE),IF(Introduction!$A$2="French",VLOOKUP('_Data inputs (reported)'!B126,countryname,3,FALSE),IF(Introduction!$A$2="Spanish",VLOOKUP('_Data inputs (reported)'!B126,countryname,4,FALSE),IF(Introduction!$A$2="Russian",VLOOKUP('_Data inputs (reported)'!B126,countryname,5,FALSE),IF(Introduction!$A$2="Arabic",VLOOKUP('_Data inputs (reported)'!B126,countryname,6,FALSE),IF(Introduction!$A$2="Chinese",VLOOKUP('_Data inputs (reported)'!B126,countryname,7,FALSE),IF(Introduction!$A$2="Other",VLOOKUP('_Data inputs (reported)'!B126,countryname,8,FALSE)))))))),"")</f>
        <v/>
      </c>
      <c r="B126" s="1" t="str">
        <f>IF(ISTEXT('_Data inputs (reported)'!B126),'_Data inputs (reported)'!B126,"")</f>
        <v/>
      </c>
      <c r="C126" s="179" t="str">
        <f>IF(ISBLANK('_Data inputs (reported)'!C126),"",'_Data inputs (reported)'!C126)</f>
        <v/>
      </c>
      <c r="D126" s="105" t="str">
        <f>IF(ISTEXT(VLOOKUP('_Data inputs (reported)'!D126,nametranslations,1,FALSE)),IF(Introduction!$A$2="English",VLOOKUP('_Data inputs (reported)'!D126,nametranslations,1,FALSE),IF(Introduction!$A$2="Spanish",VLOOKUP('_Data inputs (reported)'!D126,nametranslations,2,FALSE),IF(Introduction!$A$2="French",VLOOKUP('_Data inputs (reported)'!D126,nametranslations,3,FALSE),IF(Introduction!$A$2="Arabic",VLOOKUP('_Data inputs (reported)'!D126,nametranslations,4,FALSE),IF(Introduction!$A$2="Russian",VLOOKUP('_Data inputs (reported)'!D126,nametranslations,5,FALSE),IF(Introduction!$A$2="Chinese",VLOOKUP('_Data inputs (reported)'!D126,nametranslations,6,FALSE),IF(Introduction!$A$2="Other",VLOOKUP('_Data inputs (reported)'!D126,nametranslations,7,FALSE)))))))),"")</f>
        <v/>
      </c>
      <c r="E126" s="1" t="str">
        <f>IF(ISTEXT('_Data inputs (reported)'!E126),'_Data inputs (reported)'!E126,"")</f>
        <v/>
      </c>
      <c r="F126" s="8" t="str">
        <f>IF(ISNUMBER('_Data inputs (reported)'!F126),'_Data inputs (reported)'!F126,"")</f>
        <v/>
      </c>
      <c r="G126" s="105" t="str">
        <f>IF(ISTEXT(VLOOKUP('_Data inputs (reported)'!G126,nametranslations,1,FALSE)),IF(Introduction!$A$2="English",VLOOKUP('_Data inputs (reported)'!G126,nametranslations,1,FALSE),IF(Introduction!$A$2="Spanish",VLOOKUP('_Data inputs (reported)'!G126,nametranslations,2,FALSE),IF(Introduction!$A$2="French",VLOOKUP('_Data inputs (reported)'!G126,nametranslations,3,FALSE),IF(Introduction!$A$2="Arabic",VLOOKUP('_Data inputs (reported)'!G126,nametranslations,4,FALSE),IF(Introduction!$A$2="Russian",VLOOKUP('_Data inputs (reported)'!G126,nametranslations,5,FALSE),IF(Introduction!$A$2="Chinese",VLOOKUP('_Data inputs (reported)'!G126,nametranslations,6,FALSE),IF(Introduction!$A$2="Other",VLOOKUP('_Data inputs (reported)'!G126,nametranslations,7,FALSE)))))))),"")</f>
        <v/>
      </c>
      <c r="H126" s="1" t="str">
        <f>IF(ISTEXT('_Data inputs (reported)'!H126),'_Data inputs (reported)'!H126,"")</f>
        <v/>
      </c>
      <c r="I126" s="42" t="str">
        <f>IF(ISNUMBER('_Data inputs (reported)'!I126),'_Data inputs (reported)'!I126,"")</f>
        <v/>
      </c>
      <c r="J126" s="1" t="str">
        <f>IF(ISTEXT('_Data inputs (reported)'!J126),'_Data inputs (reported)'!J126,"")</f>
        <v/>
      </c>
      <c r="K126" s="105" t="str">
        <f>IF(ISTEXT('_Data inputs (reported)'!K126),'_Data inputs (reported)'!K126,"")</f>
        <v/>
      </c>
      <c r="L126" s="105" t="str">
        <f>IF(ISTEXT('_Data inputs (reported)'!L126),'_Data inputs (reported)'!L126,"")</f>
        <v/>
      </c>
      <c r="M126" s="1" t="str">
        <f>IF(ISTEXT('_Data inputs (reported)'!M126),'_Data inputs (reported)'!M126,"")</f>
        <v/>
      </c>
      <c r="N126" s="105" t="str">
        <f>IF(ISTEXT('_Data inputs (reported)'!N126),'_Data inputs (reported)'!N126,"")</f>
        <v/>
      </c>
    </row>
    <row xmlns:x14ac="http://schemas.microsoft.com/office/spreadsheetml/2009/9/ac" r="127" x14ac:dyDescent="0.2">
      <c r="A127" s="105" t="str">
        <f>IF(ISTEXT(VLOOKUP('_Data inputs (reported)'!B127,countryname,2,FALSE)),IF(Introduction!$A$2="English",VLOOKUP('_Data inputs (reported)'!B127,countryname,2,FALSE),IF(Introduction!$A$2="French",VLOOKUP('_Data inputs (reported)'!B127,countryname,3,FALSE),IF(Introduction!$A$2="Spanish",VLOOKUP('_Data inputs (reported)'!B127,countryname,4,FALSE),IF(Introduction!$A$2="Russian",VLOOKUP('_Data inputs (reported)'!B127,countryname,5,FALSE),IF(Introduction!$A$2="Arabic",VLOOKUP('_Data inputs (reported)'!B127,countryname,6,FALSE),IF(Introduction!$A$2="Chinese",VLOOKUP('_Data inputs (reported)'!B127,countryname,7,FALSE),IF(Introduction!$A$2="Other",VLOOKUP('_Data inputs (reported)'!B127,countryname,8,FALSE)))))))),"")</f>
        <v/>
      </c>
      <c r="B127" s="1" t="str">
        <f>IF(ISTEXT('_Data inputs (reported)'!B127),'_Data inputs (reported)'!B127,"")</f>
        <v/>
      </c>
      <c r="C127" s="179" t="str">
        <f>IF(ISBLANK('_Data inputs (reported)'!C127),"",'_Data inputs (reported)'!C127)</f>
        <v/>
      </c>
      <c r="D127" s="105" t="str">
        <f>IF(ISTEXT(VLOOKUP('_Data inputs (reported)'!D127,nametranslations,1,FALSE)),IF(Introduction!$A$2="English",VLOOKUP('_Data inputs (reported)'!D127,nametranslations,1,FALSE),IF(Introduction!$A$2="Spanish",VLOOKUP('_Data inputs (reported)'!D127,nametranslations,2,FALSE),IF(Introduction!$A$2="French",VLOOKUP('_Data inputs (reported)'!D127,nametranslations,3,FALSE),IF(Introduction!$A$2="Arabic",VLOOKUP('_Data inputs (reported)'!D127,nametranslations,4,FALSE),IF(Introduction!$A$2="Russian",VLOOKUP('_Data inputs (reported)'!D127,nametranslations,5,FALSE),IF(Introduction!$A$2="Chinese",VLOOKUP('_Data inputs (reported)'!D127,nametranslations,6,FALSE),IF(Introduction!$A$2="Other",VLOOKUP('_Data inputs (reported)'!D127,nametranslations,7,FALSE)))))))),"")</f>
        <v/>
      </c>
      <c r="E127" s="1" t="str">
        <f>IF(ISTEXT('_Data inputs (reported)'!E127),'_Data inputs (reported)'!E127,"")</f>
        <v/>
      </c>
      <c r="F127" s="8" t="str">
        <f>IF(ISNUMBER('_Data inputs (reported)'!F127),'_Data inputs (reported)'!F127,"")</f>
        <v/>
      </c>
      <c r="G127" s="105" t="str">
        <f>IF(ISTEXT(VLOOKUP('_Data inputs (reported)'!G127,nametranslations,1,FALSE)),IF(Introduction!$A$2="English",VLOOKUP('_Data inputs (reported)'!G127,nametranslations,1,FALSE),IF(Introduction!$A$2="Spanish",VLOOKUP('_Data inputs (reported)'!G127,nametranslations,2,FALSE),IF(Introduction!$A$2="French",VLOOKUP('_Data inputs (reported)'!G127,nametranslations,3,FALSE),IF(Introduction!$A$2="Arabic",VLOOKUP('_Data inputs (reported)'!G127,nametranslations,4,FALSE),IF(Introduction!$A$2="Russian",VLOOKUP('_Data inputs (reported)'!G127,nametranslations,5,FALSE),IF(Introduction!$A$2="Chinese",VLOOKUP('_Data inputs (reported)'!G127,nametranslations,6,FALSE),IF(Introduction!$A$2="Other",VLOOKUP('_Data inputs (reported)'!G127,nametranslations,7,FALSE)))))))),"")</f>
        <v/>
      </c>
      <c r="H127" s="1" t="str">
        <f>IF(ISTEXT('_Data inputs (reported)'!H127),'_Data inputs (reported)'!H127,"")</f>
        <v/>
      </c>
      <c r="I127" s="42" t="str">
        <f>IF(ISNUMBER('_Data inputs (reported)'!I127),'_Data inputs (reported)'!I127,"")</f>
        <v/>
      </c>
      <c r="J127" s="1" t="str">
        <f>IF(ISTEXT('_Data inputs (reported)'!J127),'_Data inputs (reported)'!J127,"")</f>
        <v/>
      </c>
      <c r="K127" s="105" t="str">
        <f>IF(ISTEXT('_Data inputs (reported)'!K127),'_Data inputs (reported)'!K127,"")</f>
        <v/>
      </c>
      <c r="L127" s="105" t="str">
        <f>IF(ISTEXT('_Data inputs (reported)'!L127),'_Data inputs (reported)'!L127,"")</f>
        <v/>
      </c>
      <c r="M127" s="1" t="str">
        <f>IF(ISTEXT('_Data inputs (reported)'!M127),'_Data inputs (reported)'!M127,"")</f>
        <v/>
      </c>
      <c r="N127" s="105" t="str">
        <f>IF(ISTEXT('_Data inputs (reported)'!N127),'_Data inputs (reported)'!N127,"")</f>
        <v/>
      </c>
    </row>
    <row xmlns:x14ac="http://schemas.microsoft.com/office/spreadsheetml/2009/9/ac" r="128" x14ac:dyDescent="0.2">
      <c r="A128" s="105" t="str">
        <f>IF(ISTEXT(VLOOKUP('_Data inputs (reported)'!B128,countryname,2,FALSE)),IF(Introduction!$A$2="English",VLOOKUP('_Data inputs (reported)'!B128,countryname,2,FALSE),IF(Introduction!$A$2="French",VLOOKUP('_Data inputs (reported)'!B128,countryname,3,FALSE),IF(Introduction!$A$2="Spanish",VLOOKUP('_Data inputs (reported)'!B128,countryname,4,FALSE),IF(Introduction!$A$2="Russian",VLOOKUP('_Data inputs (reported)'!B128,countryname,5,FALSE),IF(Introduction!$A$2="Arabic",VLOOKUP('_Data inputs (reported)'!B128,countryname,6,FALSE),IF(Introduction!$A$2="Chinese",VLOOKUP('_Data inputs (reported)'!B128,countryname,7,FALSE),IF(Introduction!$A$2="Other",VLOOKUP('_Data inputs (reported)'!B128,countryname,8,FALSE)))))))),"")</f>
        <v/>
      </c>
      <c r="B128" s="1" t="str">
        <f>IF(ISTEXT('_Data inputs (reported)'!B128),'_Data inputs (reported)'!B128,"")</f>
        <v/>
      </c>
      <c r="C128" s="179" t="str">
        <f>IF(ISBLANK('_Data inputs (reported)'!C128),"",'_Data inputs (reported)'!C128)</f>
        <v/>
      </c>
      <c r="D128" s="105" t="str">
        <f>IF(ISTEXT(VLOOKUP('_Data inputs (reported)'!D128,nametranslations,1,FALSE)),IF(Introduction!$A$2="English",VLOOKUP('_Data inputs (reported)'!D128,nametranslations,1,FALSE),IF(Introduction!$A$2="Spanish",VLOOKUP('_Data inputs (reported)'!D128,nametranslations,2,FALSE),IF(Introduction!$A$2="French",VLOOKUP('_Data inputs (reported)'!D128,nametranslations,3,FALSE),IF(Introduction!$A$2="Arabic",VLOOKUP('_Data inputs (reported)'!D128,nametranslations,4,FALSE),IF(Introduction!$A$2="Russian",VLOOKUP('_Data inputs (reported)'!D128,nametranslations,5,FALSE),IF(Introduction!$A$2="Chinese",VLOOKUP('_Data inputs (reported)'!D128,nametranslations,6,FALSE),IF(Introduction!$A$2="Other",VLOOKUP('_Data inputs (reported)'!D128,nametranslations,7,FALSE)))))))),"")</f>
        <v/>
      </c>
      <c r="E128" s="1" t="str">
        <f>IF(ISTEXT('_Data inputs (reported)'!E128),'_Data inputs (reported)'!E128,"")</f>
        <v/>
      </c>
      <c r="F128" s="8" t="str">
        <f>IF(ISNUMBER('_Data inputs (reported)'!F128),'_Data inputs (reported)'!F128,"")</f>
        <v/>
      </c>
      <c r="G128" s="105" t="str">
        <f>IF(ISTEXT(VLOOKUP('_Data inputs (reported)'!G128,nametranslations,1,FALSE)),IF(Introduction!$A$2="English",VLOOKUP('_Data inputs (reported)'!G128,nametranslations,1,FALSE),IF(Introduction!$A$2="Spanish",VLOOKUP('_Data inputs (reported)'!G128,nametranslations,2,FALSE),IF(Introduction!$A$2="French",VLOOKUP('_Data inputs (reported)'!G128,nametranslations,3,FALSE),IF(Introduction!$A$2="Arabic",VLOOKUP('_Data inputs (reported)'!G128,nametranslations,4,FALSE),IF(Introduction!$A$2="Russian",VLOOKUP('_Data inputs (reported)'!G128,nametranslations,5,FALSE),IF(Introduction!$A$2="Chinese",VLOOKUP('_Data inputs (reported)'!G128,nametranslations,6,FALSE),IF(Introduction!$A$2="Other",VLOOKUP('_Data inputs (reported)'!G128,nametranslations,7,FALSE)))))))),"")</f>
        <v/>
      </c>
      <c r="H128" s="1" t="str">
        <f>IF(ISTEXT('_Data inputs (reported)'!H128),'_Data inputs (reported)'!H128,"")</f>
        <v/>
      </c>
      <c r="I128" s="42" t="str">
        <f>IF(ISNUMBER('_Data inputs (reported)'!I128),'_Data inputs (reported)'!I128,"")</f>
        <v/>
      </c>
      <c r="J128" s="1" t="str">
        <f>IF(ISTEXT('_Data inputs (reported)'!J128),'_Data inputs (reported)'!J128,"")</f>
        <v/>
      </c>
      <c r="K128" s="105" t="str">
        <f>IF(ISTEXT('_Data inputs (reported)'!K128),'_Data inputs (reported)'!K128,"")</f>
        <v/>
      </c>
      <c r="L128" s="105" t="str">
        <f>IF(ISTEXT('_Data inputs (reported)'!L128),'_Data inputs (reported)'!L128,"")</f>
        <v/>
      </c>
      <c r="M128" s="1" t="str">
        <f>IF(ISTEXT('_Data inputs (reported)'!M128),'_Data inputs (reported)'!M128,"")</f>
        <v/>
      </c>
      <c r="N128" s="105" t="str">
        <f>IF(ISTEXT('_Data inputs (reported)'!N128),'_Data inputs (reported)'!N128,"")</f>
        <v/>
      </c>
    </row>
    <row xmlns:x14ac="http://schemas.microsoft.com/office/spreadsheetml/2009/9/ac" r="129" x14ac:dyDescent="0.2">
      <c r="A129" s="105" t="str">
        <f>IF(ISTEXT(VLOOKUP('_Data inputs (reported)'!B129,countryname,2,FALSE)),IF(Introduction!$A$2="English",VLOOKUP('_Data inputs (reported)'!B129,countryname,2,FALSE),IF(Introduction!$A$2="French",VLOOKUP('_Data inputs (reported)'!B129,countryname,3,FALSE),IF(Introduction!$A$2="Spanish",VLOOKUP('_Data inputs (reported)'!B129,countryname,4,FALSE),IF(Introduction!$A$2="Russian",VLOOKUP('_Data inputs (reported)'!B129,countryname,5,FALSE),IF(Introduction!$A$2="Arabic",VLOOKUP('_Data inputs (reported)'!B129,countryname,6,FALSE),IF(Introduction!$A$2="Chinese",VLOOKUP('_Data inputs (reported)'!B129,countryname,7,FALSE),IF(Introduction!$A$2="Other",VLOOKUP('_Data inputs (reported)'!B129,countryname,8,FALSE)))))))),"")</f>
        <v/>
      </c>
      <c r="B129" s="1" t="str">
        <f>IF(ISTEXT('_Data inputs (reported)'!B129),'_Data inputs (reported)'!B129,"")</f>
        <v/>
      </c>
      <c r="C129" s="179" t="str">
        <f>IF(ISBLANK('_Data inputs (reported)'!C129),"",'_Data inputs (reported)'!C129)</f>
        <v/>
      </c>
      <c r="D129" s="105" t="str">
        <f>IF(ISTEXT(VLOOKUP('_Data inputs (reported)'!D129,nametranslations,1,FALSE)),IF(Introduction!$A$2="English",VLOOKUP('_Data inputs (reported)'!D129,nametranslations,1,FALSE),IF(Introduction!$A$2="Spanish",VLOOKUP('_Data inputs (reported)'!D129,nametranslations,2,FALSE),IF(Introduction!$A$2="French",VLOOKUP('_Data inputs (reported)'!D129,nametranslations,3,FALSE),IF(Introduction!$A$2="Arabic",VLOOKUP('_Data inputs (reported)'!D129,nametranslations,4,FALSE),IF(Introduction!$A$2="Russian",VLOOKUP('_Data inputs (reported)'!D129,nametranslations,5,FALSE),IF(Introduction!$A$2="Chinese",VLOOKUP('_Data inputs (reported)'!D129,nametranslations,6,FALSE),IF(Introduction!$A$2="Other",VLOOKUP('_Data inputs (reported)'!D129,nametranslations,7,FALSE)))))))),"")</f>
        <v/>
      </c>
      <c r="E129" s="1" t="str">
        <f>IF(ISTEXT('_Data inputs (reported)'!E129),'_Data inputs (reported)'!E129,"")</f>
        <v/>
      </c>
      <c r="F129" s="8" t="str">
        <f>IF(ISNUMBER('_Data inputs (reported)'!F129),'_Data inputs (reported)'!F129,"")</f>
        <v/>
      </c>
      <c r="G129" s="105" t="str">
        <f>IF(ISTEXT(VLOOKUP('_Data inputs (reported)'!G129,nametranslations,1,FALSE)),IF(Introduction!$A$2="English",VLOOKUP('_Data inputs (reported)'!G129,nametranslations,1,FALSE),IF(Introduction!$A$2="Spanish",VLOOKUP('_Data inputs (reported)'!G129,nametranslations,2,FALSE),IF(Introduction!$A$2="French",VLOOKUP('_Data inputs (reported)'!G129,nametranslations,3,FALSE),IF(Introduction!$A$2="Arabic",VLOOKUP('_Data inputs (reported)'!G129,nametranslations,4,FALSE),IF(Introduction!$A$2="Russian",VLOOKUP('_Data inputs (reported)'!G129,nametranslations,5,FALSE),IF(Introduction!$A$2="Chinese",VLOOKUP('_Data inputs (reported)'!G129,nametranslations,6,FALSE),IF(Introduction!$A$2="Other",VLOOKUP('_Data inputs (reported)'!G129,nametranslations,7,FALSE)))))))),"")</f>
        <v/>
      </c>
      <c r="H129" s="1" t="str">
        <f>IF(ISTEXT('_Data inputs (reported)'!H129),'_Data inputs (reported)'!H129,"")</f>
        <v/>
      </c>
      <c r="I129" s="42" t="str">
        <f>IF(ISNUMBER('_Data inputs (reported)'!I129),'_Data inputs (reported)'!I129,"")</f>
        <v/>
      </c>
      <c r="J129" s="1" t="str">
        <f>IF(ISTEXT('_Data inputs (reported)'!J129),'_Data inputs (reported)'!J129,"")</f>
        <v/>
      </c>
      <c r="K129" s="105" t="str">
        <f>IF(ISTEXT('_Data inputs (reported)'!K129),'_Data inputs (reported)'!K129,"")</f>
        <v/>
      </c>
      <c r="L129" s="105" t="str">
        <f>IF(ISTEXT('_Data inputs (reported)'!L129),'_Data inputs (reported)'!L129,"")</f>
        <v/>
      </c>
      <c r="M129" s="1" t="str">
        <f>IF(ISTEXT('_Data inputs (reported)'!M129),'_Data inputs (reported)'!M129,"")</f>
        <v/>
      </c>
      <c r="N129" s="105" t="str">
        <f>IF(ISTEXT('_Data inputs (reported)'!N129),'_Data inputs (reported)'!N129,"")</f>
        <v/>
      </c>
    </row>
    <row xmlns:x14ac="http://schemas.microsoft.com/office/spreadsheetml/2009/9/ac" r="130" x14ac:dyDescent="0.2">
      <c r="A130" s="105" t="str">
        <f>IF(ISTEXT(VLOOKUP('_Data inputs (reported)'!B130,countryname,2,FALSE)),IF(Introduction!$A$2="English",VLOOKUP('_Data inputs (reported)'!B130,countryname,2,FALSE),IF(Introduction!$A$2="French",VLOOKUP('_Data inputs (reported)'!B130,countryname,3,FALSE),IF(Introduction!$A$2="Spanish",VLOOKUP('_Data inputs (reported)'!B130,countryname,4,FALSE),IF(Introduction!$A$2="Russian",VLOOKUP('_Data inputs (reported)'!B130,countryname,5,FALSE),IF(Introduction!$A$2="Arabic",VLOOKUP('_Data inputs (reported)'!B130,countryname,6,FALSE),IF(Introduction!$A$2="Chinese",VLOOKUP('_Data inputs (reported)'!B130,countryname,7,FALSE),IF(Introduction!$A$2="Other",VLOOKUP('_Data inputs (reported)'!B130,countryname,8,FALSE)))))))),"")</f>
        <v/>
      </c>
      <c r="B130" s="1" t="str">
        <f>IF(ISTEXT('_Data inputs (reported)'!B130),'_Data inputs (reported)'!B130,"")</f>
        <v/>
      </c>
      <c r="C130" s="179" t="str">
        <f>IF(ISBLANK('_Data inputs (reported)'!C130),"",'_Data inputs (reported)'!C130)</f>
        <v/>
      </c>
      <c r="D130" s="105" t="str">
        <f>IF(ISTEXT(VLOOKUP('_Data inputs (reported)'!D130,nametranslations,1,FALSE)),IF(Introduction!$A$2="English",VLOOKUP('_Data inputs (reported)'!D130,nametranslations,1,FALSE),IF(Introduction!$A$2="Spanish",VLOOKUP('_Data inputs (reported)'!D130,nametranslations,2,FALSE),IF(Introduction!$A$2="French",VLOOKUP('_Data inputs (reported)'!D130,nametranslations,3,FALSE),IF(Introduction!$A$2="Arabic",VLOOKUP('_Data inputs (reported)'!D130,nametranslations,4,FALSE),IF(Introduction!$A$2="Russian",VLOOKUP('_Data inputs (reported)'!D130,nametranslations,5,FALSE),IF(Introduction!$A$2="Chinese",VLOOKUP('_Data inputs (reported)'!D130,nametranslations,6,FALSE),IF(Introduction!$A$2="Other",VLOOKUP('_Data inputs (reported)'!D130,nametranslations,7,FALSE)))))))),"")</f>
        <v/>
      </c>
      <c r="E130" s="1" t="str">
        <f>IF(ISTEXT('_Data inputs (reported)'!E130),'_Data inputs (reported)'!E130,"")</f>
        <v/>
      </c>
      <c r="F130" s="8" t="str">
        <f>IF(ISNUMBER('_Data inputs (reported)'!F130),'_Data inputs (reported)'!F130,"")</f>
        <v/>
      </c>
      <c r="G130" s="105" t="str">
        <f>IF(ISTEXT(VLOOKUP('_Data inputs (reported)'!G130,nametranslations,1,FALSE)),IF(Introduction!$A$2="English",VLOOKUP('_Data inputs (reported)'!G130,nametranslations,1,FALSE),IF(Introduction!$A$2="Spanish",VLOOKUP('_Data inputs (reported)'!G130,nametranslations,2,FALSE),IF(Introduction!$A$2="French",VLOOKUP('_Data inputs (reported)'!G130,nametranslations,3,FALSE),IF(Introduction!$A$2="Arabic",VLOOKUP('_Data inputs (reported)'!G130,nametranslations,4,FALSE),IF(Introduction!$A$2="Russian",VLOOKUP('_Data inputs (reported)'!G130,nametranslations,5,FALSE),IF(Introduction!$A$2="Chinese",VLOOKUP('_Data inputs (reported)'!G130,nametranslations,6,FALSE),IF(Introduction!$A$2="Other",VLOOKUP('_Data inputs (reported)'!G130,nametranslations,7,FALSE)))))))),"")</f>
        <v/>
      </c>
      <c r="H130" s="1" t="str">
        <f>IF(ISTEXT('_Data inputs (reported)'!H130),'_Data inputs (reported)'!H130,"")</f>
        <v/>
      </c>
      <c r="I130" s="42" t="str">
        <f>IF(ISNUMBER('_Data inputs (reported)'!I130),'_Data inputs (reported)'!I130,"")</f>
        <v/>
      </c>
      <c r="J130" s="1" t="str">
        <f>IF(ISTEXT('_Data inputs (reported)'!J130),'_Data inputs (reported)'!J130,"")</f>
        <v/>
      </c>
      <c r="K130" s="105" t="str">
        <f>IF(ISTEXT('_Data inputs (reported)'!K130),'_Data inputs (reported)'!K130,"")</f>
        <v/>
      </c>
      <c r="L130" s="105" t="str">
        <f>IF(ISTEXT('_Data inputs (reported)'!L130),'_Data inputs (reported)'!L130,"")</f>
        <v/>
      </c>
      <c r="M130" s="1" t="str">
        <f>IF(ISTEXT('_Data inputs (reported)'!M130),'_Data inputs (reported)'!M130,"")</f>
        <v/>
      </c>
      <c r="N130" s="105" t="str">
        <f>IF(ISTEXT('_Data inputs (reported)'!N130),'_Data inputs (reported)'!N130,"")</f>
        <v/>
      </c>
    </row>
    <row xmlns:x14ac="http://schemas.microsoft.com/office/spreadsheetml/2009/9/ac" r="131" x14ac:dyDescent="0.2">
      <c r="A131" s="105" t="str">
        <f>IF(ISTEXT(VLOOKUP('_Data inputs (reported)'!B131,countryname,2,FALSE)),IF(Introduction!$A$2="English",VLOOKUP('_Data inputs (reported)'!B131,countryname,2,FALSE),IF(Introduction!$A$2="French",VLOOKUP('_Data inputs (reported)'!B131,countryname,3,FALSE),IF(Introduction!$A$2="Spanish",VLOOKUP('_Data inputs (reported)'!B131,countryname,4,FALSE),IF(Introduction!$A$2="Russian",VLOOKUP('_Data inputs (reported)'!B131,countryname,5,FALSE),IF(Introduction!$A$2="Arabic",VLOOKUP('_Data inputs (reported)'!B131,countryname,6,FALSE),IF(Introduction!$A$2="Chinese",VLOOKUP('_Data inputs (reported)'!B131,countryname,7,FALSE),IF(Introduction!$A$2="Other",VLOOKUP('_Data inputs (reported)'!B131,countryname,8,FALSE)))))))),"")</f>
        <v/>
      </c>
      <c r="B131" s="1" t="str">
        <f>IF(ISTEXT('_Data inputs (reported)'!B131),'_Data inputs (reported)'!B131,"")</f>
        <v/>
      </c>
      <c r="C131" s="179" t="str">
        <f>IF(ISBLANK('_Data inputs (reported)'!C131),"",'_Data inputs (reported)'!C131)</f>
        <v/>
      </c>
      <c r="D131" s="105" t="str">
        <f>IF(ISTEXT(VLOOKUP('_Data inputs (reported)'!D131,nametranslations,1,FALSE)),IF(Introduction!$A$2="English",VLOOKUP('_Data inputs (reported)'!D131,nametranslations,1,FALSE),IF(Introduction!$A$2="Spanish",VLOOKUP('_Data inputs (reported)'!D131,nametranslations,2,FALSE),IF(Introduction!$A$2="French",VLOOKUP('_Data inputs (reported)'!D131,nametranslations,3,FALSE),IF(Introduction!$A$2="Arabic",VLOOKUP('_Data inputs (reported)'!D131,nametranslations,4,FALSE),IF(Introduction!$A$2="Russian",VLOOKUP('_Data inputs (reported)'!D131,nametranslations,5,FALSE),IF(Introduction!$A$2="Chinese",VLOOKUP('_Data inputs (reported)'!D131,nametranslations,6,FALSE),IF(Introduction!$A$2="Other",VLOOKUP('_Data inputs (reported)'!D131,nametranslations,7,FALSE)))))))),"")</f>
        <v/>
      </c>
      <c r="E131" s="1" t="str">
        <f>IF(ISTEXT('_Data inputs (reported)'!E131),'_Data inputs (reported)'!E131,"")</f>
        <v/>
      </c>
      <c r="F131" s="8" t="str">
        <f>IF(ISNUMBER('_Data inputs (reported)'!F131),'_Data inputs (reported)'!F131,"")</f>
        <v/>
      </c>
      <c r="G131" s="105" t="str">
        <f>IF(ISTEXT(VLOOKUP('_Data inputs (reported)'!G131,nametranslations,1,FALSE)),IF(Introduction!$A$2="English",VLOOKUP('_Data inputs (reported)'!G131,nametranslations,1,FALSE),IF(Introduction!$A$2="Spanish",VLOOKUP('_Data inputs (reported)'!G131,nametranslations,2,FALSE),IF(Introduction!$A$2="French",VLOOKUP('_Data inputs (reported)'!G131,nametranslations,3,FALSE),IF(Introduction!$A$2="Arabic",VLOOKUP('_Data inputs (reported)'!G131,nametranslations,4,FALSE),IF(Introduction!$A$2="Russian",VLOOKUP('_Data inputs (reported)'!G131,nametranslations,5,FALSE),IF(Introduction!$A$2="Chinese",VLOOKUP('_Data inputs (reported)'!G131,nametranslations,6,FALSE),IF(Introduction!$A$2="Other",VLOOKUP('_Data inputs (reported)'!G131,nametranslations,7,FALSE)))))))),"")</f>
        <v/>
      </c>
      <c r="H131" s="1" t="str">
        <f>IF(ISTEXT('_Data inputs (reported)'!H131),'_Data inputs (reported)'!H131,"")</f>
        <v/>
      </c>
      <c r="I131" s="42" t="str">
        <f>IF(ISNUMBER('_Data inputs (reported)'!I131),'_Data inputs (reported)'!I131,"")</f>
        <v/>
      </c>
      <c r="J131" s="1" t="str">
        <f>IF(ISTEXT('_Data inputs (reported)'!J131),'_Data inputs (reported)'!J131,"")</f>
        <v/>
      </c>
      <c r="K131" s="105" t="str">
        <f>IF(ISTEXT('_Data inputs (reported)'!K131),'_Data inputs (reported)'!K131,"")</f>
        <v/>
      </c>
      <c r="L131" s="105" t="str">
        <f>IF(ISTEXT('_Data inputs (reported)'!L131),'_Data inputs (reported)'!L131,"")</f>
        <v/>
      </c>
      <c r="M131" s="1" t="str">
        <f>IF(ISTEXT('_Data inputs (reported)'!M131),'_Data inputs (reported)'!M131,"")</f>
        <v/>
      </c>
      <c r="N131" s="105" t="str">
        <f>IF(ISTEXT('_Data inputs (reported)'!N131),'_Data inputs (reported)'!N131,"")</f>
        <v/>
      </c>
    </row>
    <row xmlns:x14ac="http://schemas.microsoft.com/office/spreadsheetml/2009/9/ac" r="132" x14ac:dyDescent="0.2">
      <c r="A132" s="105" t="str">
        <f>IF(ISTEXT(VLOOKUP('_Data inputs (reported)'!B132,countryname,2,FALSE)),IF(Introduction!$A$2="English",VLOOKUP('_Data inputs (reported)'!B132,countryname,2,FALSE),IF(Introduction!$A$2="French",VLOOKUP('_Data inputs (reported)'!B132,countryname,3,FALSE),IF(Introduction!$A$2="Spanish",VLOOKUP('_Data inputs (reported)'!B132,countryname,4,FALSE),IF(Introduction!$A$2="Russian",VLOOKUP('_Data inputs (reported)'!B132,countryname,5,FALSE),IF(Introduction!$A$2="Arabic",VLOOKUP('_Data inputs (reported)'!B132,countryname,6,FALSE),IF(Introduction!$A$2="Chinese",VLOOKUP('_Data inputs (reported)'!B132,countryname,7,FALSE),IF(Introduction!$A$2="Other",VLOOKUP('_Data inputs (reported)'!B132,countryname,8,FALSE)))))))),"")</f>
        <v/>
      </c>
      <c r="B132" s="1" t="str">
        <f>IF(ISTEXT('_Data inputs (reported)'!B132),'_Data inputs (reported)'!B132,"")</f>
        <v/>
      </c>
      <c r="C132" s="179" t="str">
        <f>IF(ISBLANK('_Data inputs (reported)'!C132),"",'_Data inputs (reported)'!C132)</f>
        <v/>
      </c>
      <c r="D132" s="105" t="str">
        <f>IF(ISTEXT(VLOOKUP('_Data inputs (reported)'!D132,nametranslations,1,FALSE)),IF(Introduction!$A$2="English",VLOOKUP('_Data inputs (reported)'!D132,nametranslations,1,FALSE),IF(Introduction!$A$2="Spanish",VLOOKUP('_Data inputs (reported)'!D132,nametranslations,2,FALSE),IF(Introduction!$A$2="French",VLOOKUP('_Data inputs (reported)'!D132,nametranslations,3,FALSE),IF(Introduction!$A$2="Arabic",VLOOKUP('_Data inputs (reported)'!D132,nametranslations,4,FALSE),IF(Introduction!$A$2="Russian",VLOOKUP('_Data inputs (reported)'!D132,nametranslations,5,FALSE),IF(Introduction!$A$2="Chinese",VLOOKUP('_Data inputs (reported)'!D132,nametranslations,6,FALSE),IF(Introduction!$A$2="Other",VLOOKUP('_Data inputs (reported)'!D132,nametranslations,7,FALSE)))))))),"")</f>
        <v/>
      </c>
      <c r="E132" s="1" t="str">
        <f>IF(ISTEXT('_Data inputs (reported)'!E132),'_Data inputs (reported)'!E132,"")</f>
        <v/>
      </c>
      <c r="F132" s="8" t="str">
        <f>IF(ISNUMBER('_Data inputs (reported)'!F132),'_Data inputs (reported)'!F132,"")</f>
        <v/>
      </c>
      <c r="G132" s="105" t="str">
        <f>IF(ISTEXT(VLOOKUP('_Data inputs (reported)'!G132,nametranslations,1,FALSE)),IF(Introduction!$A$2="English",VLOOKUP('_Data inputs (reported)'!G132,nametranslations,1,FALSE),IF(Introduction!$A$2="Spanish",VLOOKUP('_Data inputs (reported)'!G132,nametranslations,2,FALSE),IF(Introduction!$A$2="French",VLOOKUP('_Data inputs (reported)'!G132,nametranslations,3,FALSE),IF(Introduction!$A$2="Arabic",VLOOKUP('_Data inputs (reported)'!G132,nametranslations,4,FALSE),IF(Introduction!$A$2="Russian",VLOOKUP('_Data inputs (reported)'!G132,nametranslations,5,FALSE),IF(Introduction!$A$2="Chinese",VLOOKUP('_Data inputs (reported)'!G132,nametranslations,6,FALSE),IF(Introduction!$A$2="Other",VLOOKUP('_Data inputs (reported)'!G132,nametranslations,7,FALSE)))))))),"")</f>
        <v/>
      </c>
      <c r="H132" s="1" t="str">
        <f>IF(ISTEXT('_Data inputs (reported)'!H132),'_Data inputs (reported)'!H132,"")</f>
        <v/>
      </c>
      <c r="I132" s="42" t="str">
        <f>IF(ISNUMBER('_Data inputs (reported)'!I132),'_Data inputs (reported)'!I132,"")</f>
        <v/>
      </c>
      <c r="J132" s="1" t="str">
        <f>IF(ISTEXT('_Data inputs (reported)'!J132),'_Data inputs (reported)'!J132,"")</f>
        <v/>
      </c>
      <c r="K132" s="105" t="str">
        <f>IF(ISTEXT('_Data inputs (reported)'!K132),'_Data inputs (reported)'!K132,"")</f>
        <v/>
      </c>
      <c r="L132" s="105" t="str">
        <f>IF(ISTEXT('_Data inputs (reported)'!L132),'_Data inputs (reported)'!L132,"")</f>
        <v/>
      </c>
      <c r="M132" s="1" t="str">
        <f>IF(ISTEXT('_Data inputs (reported)'!M132),'_Data inputs (reported)'!M132,"")</f>
        <v/>
      </c>
      <c r="N132" s="105" t="str">
        <f>IF(ISTEXT('_Data inputs (reported)'!N132),'_Data inputs (reported)'!N132,"")</f>
        <v/>
      </c>
    </row>
    <row xmlns:x14ac="http://schemas.microsoft.com/office/spreadsheetml/2009/9/ac" r="133" x14ac:dyDescent="0.2">
      <c r="A133" s="105" t="str">
        <f>IF(ISTEXT(VLOOKUP('_Data inputs (reported)'!B133,countryname,2,FALSE)),IF(Introduction!$A$2="English",VLOOKUP('_Data inputs (reported)'!B133,countryname,2,FALSE),IF(Introduction!$A$2="French",VLOOKUP('_Data inputs (reported)'!B133,countryname,3,FALSE),IF(Introduction!$A$2="Spanish",VLOOKUP('_Data inputs (reported)'!B133,countryname,4,FALSE),IF(Introduction!$A$2="Russian",VLOOKUP('_Data inputs (reported)'!B133,countryname,5,FALSE),IF(Introduction!$A$2="Arabic",VLOOKUP('_Data inputs (reported)'!B133,countryname,6,FALSE),IF(Introduction!$A$2="Chinese",VLOOKUP('_Data inputs (reported)'!B133,countryname,7,FALSE),IF(Introduction!$A$2="Other",VLOOKUP('_Data inputs (reported)'!B133,countryname,8,FALSE)))))))),"")</f>
        <v/>
      </c>
      <c r="B133" s="1" t="str">
        <f>IF(ISTEXT('_Data inputs (reported)'!B133),'_Data inputs (reported)'!B133,"")</f>
        <v/>
      </c>
      <c r="C133" s="179" t="str">
        <f>IF(ISBLANK('_Data inputs (reported)'!C133),"",'_Data inputs (reported)'!C133)</f>
        <v/>
      </c>
      <c r="D133" s="105" t="str">
        <f>IF(ISTEXT(VLOOKUP('_Data inputs (reported)'!D133,nametranslations,1,FALSE)),IF(Introduction!$A$2="English",VLOOKUP('_Data inputs (reported)'!D133,nametranslations,1,FALSE),IF(Introduction!$A$2="Spanish",VLOOKUP('_Data inputs (reported)'!D133,nametranslations,2,FALSE),IF(Introduction!$A$2="French",VLOOKUP('_Data inputs (reported)'!D133,nametranslations,3,FALSE),IF(Introduction!$A$2="Arabic",VLOOKUP('_Data inputs (reported)'!D133,nametranslations,4,FALSE),IF(Introduction!$A$2="Russian",VLOOKUP('_Data inputs (reported)'!D133,nametranslations,5,FALSE),IF(Introduction!$A$2="Chinese",VLOOKUP('_Data inputs (reported)'!D133,nametranslations,6,FALSE),IF(Introduction!$A$2="Other",VLOOKUP('_Data inputs (reported)'!D133,nametranslations,7,FALSE)))))))),"")</f>
        <v/>
      </c>
      <c r="E133" s="1" t="str">
        <f>IF(ISTEXT('_Data inputs (reported)'!E133),'_Data inputs (reported)'!E133,"")</f>
        <v/>
      </c>
      <c r="F133" s="8" t="str">
        <f>IF(ISNUMBER('_Data inputs (reported)'!F133),'_Data inputs (reported)'!F133,"")</f>
        <v/>
      </c>
      <c r="G133" s="105" t="str">
        <f>IF(ISTEXT(VLOOKUP('_Data inputs (reported)'!G133,nametranslations,1,FALSE)),IF(Introduction!$A$2="English",VLOOKUP('_Data inputs (reported)'!G133,nametranslations,1,FALSE),IF(Introduction!$A$2="Spanish",VLOOKUP('_Data inputs (reported)'!G133,nametranslations,2,FALSE),IF(Introduction!$A$2="French",VLOOKUP('_Data inputs (reported)'!G133,nametranslations,3,FALSE),IF(Introduction!$A$2="Arabic",VLOOKUP('_Data inputs (reported)'!G133,nametranslations,4,FALSE),IF(Introduction!$A$2="Russian",VLOOKUP('_Data inputs (reported)'!G133,nametranslations,5,FALSE),IF(Introduction!$A$2="Chinese",VLOOKUP('_Data inputs (reported)'!G133,nametranslations,6,FALSE),IF(Introduction!$A$2="Other",VLOOKUP('_Data inputs (reported)'!G133,nametranslations,7,FALSE)))))))),"")</f>
        <v/>
      </c>
      <c r="H133" s="1" t="str">
        <f>IF(ISTEXT('_Data inputs (reported)'!H133),'_Data inputs (reported)'!H133,"")</f>
        <v/>
      </c>
      <c r="I133" s="42" t="str">
        <f>IF(ISNUMBER('_Data inputs (reported)'!I133),'_Data inputs (reported)'!I133,"")</f>
        <v/>
      </c>
      <c r="J133" s="1" t="str">
        <f>IF(ISTEXT('_Data inputs (reported)'!J133),'_Data inputs (reported)'!J133,"")</f>
        <v/>
      </c>
      <c r="K133" s="105" t="str">
        <f>IF(ISTEXT('_Data inputs (reported)'!K133),'_Data inputs (reported)'!K133,"")</f>
        <v/>
      </c>
      <c r="L133" s="105" t="str">
        <f>IF(ISTEXT('_Data inputs (reported)'!L133),'_Data inputs (reported)'!L133,"")</f>
        <v/>
      </c>
      <c r="M133" s="1" t="str">
        <f>IF(ISTEXT('_Data inputs (reported)'!M133),'_Data inputs (reported)'!M133,"")</f>
        <v/>
      </c>
      <c r="N133" s="105" t="str">
        <f>IF(ISTEXT('_Data inputs (reported)'!N133),'_Data inputs (reported)'!N133,"")</f>
        <v/>
      </c>
    </row>
    <row xmlns:x14ac="http://schemas.microsoft.com/office/spreadsheetml/2009/9/ac" r="134" x14ac:dyDescent="0.2">
      <c r="A134" s="105" t="str">
        <f>IF(ISTEXT(VLOOKUP('_Data inputs (reported)'!B134,countryname,2,FALSE)),IF(Introduction!$A$2="English",VLOOKUP('_Data inputs (reported)'!B134,countryname,2,FALSE),IF(Introduction!$A$2="French",VLOOKUP('_Data inputs (reported)'!B134,countryname,3,FALSE),IF(Introduction!$A$2="Spanish",VLOOKUP('_Data inputs (reported)'!B134,countryname,4,FALSE),IF(Introduction!$A$2="Russian",VLOOKUP('_Data inputs (reported)'!B134,countryname,5,FALSE),IF(Introduction!$A$2="Arabic",VLOOKUP('_Data inputs (reported)'!B134,countryname,6,FALSE),IF(Introduction!$A$2="Chinese",VLOOKUP('_Data inputs (reported)'!B134,countryname,7,FALSE),IF(Introduction!$A$2="Other",VLOOKUP('_Data inputs (reported)'!B134,countryname,8,FALSE)))))))),"")</f>
        <v/>
      </c>
      <c r="B134" s="1" t="str">
        <f>IF(ISTEXT('_Data inputs (reported)'!B134),'_Data inputs (reported)'!B134,"")</f>
        <v/>
      </c>
      <c r="C134" s="179" t="str">
        <f>IF(ISBLANK('_Data inputs (reported)'!C134),"",'_Data inputs (reported)'!C134)</f>
        <v/>
      </c>
      <c r="D134" s="105" t="str">
        <f>IF(ISTEXT(VLOOKUP('_Data inputs (reported)'!D134,nametranslations,1,FALSE)),IF(Introduction!$A$2="English",VLOOKUP('_Data inputs (reported)'!D134,nametranslations,1,FALSE),IF(Introduction!$A$2="Spanish",VLOOKUP('_Data inputs (reported)'!D134,nametranslations,2,FALSE),IF(Introduction!$A$2="French",VLOOKUP('_Data inputs (reported)'!D134,nametranslations,3,FALSE),IF(Introduction!$A$2="Arabic",VLOOKUP('_Data inputs (reported)'!D134,nametranslations,4,FALSE),IF(Introduction!$A$2="Russian",VLOOKUP('_Data inputs (reported)'!D134,nametranslations,5,FALSE),IF(Introduction!$A$2="Chinese",VLOOKUP('_Data inputs (reported)'!D134,nametranslations,6,FALSE),IF(Introduction!$A$2="Other",VLOOKUP('_Data inputs (reported)'!D134,nametranslations,7,FALSE)))))))),"")</f>
        <v/>
      </c>
      <c r="E134" s="1" t="str">
        <f>IF(ISTEXT('_Data inputs (reported)'!E134),'_Data inputs (reported)'!E134,"")</f>
        <v/>
      </c>
      <c r="F134" s="8" t="str">
        <f>IF(ISNUMBER('_Data inputs (reported)'!F134),'_Data inputs (reported)'!F134,"")</f>
        <v/>
      </c>
      <c r="G134" s="105" t="str">
        <f>IF(ISTEXT(VLOOKUP('_Data inputs (reported)'!G134,nametranslations,1,FALSE)),IF(Introduction!$A$2="English",VLOOKUP('_Data inputs (reported)'!G134,nametranslations,1,FALSE),IF(Introduction!$A$2="Spanish",VLOOKUP('_Data inputs (reported)'!G134,nametranslations,2,FALSE),IF(Introduction!$A$2="French",VLOOKUP('_Data inputs (reported)'!G134,nametranslations,3,FALSE),IF(Introduction!$A$2="Arabic",VLOOKUP('_Data inputs (reported)'!G134,nametranslations,4,FALSE),IF(Introduction!$A$2="Russian",VLOOKUP('_Data inputs (reported)'!G134,nametranslations,5,FALSE),IF(Introduction!$A$2="Chinese",VLOOKUP('_Data inputs (reported)'!G134,nametranslations,6,FALSE),IF(Introduction!$A$2="Other",VLOOKUP('_Data inputs (reported)'!G134,nametranslations,7,FALSE)))))))),"")</f>
        <v/>
      </c>
      <c r="H134" s="1" t="str">
        <f>IF(ISTEXT('_Data inputs (reported)'!H134),'_Data inputs (reported)'!H134,"")</f>
        <v/>
      </c>
      <c r="I134" s="42" t="str">
        <f>IF(ISNUMBER('_Data inputs (reported)'!I134),'_Data inputs (reported)'!I134,"")</f>
        <v/>
      </c>
      <c r="J134" s="1" t="str">
        <f>IF(ISTEXT('_Data inputs (reported)'!J134),'_Data inputs (reported)'!J134,"")</f>
        <v/>
      </c>
      <c r="K134" s="105" t="str">
        <f>IF(ISTEXT('_Data inputs (reported)'!K134),'_Data inputs (reported)'!K134,"")</f>
        <v/>
      </c>
      <c r="L134" s="105" t="str">
        <f>IF(ISTEXT('_Data inputs (reported)'!L134),'_Data inputs (reported)'!L134,"")</f>
        <v/>
      </c>
      <c r="M134" s="1" t="str">
        <f>IF(ISTEXT('_Data inputs (reported)'!M134),'_Data inputs (reported)'!M134,"")</f>
        <v/>
      </c>
      <c r="N134" s="105" t="str">
        <f>IF(ISTEXT('_Data inputs (reported)'!N134),'_Data inputs (reported)'!N134,"")</f>
        <v/>
      </c>
    </row>
    <row xmlns:x14ac="http://schemas.microsoft.com/office/spreadsheetml/2009/9/ac" r="135" x14ac:dyDescent="0.2">
      <c r="A135" s="105" t="str">
        <f>IF(ISTEXT(VLOOKUP('_Data inputs (reported)'!B135,countryname,2,FALSE)),IF(Introduction!$A$2="English",VLOOKUP('_Data inputs (reported)'!B135,countryname,2,FALSE),IF(Introduction!$A$2="French",VLOOKUP('_Data inputs (reported)'!B135,countryname,3,FALSE),IF(Introduction!$A$2="Spanish",VLOOKUP('_Data inputs (reported)'!B135,countryname,4,FALSE),IF(Introduction!$A$2="Russian",VLOOKUP('_Data inputs (reported)'!B135,countryname,5,FALSE),IF(Introduction!$A$2="Arabic",VLOOKUP('_Data inputs (reported)'!B135,countryname,6,FALSE),IF(Introduction!$A$2="Chinese",VLOOKUP('_Data inputs (reported)'!B135,countryname,7,FALSE),IF(Introduction!$A$2="Other",VLOOKUP('_Data inputs (reported)'!B135,countryname,8,FALSE)))))))),"")</f>
        <v/>
      </c>
      <c r="B135" s="1" t="str">
        <f>IF(ISTEXT('_Data inputs (reported)'!B135),'_Data inputs (reported)'!B135,"")</f>
        <v/>
      </c>
      <c r="C135" s="179" t="str">
        <f>IF(ISBLANK('_Data inputs (reported)'!C135),"",'_Data inputs (reported)'!C135)</f>
        <v/>
      </c>
      <c r="D135" s="105" t="str">
        <f>IF(ISTEXT(VLOOKUP('_Data inputs (reported)'!D135,nametranslations,1,FALSE)),IF(Introduction!$A$2="English",VLOOKUP('_Data inputs (reported)'!D135,nametranslations,1,FALSE),IF(Introduction!$A$2="Spanish",VLOOKUP('_Data inputs (reported)'!D135,nametranslations,2,FALSE),IF(Introduction!$A$2="French",VLOOKUP('_Data inputs (reported)'!D135,nametranslations,3,FALSE),IF(Introduction!$A$2="Arabic",VLOOKUP('_Data inputs (reported)'!D135,nametranslations,4,FALSE),IF(Introduction!$A$2="Russian",VLOOKUP('_Data inputs (reported)'!D135,nametranslations,5,FALSE),IF(Introduction!$A$2="Chinese",VLOOKUP('_Data inputs (reported)'!D135,nametranslations,6,FALSE),IF(Introduction!$A$2="Other",VLOOKUP('_Data inputs (reported)'!D135,nametranslations,7,FALSE)))))))),"")</f>
        <v/>
      </c>
      <c r="E135" s="1" t="str">
        <f>IF(ISTEXT('_Data inputs (reported)'!E135),'_Data inputs (reported)'!E135,"")</f>
        <v/>
      </c>
      <c r="F135" s="8" t="str">
        <f>IF(ISNUMBER('_Data inputs (reported)'!F135),'_Data inputs (reported)'!F135,"")</f>
        <v/>
      </c>
      <c r="G135" s="105" t="str">
        <f>IF(ISTEXT(VLOOKUP('_Data inputs (reported)'!G135,nametranslations,1,FALSE)),IF(Introduction!$A$2="English",VLOOKUP('_Data inputs (reported)'!G135,nametranslations,1,FALSE),IF(Introduction!$A$2="Spanish",VLOOKUP('_Data inputs (reported)'!G135,nametranslations,2,FALSE),IF(Introduction!$A$2="French",VLOOKUP('_Data inputs (reported)'!G135,nametranslations,3,FALSE),IF(Introduction!$A$2="Arabic",VLOOKUP('_Data inputs (reported)'!G135,nametranslations,4,FALSE),IF(Introduction!$A$2="Russian",VLOOKUP('_Data inputs (reported)'!G135,nametranslations,5,FALSE),IF(Introduction!$A$2="Chinese",VLOOKUP('_Data inputs (reported)'!G135,nametranslations,6,FALSE),IF(Introduction!$A$2="Other",VLOOKUP('_Data inputs (reported)'!G135,nametranslations,7,FALSE)))))))),"")</f>
        <v/>
      </c>
      <c r="H135" s="1" t="str">
        <f>IF(ISTEXT('_Data inputs (reported)'!H135),'_Data inputs (reported)'!H135,"")</f>
        <v/>
      </c>
      <c r="I135" s="42" t="str">
        <f>IF(ISNUMBER('_Data inputs (reported)'!I135),'_Data inputs (reported)'!I135,"")</f>
        <v/>
      </c>
      <c r="J135" s="1" t="str">
        <f>IF(ISTEXT('_Data inputs (reported)'!J135),'_Data inputs (reported)'!J135,"")</f>
        <v/>
      </c>
      <c r="K135" s="105" t="str">
        <f>IF(ISTEXT('_Data inputs (reported)'!K135),'_Data inputs (reported)'!K135,"")</f>
        <v/>
      </c>
      <c r="L135" s="105" t="str">
        <f>IF(ISTEXT('_Data inputs (reported)'!L135),'_Data inputs (reported)'!L135,"")</f>
        <v/>
      </c>
      <c r="M135" s="1" t="str">
        <f>IF(ISTEXT('_Data inputs (reported)'!M135),'_Data inputs (reported)'!M135,"")</f>
        <v/>
      </c>
      <c r="N135" s="105" t="str">
        <f>IF(ISTEXT('_Data inputs (reported)'!N135),'_Data inputs (reported)'!N135,"")</f>
        <v/>
      </c>
    </row>
    <row xmlns:x14ac="http://schemas.microsoft.com/office/spreadsheetml/2009/9/ac" r="136" x14ac:dyDescent="0.2">
      <c r="A136" s="105" t="str">
        <f>IF(ISTEXT(VLOOKUP('_Data inputs (reported)'!B136,countryname,2,FALSE)),IF(Introduction!$A$2="English",VLOOKUP('_Data inputs (reported)'!B136,countryname,2,FALSE),IF(Introduction!$A$2="French",VLOOKUP('_Data inputs (reported)'!B136,countryname,3,FALSE),IF(Introduction!$A$2="Spanish",VLOOKUP('_Data inputs (reported)'!B136,countryname,4,FALSE),IF(Introduction!$A$2="Russian",VLOOKUP('_Data inputs (reported)'!B136,countryname,5,FALSE),IF(Introduction!$A$2="Arabic",VLOOKUP('_Data inputs (reported)'!B136,countryname,6,FALSE),IF(Introduction!$A$2="Chinese",VLOOKUP('_Data inputs (reported)'!B136,countryname,7,FALSE),IF(Introduction!$A$2="Other",VLOOKUP('_Data inputs (reported)'!B136,countryname,8,FALSE)))))))),"")</f>
        <v/>
      </c>
      <c r="B136" s="1" t="str">
        <f>IF(ISTEXT('_Data inputs (reported)'!B136),'_Data inputs (reported)'!B136,"")</f>
        <v/>
      </c>
      <c r="C136" s="179" t="str">
        <f>IF(ISBLANK('_Data inputs (reported)'!C136),"",'_Data inputs (reported)'!C136)</f>
        <v/>
      </c>
      <c r="D136" s="105" t="str">
        <f>IF(ISTEXT(VLOOKUP('_Data inputs (reported)'!D136,nametranslations,1,FALSE)),IF(Introduction!$A$2="English",VLOOKUP('_Data inputs (reported)'!D136,nametranslations,1,FALSE),IF(Introduction!$A$2="Spanish",VLOOKUP('_Data inputs (reported)'!D136,nametranslations,2,FALSE),IF(Introduction!$A$2="French",VLOOKUP('_Data inputs (reported)'!D136,nametranslations,3,FALSE),IF(Introduction!$A$2="Arabic",VLOOKUP('_Data inputs (reported)'!D136,nametranslations,4,FALSE),IF(Introduction!$A$2="Russian",VLOOKUP('_Data inputs (reported)'!D136,nametranslations,5,FALSE),IF(Introduction!$A$2="Chinese",VLOOKUP('_Data inputs (reported)'!D136,nametranslations,6,FALSE),IF(Introduction!$A$2="Other",VLOOKUP('_Data inputs (reported)'!D136,nametranslations,7,FALSE)))))))),"")</f>
        <v/>
      </c>
      <c r="E136" s="1" t="str">
        <f>IF(ISTEXT('_Data inputs (reported)'!E136),'_Data inputs (reported)'!E136,"")</f>
        <v/>
      </c>
      <c r="F136" s="8" t="str">
        <f>IF(ISNUMBER('_Data inputs (reported)'!F136),'_Data inputs (reported)'!F136,"")</f>
        <v/>
      </c>
      <c r="G136" s="105" t="str">
        <f>IF(ISTEXT(VLOOKUP('_Data inputs (reported)'!G136,nametranslations,1,FALSE)),IF(Introduction!$A$2="English",VLOOKUP('_Data inputs (reported)'!G136,nametranslations,1,FALSE),IF(Introduction!$A$2="Spanish",VLOOKUP('_Data inputs (reported)'!G136,nametranslations,2,FALSE),IF(Introduction!$A$2="French",VLOOKUP('_Data inputs (reported)'!G136,nametranslations,3,FALSE),IF(Introduction!$A$2="Arabic",VLOOKUP('_Data inputs (reported)'!G136,nametranslations,4,FALSE),IF(Introduction!$A$2="Russian",VLOOKUP('_Data inputs (reported)'!G136,nametranslations,5,FALSE),IF(Introduction!$A$2="Chinese",VLOOKUP('_Data inputs (reported)'!G136,nametranslations,6,FALSE),IF(Introduction!$A$2="Other",VLOOKUP('_Data inputs (reported)'!G136,nametranslations,7,FALSE)))))))),"")</f>
        <v/>
      </c>
      <c r="H136" s="1" t="str">
        <f>IF(ISTEXT('_Data inputs (reported)'!H136),'_Data inputs (reported)'!H136,"")</f>
        <v/>
      </c>
      <c r="I136" s="42" t="str">
        <f>IF(ISNUMBER('_Data inputs (reported)'!I136),'_Data inputs (reported)'!I136,"")</f>
        <v/>
      </c>
      <c r="J136" s="1" t="str">
        <f>IF(ISTEXT('_Data inputs (reported)'!J136),'_Data inputs (reported)'!J136,"")</f>
        <v/>
      </c>
      <c r="K136" s="105" t="str">
        <f>IF(ISTEXT('_Data inputs (reported)'!K136),'_Data inputs (reported)'!K136,"")</f>
        <v/>
      </c>
      <c r="L136" s="105" t="str">
        <f>IF(ISTEXT('_Data inputs (reported)'!L136),'_Data inputs (reported)'!L136,"")</f>
        <v/>
      </c>
      <c r="M136" s="1" t="str">
        <f>IF(ISTEXT('_Data inputs (reported)'!M136),'_Data inputs (reported)'!M136,"")</f>
        <v/>
      </c>
      <c r="N136" s="105" t="str">
        <f>IF(ISTEXT('_Data inputs (reported)'!N136),'_Data inputs (reported)'!N136,"")</f>
        <v/>
      </c>
    </row>
    <row xmlns:x14ac="http://schemas.microsoft.com/office/spreadsheetml/2009/9/ac" r="137" x14ac:dyDescent="0.2">
      <c r="A137" s="105" t="str">
        <f>IF(ISTEXT(VLOOKUP('_Data inputs (reported)'!B137,countryname,2,FALSE)),IF(Introduction!$A$2="English",VLOOKUP('_Data inputs (reported)'!B137,countryname,2,FALSE),IF(Introduction!$A$2="French",VLOOKUP('_Data inputs (reported)'!B137,countryname,3,FALSE),IF(Introduction!$A$2="Spanish",VLOOKUP('_Data inputs (reported)'!B137,countryname,4,FALSE),IF(Introduction!$A$2="Russian",VLOOKUP('_Data inputs (reported)'!B137,countryname,5,FALSE),IF(Introduction!$A$2="Arabic",VLOOKUP('_Data inputs (reported)'!B137,countryname,6,FALSE),IF(Introduction!$A$2="Chinese",VLOOKUP('_Data inputs (reported)'!B137,countryname,7,FALSE),IF(Introduction!$A$2="Other",VLOOKUP('_Data inputs (reported)'!B137,countryname,8,FALSE)))))))),"")</f>
        <v/>
      </c>
      <c r="B137" s="1" t="str">
        <f>IF(ISTEXT('_Data inputs (reported)'!B137),'_Data inputs (reported)'!B137,"")</f>
        <v/>
      </c>
      <c r="C137" s="179" t="str">
        <f>IF(ISBLANK('_Data inputs (reported)'!C137),"",'_Data inputs (reported)'!C137)</f>
        <v/>
      </c>
      <c r="D137" s="105" t="str">
        <f>IF(ISTEXT(VLOOKUP('_Data inputs (reported)'!D137,nametranslations,1,FALSE)),IF(Introduction!$A$2="English",VLOOKUP('_Data inputs (reported)'!D137,nametranslations,1,FALSE),IF(Introduction!$A$2="Spanish",VLOOKUP('_Data inputs (reported)'!D137,nametranslations,2,FALSE),IF(Introduction!$A$2="French",VLOOKUP('_Data inputs (reported)'!D137,nametranslations,3,FALSE),IF(Introduction!$A$2="Arabic",VLOOKUP('_Data inputs (reported)'!D137,nametranslations,4,FALSE),IF(Introduction!$A$2="Russian",VLOOKUP('_Data inputs (reported)'!D137,nametranslations,5,FALSE),IF(Introduction!$A$2="Chinese",VLOOKUP('_Data inputs (reported)'!D137,nametranslations,6,FALSE),IF(Introduction!$A$2="Other",VLOOKUP('_Data inputs (reported)'!D137,nametranslations,7,FALSE)))))))),"")</f>
        <v/>
      </c>
      <c r="E137" s="1" t="str">
        <f>IF(ISTEXT('_Data inputs (reported)'!E137),'_Data inputs (reported)'!E137,"")</f>
        <v/>
      </c>
      <c r="F137" s="8" t="str">
        <f>IF(ISNUMBER('_Data inputs (reported)'!F137),'_Data inputs (reported)'!F137,"")</f>
        <v/>
      </c>
      <c r="G137" s="105" t="str">
        <f>IF(ISTEXT(VLOOKUP('_Data inputs (reported)'!G137,nametranslations,1,FALSE)),IF(Introduction!$A$2="English",VLOOKUP('_Data inputs (reported)'!G137,nametranslations,1,FALSE),IF(Introduction!$A$2="Spanish",VLOOKUP('_Data inputs (reported)'!G137,nametranslations,2,FALSE),IF(Introduction!$A$2="French",VLOOKUP('_Data inputs (reported)'!G137,nametranslations,3,FALSE),IF(Introduction!$A$2="Arabic",VLOOKUP('_Data inputs (reported)'!G137,nametranslations,4,FALSE),IF(Introduction!$A$2="Russian",VLOOKUP('_Data inputs (reported)'!G137,nametranslations,5,FALSE),IF(Introduction!$A$2="Chinese",VLOOKUP('_Data inputs (reported)'!G137,nametranslations,6,FALSE),IF(Introduction!$A$2="Other",VLOOKUP('_Data inputs (reported)'!G137,nametranslations,7,FALSE)))))))),"")</f>
        <v/>
      </c>
      <c r="H137" s="1" t="str">
        <f>IF(ISTEXT('_Data inputs (reported)'!H137),'_Data inputs (reported)'!H137,"")</f>
        <v/>
      </c>
      <c r="I137" s="42" t="str">
        <f>IF(ISNUMBER('_Data inputs (reported)'!I137),'_Data inputs (reported)'!I137,"")</f>
        <v/>
      </c>
      <c r="J137" s="1" t="str">
        <f>IF(ISTEXT('_Data inputs (reported)'!J137),'_Data inputs (reported)'!J137,"")</f>
        <v/>
      </c>
      <c r="K137" s="105" t="str">
        <f>IF(ISTEXT('_Data inputs (reported)'!K137),'_Data inputs (reported)'!K137,"")</f>
        <v/>
      </c>
      <c r="L137" s="105" t="str">
        <f>IF(ISTEXT('_Data inputs (reported)'!L137),'_Data inputs (reported)'!L137,"")</f>
        <v/>
      </c>
      <c r="M137" s="1" t="str">
        <f>IF(ISTEXT('_Data inputs (reported)'!M137),'_Data inputs (reported)'!M137,"")</f>
        <v/>
      </c>
      <c r="N137" s="105" t="str">
        <f>IF(ISTEXT('_Data inputs (reported)'!N137),'_Data inputs (reported)'!N137,"")</f>
        <v/>
      </c>
    </row>
    <row xmlns:x14ac="http://schemas.microsoft.com/office/spreadsheetml/2009/9/ac" r="138" x14ac:dyDescent="0.2">
      <c r="A138" s="105" t="str">
        <f>IF(ISTEXT(VLOOKUP('_Data inputs (reported)'!B138,countryname,2,FALSE)),IF(Introduction!$A$2="English",VLOOKUP('_Data inputs (reported)'!B138,countryname,2,FALSE),IF(Introduction!$A$2="French",VLOOKUP('_Data inputs (reported)'!B138,countryname,3,FALSE),IF(Introduction!$A$2="Spanish",VLOOKUP('_Data inputs (reported)'!B138,countryname,4,FALSE),IF(Introduction!$A$2="Russian",VLOOKUP('_Data inputs (reported)'!B138,countryname,5,FALSE),IF(Introduction!$A$2="Arabic",VLOOKUP('_Data inputs (reported)'!B138,countryname,6,FALSE),IF(Introduction!$A$2="Chinese",VLOOKUP('_Data inputs (reported)'!B138,countryname,7,FALSE),IF(Introduction!$A$2="Other",VLOOKUP('_Data inputs (reported)'!B138,countryname,8,FALSE)))))))),"")</f>
        <v/>
      </c>
      <c r="B138" s="1" t="str">
        <f>IF(ISTEXT('_Data inputs (reported)'!B138),'_Data inputs (reported)'!B138,"")</f>
        <v/>
      </c>
      <c r="C138" s="179" t="str">
        <f>IF(ISBLANK('_Data inputs (reported)'!C138),"",'_Data inputs (reported)'!C138)</f>
        <v/>
      </c>
      <c r="D138" s="105" t="str">
        <f>IF(ISTEXT(VLOOKUP('_Data inputs (reported)'!D138,nametranslations,1,FALSE)),IF(Introduction!$A$2="English",VLOOKUP('_Data inputs (reported)'!D138,nametranslations,1,FALSE),IF(Introduction!$A$2="Spanish",VLOOKUP('_Data inputs (reported)'!D138,nametranslations,2,FALSE),IF(Introduction!$A$2="French",VLOOKUP('_Data inputs (reported)'!D138,nametranslations,3,FALSE),IF(Introduction!$A$2="Arabic",VLOOKUP('_Data inputs (reported)'!D138,nametranslations,4,FALSE),IF(Introduction!$A$2="Russian",VLOOKUP('_Data inputs (reported)'!D138,nametranslations,5,FALSE),IF(Introduction!$A$2="Chinese",VLOOKUP('_Data inputs (reported)'!D138,nametranslations,6,FALSE),IF(Introduction!$A$2="Other",VLOOKUP('_Data inputs (reported)'!D138,nametranslations,7,FALSE)))))))),"")</f>
        <v/>
      </c>
      <c r="E138" s="1" t="str">
        <f>IF(ISTEXT('_Data inputs (reported)'!E138),'_Data inputs (reported)'!E138,"")</f>
        <v/>
      </c>
      <c r="F138" s="8" t="str">
        <f>IF(ISNUMBER('_Data inputs (reported)'!F138),'_Data inputs (reported)'!F138,"")</f>
        <v/>
      </c>
      <c r="G138" s="105" t="str">
        <f>IF(ISTEXT(VLOOKUP('_Data inputs (reported)'!G138,nametranslations,1,FALSE)),IF(Introduction!$A$2="English",VLOOKUP('_Data inputs (reported)'!G138,nametranslations,1,FALSE),IF(Introduction!$A$2="Spanish",VLOOKUP('_Data inputs (reported)'!G138,nametranslations,2,FALSE),IF(Introduction!$A$2="French",VLOOKUP('_Data inputs (reported)'!G138,nametranslations,3,FALSE),IF(Introduction!$A$2="Arabic",VLOOKUP('_Data inputs (reported)'!G138,nametranslations,4,FALSE),IF(Introduction!$A$2="Russian",VLOOKUP('_Data inputs (reported)'!G138,nametranslations,5,FALSE),IF(Introduction!$A$2="Chinese",VLOOKUP('_Data inputs (reported)'!G138,nametranslations,6,FALSE),IF(Introduction!$A$2="Other",VLOOKUP('_Data inputs (reported)'!G138,nametranslations,7,FALSE)))))))),"")</f>
        <v/>
      </c>
      <c r="H138" s="1" t="str">
        <f>IF(ISTEXT('_Data inputs (reported)'!H138),'_Data inputs (reported)'!H138,"")</f>
        <v/>
      </c>
      <c r="I138" s="42" t="str">
        <f>IF(ISNUMBER('_Data inputs (reported)'!I138),'_Data inputs (reported)'!I138,"")</f>
        <v/>
      </c>
      <c r="J138" s="1" t="str">
        <f>IF(ISTEXT('_Data inputs (reported)'!J138),'_Data inputs (reported)'!J138,"")</f>
        <v/>
      </c>
      <c r="K138" s="105" t="str">
        <f>IF(ISTEXT('_Data inputs (reported)'!K138),'_Data inputs (reported)'!K138,"")</f>
        <v/>
      </c>
      <c r="L138" s="105" t="str">
        <f>IF(ISTEXT('_Data inputs (reported)'!L138),'_Data inputs (reported)'!L138,"")</f>
        <v/>
      </c>
      <c r="M138" s="1" t="str">
        <f>IF(ISTEXT('_Data inputs (reported)'!M138),'_Data inputs (reported)'!M138,"")</f>
        <v/>
      </c>
      <c r="N138" s="105" t="str">
        <f>IF(ISTEXT('_Data inputs (reported)'!N138),'_Data inputs (reported)'!N138,"")</f>
        <v/>
      </c>
    </row>
    <row xmlns:x14ac="http://schemas.microsoft.com/office/spreadsheetml/2009/9/ac" r="139" x14ac:dyDescent="0.2">
      <c r="A139" s="105" t="str">
        <f>IF(ISTEXT(VLOOKUP('_Data inputs (reported)'!B139,countryname,2,FALSE)),IF(Introduction!$A$2="English",VLOOKUP('_Data inputs (reported)'!B139,countryname,2,FALSE),IF(Introduction!$A$2="French",VLOOKUP('_Data inputs (reported)'!B139,countryname,3,FALSE),IF(Introduction!$A$2="Spanish",VLOOKUP('_Data inputs (reported)'!B139,countryname,4,FALSE),IF(Introduction!$A$2="Russian",VLOOKUP('_Data inputs (reported)'!B139,countryname,5,FALSE),IF(Introduction!$A$2="Arabic",VLOOKUP('_Data inputs (reported)'!B139,countryname,6,FALSE),IF(Introduction!$A$2="Chinese",VLOOKUP('_Data inputs (reported)'!B139,countryname,7,FALSE),IF(Introduction!$A$2="Other",VLOOKUP('_Data inputs (reported)'!B139,countryname,8,FALSE)))))))),"")</f>
        <v/>
      </c>
      <c r="B139" s="1" t="str">
        <f>IF(ISTEXT('_Data inputs (reported)'!B139),'_Data inputs (reported)'!B139,"")</f>
        <v/>
      </c>
      <c r="C139" s="179" t="str">
        <f>IF(ISBLANK('_Data inputs (reported)'!C139),"",'_Data inputs (reported)'!C139)</f>
        <v/>
      </c>
      <c r="D139" s="105" t="str">
        <f>IF(ISTEXT(VLOOKUP('_Data inputs (reported)'!D139,nametranslations,1,FALSE)),IF(Introduction!$A$2="English",VLOOKUP('_Data inputs (reported)'!D139,nametranslations,1,FALSE),IF(Introduction!$A$2="Spanish",VLOOKUP('_Data inputs (reported)'!D139,nametranslations,2,FALSE),IF(Introduction!$A$2="French",VLOOKUP('_Data inputs (reported)'!D139,nametranslations,3,FALSE),IF(Introduction!$A$2="Arabic",VLOOKUP('_Data inputs (reported)'!D139,nametranslations,4,FALSE),IF(Introduction!$A$2="Russian",VLOOKUP('_Data inputs (reported)'!D139,nametranslations,5,FALSE),IF(Introduction!$A$2="Chinese",VLOOKUP('_Data inputs (reported)'!D139,nametranslations,6,FALSE),IF(Introduction!$A$2="Other",VLOOKUP('_Data inputs (reported)'!D139,nametranslations,7,FALSE)))))))),"")</f>
        <v/>
      </c>
      <c r="E139" s="1" t="str">
        <f>IF(ISTEXT('_Data inputs (reported)'!E139),'_Data inputs (reported)'!E139,"")</f>
        <v/>
      </c>
      <c r="F139" s="8" t="str">
        <f>IF(ISNUMBER('_Data inputs (reported)'!F139),'_Data inputs (reported)'!F139,"")</f>
        <v/>
      </c>
      <c r="G139" s="105" t="str">
        <f>IF(ISTEXT(VLOOKUP('_Data inputs (reported)'!G139,nametranslations,1,FALSE)),IF(Introduction!$A$2="English",VLOOKUP('_Data inputs (reported)'!G139,nametranslations,1,FALSE),IF(Introduction!$A$2="Spanish",VLOOKUP('_Data inputs (reported)'!G139,nametranslations,2,FALSE),IF(Introduction!$A$2="French",VLOOKUP('_Data inputs (reported)'!G139,nametranslations,3,FALSE),IF(Introduction!$A$2="Arabic",VLOOKUP('_Data inputs (reported)'!G139,nametranslations,4,FALSE),IF(Introduction!$A$2="Russian",VLOOKUP('_Data inputs (reported)'!G139,nametranslations,5,FALSE),IF(Introduction!$A$2="Chinese",VLOOKUP('_Data inputs (reported)'!G139,nametranslations,6,FALSE),IF(Introduction!$A$2="Other",VLOOKUP('_Data inputs (reported)'!G139,nametranslations,7,FALSE)))))))),"")</f>
        <v/>
      </c>
      <c r="H139" s="1" t="str">
        <f>IF(ISTEXT('_Data inputs (reported)'!H139),'_Data inputs (reported)'!H139,"")</f>
        <v/>
      </c>
      <c r="I139" s="42" t="str">
        <f>IF(ISNUMBER('_Data inputs (reported)'!I139),'_Data inputs (reported)'!I139,"")</f>
        <v/>
      </c>
      <c r="J139" s="1" t="str">
        <f>IF(ISTEXT('_Data inputs (reported)'!J139),'_Data inputs (reported)'!J139,"")</f>
        <v/>
      </c>
      <c r="K139" s="105" t="str">
        <f>IF(ISTEXT('_Data inputs (reported)'!K139),'_Data inputs (reported)'!K139,"")</f>
        <v/>
      </c>
      <c r="L139" s="105" t="str">
        <f>IF(ISTEXT('_Data inputs (reported)'!L139),'_Data inputs (reported)'!L139,"")</f>
        <v/>
      </c>
      <c r="M139" s="1" t="str">
        <f>IF(ISTEXT('_Data inputs (reported)'!M139),'_Data inputs (reported)'!M139,"")</f>
        <v/>
      </c>
      <c r="N139" s="105" t="str">
        <f>IF(ISTEXT('_Data inputs (reported)'!N139),'_Data inputs (reported)'!N139,"")</f>
        <v/>
      </c>
    </row>
    <row xmlns:x14ac="http://schemas.microsoft.com/office/spreadsheetml/2009/9/ac" r="140" x14ac:dyDescent="0.2">
      <c r="A140" s="105" t="str">
        <f>IF(ISTEXT(VLOOKUP('_Data inputs (reported)'!B140,countryname,2,FALSE)),IF(Introduction!$A$2="English",VLOOKUP('_Data inputs (reported)'!B140,countryname,2,FALSE),IF(Introduction!$A$2="French",VLOOKUP('_Data inputs (reported)'!B140,countryname,3,FALSE),IF(Introduction!$A$2="Spanish",VLOOKUP('_Data inputs (reported)'!B140,countryname,4,FALSE),IF(Introduction!$A$2="Russian",VLOOKUP('_Data inputs (reported)'!B140,countryname,5,FALSE),IF(Introduction!$A$2="Arabic",VLOOKUP('_Data inputs (reported)'!B140,countryname,6,FALSE),IF(Introduction!$A$2="Chinese",VLOOKUP('_Data inputs (reported)'!B140,countryname,7,FALSE),IF(Introduction!$A$2="Other",VLOOKUP('_Data inputs (reported)'!B140,countryname,8,FALSE)))))))),"")</f>
        <v/>
      </c>
      <c r="B140" s="1" t="str">
        <f>IF(ISTEXT('_Data inputs (reported)'!B140),'_Data inputs (reported)'!B140,"")</f>
        <v/>
      </c>
      <c r="C140" s="179" t="str">
        <f>IF(ISBLANK('_Data inputs (reported)'!C140),"",'_Data inputs (reported)'!C140)</f>
        <v/>
      </c>
      <c r="D140" s="105" t="str">
        <f>IF(ISTEXT(VLOOKUP('_Data inputs (reported)'!D140,nametranslations,1,FALSE)),IF(Introduction!$A$2="English",VLOOKUP('_Data inputs (reported)'!D140,nametranslations,1,FALSE),IF(Introduction!$A$2="Spanish",VLOOKUP('_Data inputs (reported)'!D140,nametranslations,2,FALSE),IF(Introduction!$A$2="French",VLOOKUP('_Data inputs (reported)'!D140,nametranslations,3,FALSE),IF(Introduction!$A$2="Arabic",VLOOKUP('_Data inputs (reported)'!D140,nametranslations,4,FALSE),IF(Introduction!$A$2="Russian",VLOOKUP('_Data inputs (reported)'!D140,nametranslations,5,FALSE),IF(Introduction!$A$2="Chinese",VLOOKUP('_Data inputs (reported)'!D140,nametranslations,6,FALSE),IF(Introduction!$A$2="Other",VLOOKUP('_Data inputs (reported)'!D140,nametranslations,7,FALSE)))))))),"")</f>
        <v/>
      </c>
      <c r="E140" s="1" t="str">
        <f>IF(ISTEXT('_Data inputs (reported)'!E140),'_Data inputs (reported)'!E140,"")</f>
        <v/>
      </c>
      <c r="F140" s="8" t="str">
        <f>IF(ISNUMBER('_Data inputs (reported)'!F140),'_Data inputs (reported)'!F140,"")</f>
        <v/>
      </c>
      <c r="G140" s="105" t="str">
        <f>IF(ISTEXT(VLOOKUP('_Data inputs (reported)'!G140,nametranslations,1,FALSE)),IF(Introduction!$A$2="English",VLOOKUP('_Data inputs (reported)'!G140,nametranslations,1,FALSE),IF(Introduction!$A$2="Spanish",VLOOKUP('_Data inputs (reported)'!G140,nametranslations,2,FALSE),IF(Introduction!$A$2="French",VLOOKUP('_Data inputs (reported)'!G140,nametranslations,3,FALSE),IF(Introduction!$A$2="Arabic",VLOOKUP('_Data inputs (reported)'!G140,nametranslations,4,FALSE),IF(Introduction!$A$2="Russian",VLOOKUP('_Data inputs (reported)'!G140,nametranslations,5,FALSE),IF(Introduction!$A$2="Chinese",VLOOKUP('_Data inputs (reported)'!G140,nametranslations,6,FALSE),IF(Introduction!$A$2="Other",VLOOKUP('_Data inputs (reported)'!G140,nametranslations,7,FALSE)))))))),"")</f>
        <v/>
      </c>
      <c r="H140" s="1" t="str">
        <f>IF(ISTEXT('_Data inputs (reported)'!H140),'_Data inputs (reported)'!H140,"")</f>
        <v/>
      </c>
      <c r="I140" s="42" t="str">
        <f>IF(ISNUMBER('_Data inputs (reported)'!I140),'_Data inputs (reported)'!I140,"")</f>
        <v/>
      </c>
      <c r="J140" s="1" t="str">
        <f>IF(ISTEXT('_Data inputs (reported)'!J140),'_Data inputs (reported)'!J140,"")</f>
        <v/>
      </c>
      <c r="K140" s="105" t="str">
        <f>IF(ISTEXT('_Data inputs (reported)'!K140),'_Data inputs (reported)'!K140,"")</f>
        <v/>
      </c>
      <c r="L140" s="105" t="str">
        <f>IF(ISTEXT('_Data inputs (reported)'!L140),'_Data inputs (reported)'!L140,"")</f>
        <v/>
      </c>
      <c r="M140" s="1" t="str">
        <f>IF(ISTEXT('_Data inputs (reported)'!M140),'_Data inputs (reported)'!M140,"")</f>
        <v/>
      </c>
      <c r="N140" s="105" t="str">
        <f>IF(ISTEXT('_Data inputs (reported)'!N140),'_Data inputs (reported)'!N140,"")</f>
        <v/>
      </c>
    </row>
    <row xmlns:x14ac="http://schemas.microsoft.com/office/spreadsheetml/2009/9/ac" r="141" x14ac:dyDescent="0.2">
      <c r="A141" s="105" t="str">
        <f>IF(ISTEXT(VLOOKUP('_Data inputs (reported)'!B141,countryname,2,FALSE)),IF(Introduction!$A$2="English",VLOOKUP('_Data inputs (reported)'!B141,countryname,2,FALSE),IF(Introduction!$A$2="French",VLOOKUP('_Data inputs (reported)'!B141,countryname,3,FALSE),IF(Introduction!$A$2="Spanish",VLOOKUP('_Data inputs (reported)'!B141,countryname,4,FALSE),IF(Introduction!$A$2="Russian",VLOOKUP('_Data inputs (reported)'!B141,countryname,5,FALSE),IF(Introduction!$A$2="Arabic",VLOOKUP('_Data inputs (reported)'!B141,countryname,6,FALSE),IF(Introduction!$A$2="Chinese",VLOOKUP('_Data inputs (reported)'!B141,countryname,7,FALSE),IF(Introduction!$A$2="Other",VLOOKUP('_Data inputs (reported)'!B141,countryname,8,FALSE)))))))),"")</f>
        <v/>
      </c>
      <c r="B141" s="1" t="str">
        <f>IF(ISTEXT('_Data inputs (reported)'!B141),'_Data inputs (reported)'!B141,"")</f>
        <v/>
      </c>
      <c r="C141" s="179" t="str">
        <f>IF(ISBLANK('_Data inputs (reported)'!C141),"",'_Data inputs (reported)'!C141)</f>
        <v/>
      </c>
      <c r="D141" s="105" t="str">
        <f>IF(ISTEXT(VLOOKUP('_Data inputs (reported)'!D141,nametranslations,1,FALSE)),IF(Introduction!$A$2="English",VLOOKUP('_Data inputs (reported)'!D141,nametranslations,1,FALSE),IF(Introduction!$A$2="Spanish",VLOOKUP('_Data inputs (reported)'!D141,nametranslations,2,FALSE),IF(Introduction!$A$2="French",VLOOKUP('_Data inputs (reported)'!D141,nametranslations,3,FALSE),IF(Introduction!$A$2="Arabic",VLOOKUP('_Data inputs (reported)'!D141,nametranslations,4,FALSE),IF(Introduction!$A$2="Russian",VLOOKUP('_Data inputs (reported)'!D141,nametranslations,5,FALSE),IF(Introduction!$A$2="Chinese",VLOOKUP('_Data inputs (reported)'!D141,nametranslations,6,FALSE),IF(Introduction!$A$2="Other",VLOOKUP('_Data inputs (reported)'!D141,nametranslations,7,FALSE)))))))),"")</f>
        <v/>
      </c>
      <c r="E141" s="1" t="str">
        <f>IF(ISTEXT('_Data inputs (reported)'!E141),'_Data inputs (reported)'!E141,"")</f>
        <v/>
      </c>
      <c r="F141" s="8" t="str">
        <f>IF(ISNUMBER('_Data inputs (reported)'!F141),'_Data inputs (reported)'!F141,"")</f>
        <v/>
      </c>
      <c r="G141" s="105" t="str">
        <f>IF(ISTEXT(VLOOKUP('_Data inputs (reported)'!G141,nametranslations,1,FALSE)),IF(Introduction!$A$2="English",VLOOKUP('_Data inputs (reported)'!G141,nametranslations,1,FALSE),IF(Introduction!$A$2="Spanish",VLOOKUP('_Data inputs (reported)'!G141,nametranslations,2,FALSE),IF(Introduction!$A$2="French",VLOOKUP('_Data inputs (reported)'!G141,nametranslations,3,FALSE),IF(Introduction!$A$2="Arabic",VLOOKUP('_Data inputs (reported)'!G141,nametranslations,4,FALSE),IF(Introduction!$A$2="Russian",VLOOKUP('_Data inputs (reported)'!G141,nametranslations,5,FALSE),IF(Introduction!$A$2="Chinese",VLOOKUP('_Data inputs (reported)'!G141,nametranslations,6,FALSE),IF(Introduction!$A$2="Other",VLOOKUP('_Data inputs (reported)'!G141,nametranslations,7,FALSE)))))))),"")</f>
        <v/>
      </c>
      <c r="H141" s="1" t="str">
        <f>IF(ISTEXT('_Data inputs (reported)'!H141),'_Data inputs (reported)'!H141,"")</f>
        <v/>
      </c>
      <c r="I141" s="42" t="str">
        <f>IF(ISNUMBER('_Data inputs (reported)'!I141),'_Data inputs (reported)'!I141,"")</f>
        <v/>
      </c>
      <c r="J141" s="1" t="str">
        <f>IF(ISTEXT('_Data inputs (reported)'!J141),'_Data inputs (reported)'!J141,"")</f>
        <v/>
      </c>
      <c r="K141" s="105" t="str">
        <f>IF(ISTEXT('_Data inputs (reported)'!K141),'_Data inputs (reported)'!K141,"")</f>
        <v/>
      </c>
      <c r="L141" s="105" t="str">
        <f>IF(ISTEXT('_Data inputs (reported)'!L141),'_Data inputs (reported)'!L141,"")</f>
        <v/>
      </c>
      <c r="M141" s="1" t="str">
        <f>IF(ISTEXT('_Data inputs (reported)'!M141),'_Data inputs (reported)'!M141,"")</f>
        <v/>
      </c>
      <c r="N141" s="105" t="str">
        <f>IF(ISTEXT('_Data inputs (reported)'!N141),'_Data inputs (reported)'!N141,"")</f>
        <v/>
      </c>
    </row>
    <row xmlns:x14ac="http://schemas.microsoft.com/office/spreadsheetml/2009/9/ac" r="142" x14ac:dyDescent="0.2">
      <c r="A142" s="105" t="str">
        <f>IF(ISTEXT(VLOOKUP('_Data inputs (reported)'!B142,countryname,2,FALSE)),IF(Introduction!$A$2="English",VLOOKUP('_Data inputs (reported)'!B142,countryname,2,FALSE),IF(Introduction!$A$2="French",VLOOKUP('_Data inputs (reported)'!B142,countryname,3,FALSE),IF(Introduction!$A$2="Spanish",VLOOKUP('_Data inputs (reported)'!B142,countryname,4,FALSE),IF(Introduction!$A$2="Russian",VLOOKUP('_Data inputs (reported)'!B142,countryname,5,FALSE),IF(Introduction!$A$2="Arabic",VLOOKUP('_Data inputs (reported)'!B142,countryname,6,FALSE),IF(Introduction!$A$2="Chinese",VLOOKUP('_Data inputs (reported)'!B142,countryname,7,FALSE),IF(Introduction!$A$2="Other",VLOOKUP('_Data inputs (reported)'!B142,countryname,8,FALSE)))))))),"")</f>
        <v/>
      </c>
      <c r="B142" s="1" t="str">
        <f>IF(ISTEXT('_Data inputs (reported)'!B142),'_Data inputs (reported)'!B142,"")</f>
        <v/>
      </c>
      <c r="C142" s="179" t="str">
        <f>IF(ISBLANK('_Data inputs (reported)'!C142),"",'_Data inputs (reported)'!C142)</f>
        <v/>
      </c>
      <c r="D142" s="105" t="str">
        <f>IF(ISTEXT(VLOOKUP('_Data inputs (reported)'!D142,nametranslations,1,FALSE)),IF(Introduction!$A$2="English",VLOOKUP('_Data inputs (reported)'!D142,nametranslations,1,FALSE),IF(Introduction!$A$2="Spanish",VLOOKUP('_Data inputs (reported)'!D142,nametranslations,2,FALSE),IF(Introduction!$A$2="French",VLOOKUP('_Data inputs (reported)'!D142,nametranslations,3,FALSE),IF(Introduction!$A$2="Arabic",VLOOKUP('_Data inputs (reported)'!D142,nametranslations,4,FALSE),IF(Introduction!$A$2="Russian",VLOOKUP('_Data inputs (reported)'!D142,nametranslations,5,FALSE),IF(Introduction!$A$2="Chinese",VLOOKUP('_Data inputs (reported)'!D142,nametranslations,6,FALSE),IF(Introduction!$A$2="Other",VLOOKUP('_Data inputs (reported)'!D142,nametranslations,7,FALSE)))))))),"")</f>
        <v/>
      </c>
      <c r="E142" s="1" t="str">
        <f>IF(ISTEXT('_Data inputs (reported)'!E142),'_Data inputs (reported)'!E142,"")</f>
        <v/>
      </c>
      <c r="F142" s="8" t="str">
        <f>IF(ISNUMBER('_Data inputs (reported)'!F142),'_Data inputs (reported)'!F142,"")</f>
        <v/>
      </c>
      <c r="G142" s="105" t="str">
        <f>IF(ISTEXT(VLOOKUP('_Data inputs (reported)'!G142,nametranslations,1,FALSE)),IF(Introduction!$A$2="English",VLOOKUP('_Data inputs (reported)'!G142,nametranslations,1,FALSE),IF(Introduction!$A$2="Spanish",VLOOKUP('_Data inputs (reported)'!G142,nametranslations,2,FALSE),IF(Introduction!$A$2="French",VLOOKUP('_Data inputs (reported)'!G142,nametranslations,3,FALSE),IF(Introduction!$A$2="Arabic",VLOOKUP('_Data inputs (reported)'!G142,nametranslations,4,FALSE),IF(Introduction!$A$2="Russian",VLOOKUP('_Data inputs (reported)'!G142,nametranslations,5,FALSE),IF(Introduction!$A$2="Chinese",VLOOKUP('_Data inputs (reported)'!G142,nametranslations,6,FALSE),IF(Introduction!$A$2="Other",VLOOKUP('_Data inputs (reported)'!G142,nametranslations,7,FALSE)))))))),"")</f>
        <v/>
      </c>
      <c r="H142" s="1" t="str">
        <f>IF(ISTEXT('_Data inputs (reported)'!H142),'_Data inputs (reported)'!H142,"")</f>
        <v/>
      </c>
      <c r="I142" s="42" t="str">
        <f>IF(ISNUMBER('_Data inputs (reported)'!I142),'_Data inputs (reported)'!I142,"")</f>
        <v/>
      </c>
      <c r="J142" s="1" t="str">
        <f>IF(ISTEXT('_Data inputs (reported)'!J142),'_Data inputs (reported)'!J142,"")</f>
        <v/>
      </c>
      <c r="K142" s="105" t="str">
        <f>IF(ISTEXT('_Data inputs (reported)'!K142),'_Data inputs (reported)'!K142,"")</f>
        <v/>
      </c>
      <c r="L142" s="105" t="str">
        <f>IF(ISTEXT('_Data inputs (reported)'!L142),'_Data inputs (reported)'!L142,"")</f>
        <v/>
      </c>
      <c r="M142" s="1" t="str">
        <f>IF(ISTEXT('_Data inputs (reported)'!M142),'_Data inputs (reported)'!M142,"")</f>
        <v/>
      </c>
      <c r="N142" s="105" t="str">
        <f>IF(ISTEXT('_Data inputs (reported)'!N142),'_Data inputs (reported)'!N142,"")</f>
        <v/>
      </c>
    </row>
    <row xmlns:x14ac="http://schemas.microsoft.com/office/spreadsheetml/2009/9/ac" r="143" x14ac:dyDescent="0.2">
      <c r="A143" s="105" t="str">
        <f>IF(ISTEXT(VLOOKUP('_Data inputs (reported)'!B143,countryname,2,FALSE)),IF(Introduction!$A$2="English",VLOOKUP('_Data inputs (reported)'!B143,countryname,2,FALSE),IF(Introduction!$A$2="French",VLOOKUP('_Data inputs (reported)'!B143,countryname,3,FALSE),IF(Introduction!$A$2="Spanish",VLOOKUP('_Data inputs (reported)'!B143,countryname,4,FALSE),IF(Introduction!$A$2="Russian",VLOOKUP('_Data inputs (reported)'!B143,countryname,5,FALSE),IF(Introduction!$A$2="Arabic",VLOOKUP('_Data inputs (reported)'!B143,countryname,6,FALSE),IF(Introduction!$A$2="Chinese",VLOOKUP('_Data inputs (reported)'!B143,countryname,7,FALSE),IF(Introduction!$A$2="Other",VLOOKUP('_Data inputs (reported)'!B143,countryname,8,FALSE)))))))),"")</f>
        <v/>
      </c>
      <c r="B143" s="1" t="str">
        <f>IF(ISTEXT('_Data inputs (reported)'!B143),'_Data inputs (reported)'!B143,"")</f>
        <v/>
      </c>
      <c r="C143" s="179" t="str">
        <f>IF(ISBLANK('_Data inputs (reported)'!C143),"",'_Data inputs (reported)'!C143)</f>
        <v/>
      </c>
      <c r="D143" s="105" t="str">
        <f>IF(ISTEXT(VLOOKUP('_Data inputs (reported)'!D143,nametranslations,1,FALSE)),IF(Introduction!$A$2="English",VLOOKUP('_Data inputs (reported)'!D143,nametranslations,1,FALSE),IF(Introduction!$A$2="Spanish",VLOOKUP('_Data inputs (reported)'!D143,nametranslations,2,FALSE),IF(Introduction!$A$2="French",VLOOKUP('_Data inputs (reported)'!D143,nametranslations,3,FALSE),IF(Introduction!$A$2="Arabic",VLOOKUP('_Data inputs (reported)'!D143,nametranslations,4,FALSE),IF(Introduction!$A$2="Russian",VLOOKUP('_Data inputs (reported)'!D143,nametranslations,5,FALSE),IF(Introduction!$A$2="Chinese",VLOOKUP('_Data inputs (reported)'!D143,nametranslations,6,FALSE),IF(Introduction!$A$2="Other",VLOOKUP('_Data inputs (reported)'!D143,nametranslations,7,FALSE)))))))),"")</f>
        <v/>
      </c>
      <c r="E143" s="1" t="str">
        <f>IF(ISTEXT('_Data inputs (reported)'!E143),'_Data inputs (reported)'!E143,"")</f>
        <v/>
      </c>
      <c r="F143" s="8" t="str">
        <f>IF(ISNUMBER('_Data inputs (reported)'!F143),'_Data inputs (reported)'!F143,"")</f>
        <v/>
      </c>
      <c r="G143" s="105" t="str">
        <f>IF(ISTEXT(VLOOKUP('_Data inputs (reported)'!G143,nametranslations,1,FALSE)),IF(Introduction!$A$2="English",VLOOKUP('_Data inputs (reported)'!G143,nametranslations,1,FALSE),IF(Introduction!$A$2="Spanish",VLOOKUP('_Data inputs (reported)'!G143,nametranslations,2,FALSE),IF(Introduction!$A$2="French",VLOOKUP('_Data inputs (reported)'!G143,nametranslations,3,FALSE),IF(Introduction!$A$2="Arabic",VLOOKUP('_Data inputs (reported)'!G143,nametranslations,4,FALSE),IF(Introduction!$A$2="Russian",VLOOKUP('_Data inputs (reported)'!G143,nametranslations,5,FALSE),IF(Introduction!$A$2="Chinese",VLOOKUP('_Data inputs (reported)'!G143,nametranslations,6,FALSE),IF(Introduction!$A$2="Other",VLOOKUP('_Data inputs (reported)'!G143,nametranslations,7,FALSE)))))))),"")</f>
        <v/>
      </c>
      <c r="H143" s="1" t="str">
        <f>IF(ISTEXT('_Data inputs (reported)'!H143),'_Data inputs (reported)'!H143,"")</f>
        <v/>
      </c>
      <c r="I143" s="42" t="str">
        <f>IF(ISNUMBER('_Data inputs (reported)'!I143),'_Data inputs (reported)'!I143,"")</f>
        <v/>
      </c>
      <c r="J143" s="1" t="str">
        <f>IF(ISTEXT('_Data inputs (reported)'!J143),'_Data inputs (reported)'!J143,"")</f>
        <v/>
      </c>
      <c r="K143" s="105" t="str">
        <f>IF(ISTEXT('_Data inputs (reported)'!K143),'_Data inputs (reported)'!K143,"")</f>
        <v/>
      </c>
      <c r="L143" s="105" t="str">
        <f>IF(ISTEXT('_Data inputs (reported)'!L143),'_Data inputs (reported)'!L143,"")</f>
        <v/>
      </c>
      <c r="M143" s="1" t="str">
        <f>IF(ISTEXT('_Data inputs (reported)'!M143),'_Data inputs (reported)'!M143,"")</f>
        <v/>
      </c>
      <c r="N143" s="105" t="str">
        <f>IF(ISTEXT('_Data inputs (reported)'!N143),'_Data inputs (reported)'!N143,"")</f>
        <v/>
      </c>
    </row>
    <row xmlns:x14ac="http://schemas.microsoft.com/office/spreadsheetml/2009/9/ac" r="144" x14ac:dyDescent="0.2">
      <c r="A144" s="105" t="str">
        <f>IF(ISTEXT(VLOOKUP('_Data inputs (reported)'!B144,countryname,2,FALSE)),IF(Introduction!$A$2="English",VLOOKUP('_Data inputs (reported)'!B144,countryname,2,FALSE),IF(Introduction!$A$2="French",VLOOKUP('_Data inputs (reported)'!B144,countryname,3,FALSE),IF(Introduction!$A$2="Spanish",VLOOKUP('_Data inputs (reported)'!B144,countryname,4,FALSE),IF(Introduction!$A$2="Russian",VLOOKUP('_Data inputs (reported)'!B144,countryname,5,FALSE),IF(Introduction!$A$2="Arabic",VLOOKUP('_Data inputs (reported)'!B144,countryname,6,FALSE),IF(Introduction!$A$2="Chinese",VLOOKUP('_Data inputs (reported)'!B144,countryname,7,FALSE),IF(Introduction!$A$2="Other",VLOOKUP('_Data inputs (reported)'!B144,countryname,8,FALSE)))))))),"")</f>
        <v/>
      </c>
      <c r="B144" s="1" t="str">
        <f>IF(ISTEXT('_Data inputs (reported)'!B144),'_Data inputs (reported)'!B144,"")</f>
        <v/>
      </c>
      <c r="C144" s="179" t="str">
        <f>IF(ISBLANK('_Data inputs (reported)'!C144),"",'_Data inputs (reported)'!C144)</f>
        <v/>
      </c>
      <c r="D144" s="105" t="str">
        <f>IF(ISTEXT(VLOOKUP('_Data inputs (reported)'!D144,nametranslations,1,FALSE)),IF(Introduction!$A$2="English",VLOOKUP('_Data inputs (reported)'!D144,nametranslations,1,FALSE),IF(Introduction!$A$2="Spanish",VLOOKUP('_Data inputs (reported)'!D144,nametranslations,2,FALSE),IF(Introduction!$A$2="French",VLOOKUP('_Data inputs (reported)'!D144,nametranslations,3,FALSE),IF(Introduction!$A$2="Arabic",VLOOKUP('_Data inputs (reported)'!D144,nametranslations,4,FALSE),IF(Introduction!$A$2="Russian",VLOOKUP('_Data inputs (reported)'!D144,nametranslations,5,FALSE),IF(Introduction!$A$2="Chinese",VLOOKUP('_Data inputs (reported)'!D144,nametranslations,6,FALSE),IF(Introduction!$A$2="Other",VLOOKUP('_Data inputs (reported)'!D144,nametranslations,7,FALSE)))))))),"")</f>
        <v/>
      </c>
      <c r="E144" s="1" t="str">
        <f>IF(ISTEXT('_Data inputs (reported)'!E144),'_Data inputs (reported)'!E144,"")</f>
        <v/>
      </c>
      <c r="F144" s="8" t="str">
        <f>IF(ISNUMBER('_Data inputs (reported)'!F144),'_Data inputs (reported)'!F144,"")</f>
        <v/>
      </c>
      <c r="G144" s="105" t="str">
        <f>IF(ISTEXT(VLOOKUP('_Data inputs (reported)'!G144,nametranslations,1,FALSE)),IF(Introduction!$A$2="English",VLOOKUP('_Data inputs (reported)'!G144,nametranslations,1,FALSE),IF(Introduction!$A$2="Spanish",VLOOKUP('_Data inputs (reported)'!G144,nametranslations,2,FALSE),IF(Introduction!$A$2="French",VLOOKUP('_Data inputs (reported)'!G144,nametranslations,3,FALSE),IF(Introduction!$A$2="Arabic",VLOOKUP('_Data inputs (reported)'!G144,nametranslations,4,FALSE),IF(Introduction!$A$2="Russian",VLOOKUP('_Data inputs (reported)'!G144,nametranslations,5,FALSE),IF(Introduction!$A$2="Chinese",VLOOKUP('_Data inputs (reported)'!G144,nametranslations,6,FALSE),IF(Introduction!$A$2="Other",VLOOKUP('_Data inputs (reported)'!G144,nametranslations,7,FALSE)))))))),"")</f>
        <v/>
      </c>
      <c r="H144" s="1" t="str">
        <f>IF(ISTEXT('_Data inputs (reported)'!H144),'_Data inputs (reported)'!H144,"")</f>
        <v/>
      </c>
      <c r="I144" s="42" t="str">
        <f>IF(ISNUMBER('_Data inputs (reported)'!I144),'_Data inputs (reported)'!I144,"")</f>
        <v/>
      </c>
      <c r="J144" s="1" t="str">
        <f>IF(ISTEXT('_Data inputs (reported)'!J144),'_Data inputs (reported)'!J144,"")</f>
        <v/>
      </c>
      <c r="K144" s="105" t="str">
        <f>IF(ISTEXT('_Data inputs (reported)'!K144),'_Data inputs (reported)'!K144,"")</f>
        <v/>
      </c>
      <c r="L144" s="105" t="str">
        <f>IF(ISTEXT('_Data inputs (reported)'!L144),'_Data inputs (reported)'!L144,"")</f>
        <v/>
      </c>
      <c r="M144" s="1" t="str">
        <f>IF(ISTEXT('_Data inputs (reported)'!M144),'_Data inputs (reported)'!M144,"")</f>
        <v/>
      </c>
      <c r="N144" s="105" t="str">
        <f>IF(ISTEXT('_Data inputs (reported)'!N144),'_Data inputs (reported)'!N144,"")</f>
        <v/>
      </c>
    </row>
    <row xmlns:x14ac="http://schemas.microsoft.com/office/spreadsheetml/2009/9/ac" r="145" x14ac:dyDescent="0.2">
      <c r="A145" s="105" t="str">
        <f>IF(ISTEXT(VLOOKUP('_Data inputs (reported)'!B145,countryname,2,FALSE)),IF(Introduction!$A$2="English",VLOOKUP('_Data inputs (reported)'!B145,countryname,2,FALSE),IF(Introduction!$A$2="French",VLOOKUP('_Data inputs (reported)'!B145,countryname,3,FALSE),IF(Introduction!$A$2="Spanish",VLOOKUP('_Data inputs (reported)'!B145,countryname,4,FALSE),IF(Introduction!$A$2="Russian",VLOOKUP('_Data inputs (reported)'!B145,countryname,5,FALSE),IF(Introduction!$A$2="Arabic",VLOOKUP('_Data inputs (reported)'!B145,countryname,6,FALSE),IF(Introduction!$A$2="Chinese",VLOOKUP('_Data inputs (reported)'!B145,countryname,7,FALSE),IF(Introduction!$A$2="Other",VLOOKUP('_Data inputs (reported)'!B145,countryname,8,FALSE)))))))),"")</f>
        <v/>
      </c>
      <c r="B145" s="1" t="str">
        <f>IF(ISTEXT('_Data inputs (reported)'!B145),'_Data inputs (reported)'!B145,"")</f>
        <v/>
      </c>
      <c r="C145" s="179" t="str">
        <f>IF(ISBLANK('_Data inputs (reported)'!C145),"",'_Data inputs (reported)'!C145)</f>
        <v/>
      </c>
      <c r="D145" s="105" t="str">
        <f>IF(ISTEXT(VLOOKUP('_Data inputs (reported)'!D145,nametranslations,1,FALSE)),IF(Introduction!$A$2="English",VLOOKUP('_Data inputs (reported)'!D145,nametranslations,1,FALSE),IF(Introduction!$A$2="Spanish",VLOOKUP('_Data inputs (reported)'!D145,nametranslations,2,FALSE),IF(Introduction!$A$2="French",VLOOKUP('_Data inputs (reported)'!D145,nametranslations,3,FALSE),IF(Introduction!$A$2="Arabic",VLOOKUP('_Data inputs (reported)'!D145,nametranslations,4,FALSE),IF(Introduction!$A$2="Russian",VLOOKUP('_Data inputs (reported)'!D145,nametranslations,5,FALSE),IF(Introduction!$A$2="Chinese",VLOOKUP('_Data inputs (reported)'!D145,nametranslations,6,FALSE),IF(Introduction!$A$2="Other",VLOOKUP('_Data inputs (reported)'!D145,nametranslations,7,FALSE)))))))),"")</f>
        <v/>
      </c>
      <c r="E145" s="1" t="str">
        <f>IF(ISTEXT('_Data inputs (reported)'!E145),'_Data inputs (reported)'!E145,"")</f>
        <v/>
      </c>
      <c r="F145" s="8" t="str">
        <f>IF(ISNUMBER('_Data inputs (reported)'!F145),'_Data inputs (reported)'!F145,"")</f>
        <v/>
      </c>
      <c r="G145" s="105" t="str">
        <f>IF(ISTEXT(VLOOKUP('_Data inputs (reported)'!G145,nametranslations,1,FALSE)),IF(Introduction!$A$2="English",VLOOKUP('_Data inputs (reported)'!G145,nametranslations,1,FALSE),IF(Introduction!$A$2="Spanish",VLOOKUP('_Data inputs (reported)'!G145,nametranslations,2,FALSE),IF(Introduction!$A$2="French",VLOOKUP('_Data inputs (reported)'!G145,nametranslations,3,FALSE),IF(Introduction!$A$2="Arabic",VLOOKUP('_Data inputs (reported)'!G145,nametranslations,4,FALSE),IF(Introduction!$A$2="Russian",VLOOKUP('_Data inputs (reported)'!G145,nametranslations,5,FALSE),IF(Introduction!$A$2="Chinese",VLOOKUP('_Data inputs (reported)'!G145,nametranslations,6,FALSE),IF(Introduction!$A$2="Other",VLOOKUP('_Data inputs (reported)'!G145,nametranslations,7,FALSE)))))))),"")</f>
        <v/>
      </c>
      <c r="H145" s="1" t="str">
        <f>IF(ISTEXT('_Data inputs (reported)'!H145),'_Data inputs (reported)'!H145,"")</f>
        <v/>
      </c>
      <c r="I145" s="42" t="str">
        <f>IF(ISNUMBER('_Data inputs (reported)'!I145),'_Data inputs (reported)'!I145,"")</f>
        <v/>
      </c>
      <c r="J145" s="1" t="str">
        <f>IF(ISTEXT('_Data inputs (reported)'!J145),'_Data inputs (reported)'!J145,"")</f>
        <v/>
      </c>
      <c r="K145" s="105" t="str">
        <f>IF(ISTEXT('_Data inputs (reported)'!K145),'_Data inputs (reported)'!K145,"")</f>
        <v/>
      </c>
      <c r="L145" s="105" t="str">
        <f>IF(ISTEXT('_Data inputs (reported)'!L145),'_Data inputs (reported)'!L145,"")</f>
        <v/>
      </c>
      <c r="M145" s="1" t="str">
        <f>IF(ISTEXT('_Data inputs (reported)'!M145),'_Data inputs (reported)'!M145,"")</f>
        <v/>
      </c>
      <c r="N145" s="105" t="str">
        <f>IF(ISTEXT('_Data inputs (reported)'!N145),'_Data inputs (reported)'!N145,"")</f>
        <v/>
      </c>
    </row>
    <row xmlns:x14ac="http://schemas.microsoft.com/office/spreadsheetml/2009/9/ac" r="146" x14ac:dyDescent="0.2">
      <c r="A146" s="105" t="str">
        <f>IF(ISTEXT(VLOOKUP('_Data inputs (reported)'!B146,countryname,2,FALSE)),IF(Introduction!$A$2="English",VLOOKUP('_Data inputs (reported)'!B146,countryname,2,FALSE),IF(Introduction!$A$2="French",VLOOKUP('_Data inputs (reported)'!B146,countryname,3,FALSE),IF(Introduction!$A$2="Spanish",VLOOKUP('_Data inputs (reported)'!B146,countryname,4,FALSE),IF(Introduction!$A$2="Russian",VLOOKUP('_Data inputs (reported)'!B146,countryname,5,FALSE),IF(Introduction!$A$2="Arabic",VLOOKUP('_Data inputs (reported)'!B146,countryname,6,FALSE),IF(Introduction!$A$2="Chinese",VLOOKUP('_Data inputs (reported)'!B146,countryname,7,FALSE),IF(Introduction!$A$2="Other",VLOOKUP('_Data inputs (reported)'!B146,countryname,8,FALSE)))))))),"")</f>
        <v/>
      </c>
      <c r="B146" s="1" t="str">
        <f>IF(ISTEXT('_Data inputs (reported)'!B146),'_Data inputs (reported)'!B146,"")</f>
        <v/>
      </c>
      <c r="C146" s="179" t="str">
        <f>IF(ISBLANK('_Data inputs (reported)'!C146),"",'_Data inputs (reported)'!C146)</f>
        <v/>
      </c>
      <c r="D146" s="105" t="str">
        <f>IF(ISTEXT(VLOOKUP('_Data inputs (reported)'!D146,nametranslations,1,FALSE)),IF(Introduction!$A$2="English",VLOOKUP('_Data inputs (reported)'!D146,nametranslations,1,FALSE),IF(Introduction!$A$2="Spanish",VLOOKUP('_Data inputs (reported)'!D146,nametranslations,2,FALSE),IF(Introduction!$A$2="French",VLOOKUP('_Data inputs (reported)'!D146,nametranslations,3,FALSE),IF(Introduction!$A$2="Arabic",VLOOKUP('_Data inputs (reported)'!D146,nametranslations,4,FALSE),IF(Introduction!$A$2="Russian",VLOOKUP('_Data inputs (reported)'!D146,nametranslations,5,FALSE),IF(Introduction!$A$2="Chinese",VLOOKUP('_Data inputs (reported)'!D146,nametranslations,6,FALSE),IF(Introduction!$A$2="Other",VLOOKUP('_Data inputs (reported)'!D146,nametranslations,7,FALSE)))))))),"")</f>
        <v/>
      </c>
      <c r="E146" s="1" t="str">
        <f>IF(ISTEXT('_Data inputs (reported)'!E146),'_Data inputs (reported)'!E146,"")</f>
        <v/>
      </c>
      <c r="F146" s="8" t="str">
        <f>IF(ISNUMBER('_Data inputs (reported)'!F146),'_Data inputs (reported)'!F146,"")</f>
        <v/>
      </c>
      <c r="G146" s="105" t="str">
        <f>IF(ISTEXT(VLOOKUP('_Data inputs (reported)'!G146,nametranslations,1,FALSE)),IF(Introduction!$A$2="English",VLOOKUP('_Data inputs (reported)'!G146,nametranslations,1,FALSE),IF(Introduction!$A$2="Spanish",VLOOKUP('_Data inputs (reported)'!G146,nametranslations,2,FALSE),IF(Introduction!$A$2="French",VLOOKUP('_Data inputs (reported)'!G146,nametranslations,3,FALSE),IF(Introduction!$A$2="Arabic",VLOOKUP('_Data inputs (reported)'!G146,nametranslations,4,FALSE),IF(Introduction!$A$2="Russian",VLOOKUP('_Data inputs (reported)'!G146,nametranslations,5,FALSE),IF(Introduction!$A$2="Chinese",VLOOKUP('_Data inputs (reported)'!G146,nametranslations,6,FALSE),IF(Introduction!$A$2="Other",VLOOKUP('_Data inputs (reported)'!G146,nametranslations,7,FALSE)))))))),"")</f>
        <v/>
      </c>
      <c r="H146" s="1" t="str">
        <f>IF(ISTEXT('_Data inputs (reported)'!H146),'_Data inputs (reported)'!H146,"")</f>
        <v/>
      </c>
      <c r="I146" s="42" t="str">
        <f>IF(ISNUMBER('_Data inputs (reported)'!I146),'_Data inputs (reported)'!I146,"")</f>
        <v/>
      </c>
      <c r="J146" s="1" t="str">
        <f>IF(ISTEXT('_Data inputs (reported)'!J146),'_Data inputs (reported)'!J146,"")</f>
        <v/>
      </c>
      <c r="K146" s="105" t="str">
        <f>IF(ISTEXT('_Data inputs (reported)'!K146),'_Data inputs (reported)'!K146,"")</f>
        <v/>
      </c>
      <c r="L146" s="105" t="str">
        <f>IF(ISTEXT('_Data inputs (reported)'!L146),'_Data inputs (reported)'!L146,"")</f>
        <v/>
      </c>
      <c r="M146" s="1" t="str">
        <f>IF(ISTEXT('_Data inputs (reported)'!M146),'_Data inputs (reported)'!M146,"")</f>
        <v/>
      </c>
      <c r="N146" s="105" t="str">
        <f>IF(ISTEXT('_Data inputs (reported)'!N146),'_Data inputs (reported)'!N146,"")</f>
        <v/>
      </c>
    </row>
    <row xmlns:x14ac="http://schemas.microsoft.com/office/spreadsheetml/2009/9/ac" r="147" x14ac:dyDescent="0.2">
      <c r="A147" s="105" t="str">
        <f>IF(ISTEXT(VLOOKUP('_Data inputs (reported)'!B147,countryname,2,FALSE)),IF(Introduction!$A$2="English",VLOOKUP('_Data inputs (reported)'!B147,countryname,2,FALSE),IF(Introduction!$A$2="French",VLOOKUP('_Data inputs (reported)'!B147,countryname,3,FALSE),IF(Introduction!$A$2="Spanish",VLOOKUP('_Data inputs (reported)'!B147,countryname,4,FALSE),IF(Introduction!$A$2="Russian",VLOOKUP('_Data inputs (reported)'!B147,countryname,5,FALSE),IF(Introduction!$A$2="Arabic",VLOOKUP('_Data inputs (reported)'!B147,countryname,6,FALSE),IF(Introduction!$A$2="Chinese",VLOOKUP('_Data inputs (reported)'!B147,countryname,7,FALSE),IF(Introduction!$A$2="Other",VLOOKUP('_Data inputs (reported)'!B147,countryname,8,FALSE)))))))),"")</f>
        <v/>
      </c>
      <c r="B147" s="1" t="str">
        <f>IF(ISTEXT('_Data inputs (reported)'!B147),'_Data inputs (reported)'!B147,"")</f>
        <v/>
      </c>
      <c r="C147" s="179" t="str">
        <f>IF(ISBLANK('_Data inputs (reported)'!C147),"",'_Data inputs (reported)'!C147)</f>
        <v/>
      </c>
      <c r="D147" s="105" t="str">
        <f>IF(ISTEXT(VLOOKUP('_Data inputs (reported)'!D147,nametranslations,1,FALSE)),IF(Introduction!$A$2="English",VLOOKUP('_Data inputs (reported)'!D147,nametranslations,1,FALSE),IF(Introduction!$A$2="Spanish",VLOOKUP('_Data inputs (reported)'!D147,nametranslations,2,FALSE),IF(Introduction!$A$2="French",VLOOKUP('_Data inputs (reported)'!D147,nametranslations,3,FALSE),IF(Introduction!$A$2="Arabic",VLOOKUP('_Data inputs (reported)'!D147,nametranslations,4,FALSE),IF(Introduction!$A$2="Russian",VLOOKUP('_Data inputs (reported)'!D147,nametranslations,5,FALSE),IF(Introduction!$A$2="Chinese",VLOOKUP('_Data inputs (reported)'!D147,nametranslations,6,FALSE),IF(Introduction!$A$2="Other",VLOOKUP('_Data inputs (reported)'!D147,nametranslations,7,FALSE)))))))),"")</f>
        <v/>
      </c>
      <c r="E147" s="1" t="str">
        <f>IF(ISTEXT('_Data inputs (reported)'!E147),'_Data inputs (reported)'!E147,"")</f>
        <v/>
      </c>
      <c r="F147" s="8" t="str">
        <f>IF(ISNUMBER('_Data inputs (reported)'!F147),'_Data inputs (reported)'!F147,"")</f>
        <v/>
      </c>
      <c r="G147" s="105" t="str">
        <f>IF(ISTEXT(VLOOKUP('_Data inputs (reported)'!G147,nametranslations,1,FALSE)),IF(Introduction!$A$2="English",VLOOKUP('_Data inputs (reported)'!G147,nametranslations,1,FALSE),IF(Introduction!$A$2="Spanish",VLOOKUP('_Data inputs (reported)'!G147,nametranslations,2,FALSE),IF(Introduction!$A$2="French",VLOOKUP('_Data inputs (reported)'!G147,nametranslations,3,FALSE),IF(Introduction!$A$2="Arabic",VLOOKUP('_Data inputs (reported)'!G147,nametranslations,4,FALSE),IF(Introduction!$A$2="Russian",VLOOKUP('_Data inputs (reported)'!G147,nametranslations,5,FALSE),IF(Introduction!$A$2="Chinese",VLOOKUP('_Data inputs (reported)'!G147,nametranslations,6,FALSE),IF(Introduction!$A$2="Other",VLOOKUP('_Data inputs (reported)'!G147,nametranslations,7,FALSE)))))))),"")</f>
        <v/>
      </c>
      <c r="H147" s="1" t="str">
        <f>IF(ISTEXT('_Data inputs (reported)'!H147),'_Data inputs (reported)'!H147,"")</f>
        <v/>
      </c>
      <c r="I147" s="42" t="str">
        <f>IF(ISNUMBER('_Data inputs (reported)'!I147),'_Data inputs (reported)'!I147,"")</f>
        <v/>
      </c>
      <c r="J147" s="1" t="str">
        <f>IF(ISTEXT('_Data inputs (reported)'!J147),'_Data inputs (reported)'!J147,"")</f>
        <v/>
      </c>
      <c r="K147" s="105" t="str">
        <f>IF(ISTEXT('_Data inputs (reported)'!K147),'_Data inputs (reported)'!K147,"")</f>
        <v/>
      </c>
      <c r="L147" s="105" t="str">
        <f>IF(ISTEXT('_Data inputs (reported)'!L147),'_Data inputs (reported)'!L147,"")</f>
        <v/>
      </c>
      <c r="M147" s="1" t="str">
        <f>IF(ISTEXT('_Data inputs (reported)'!M147),'_Data inputs (reported)'!M147,"")</f>
        <v/>
      </c>
      <c r="N147" s="105" t="str">
        <f>IF(ISTEXT('_Data inputs (reported)'!N147),'_Data inputs (reported)'!N147,"")</f>
        <v/>
      </c>
    </row>
    <row xmlns:x14ac="http://schemas.microsoft.com/office/spreadsheetml/2009/9/ac" r="148" x14ac:dyDescent="0.2">
      <c r="A148" s="105" t="str">
        <f>IF(ISTEXT(VLOOKUP('_Data inputs (reported)'!B148,countryname,2,FALSE)),IF(Introduction!$A$2="English",VLOOKUP('_Data inputs (reported)'!B148,countryname,2,FALSE),IF(Introduction!$A$2="French",VLOOKUP('_Data inputs (reported)'!B148,countryname,3,FALSE),IF(Introduction!$A$2="Spanish",VLOOKUP('_Data inputs (reported)'!B148,countryname,4,FALSE),IF(Introduction!$A$2="Russian",VLOOKUP('_Data inputs (reported)'!B148,countryname,5,FALSE),IF(Introduction!$A$2="Arabic",VLOOKUP('_Data inputs (reported)'!B148,countryname,6,FALSE),IF(Introduction!$A$2="Chinese",VLOOKUP('_Data inputs (reported)'!B148,countryname,7,FALSE),IF(Introduction!$A$2="Other",VLOOKUP('_Data inputs (reported)'!B148,countryname,8,FALSE)))))))),"")</f>
        <v/>
      </c>
      <c r="B148" s="1" t="str">
        <f>IF(ISTEXT('_Data inputs (reported)'!B148),'_Data inputs (reported)'!B148,"")</f>
        <v/>
      </c>
      <c r="C148" s="179" t="str">
        <f>IF(ISBLANK('_Data inputs (reported)'!C148),"",'_Data inputs (reported)'!C148)</f>
        <v/>
      </c>
      <c r="D148" s="105" t="str">
        <f>IF(ISTEXT(VLOOKUP('_Data inputs (reported)'!D148,nametranslations,1,FALSE)),IF(Introduction!$A$2="English",VLOOKUP('_Data inputs (reported)'!D148,nametranslations,1,FALSE),IF(Introduction!$A$2="Spanish",VLOOKUP('_Data inputs (reported)'!D148,nametranslations,2,FALSE),IF(Introduction!$A$2="French",VLOOKUP('_Data inputs (reported)'!D148,nametranslations,3,FALSE),IF(Introduction!$A$2="Arabic",VLOOKUP('_Data inputs (reported)'!D148,nametranslations,4,FALSE),IF(Introduction!$A$2="Russian",VLOOKUP('_Data inputs (reported)'!D148,nametranslations,5,FALSE),IF(Introduction!$A$2="Chinese",VLOOKUP('_Data inputs (reported)'!D148,nametranslations,6,FALSE),IF(Introduction!$A$2="Other",VLOOKUP('_Data inputs (reported)'!D148,nametranslations,7,FALSE)))))))),"")</f>
        <v/>
      </c>
      <c r="E148" s="1" t="str">
        <f>IF(ISTEXT('_Data inputs (reported)'!E148),'_Data inputs (reported)'!E148,"")</f>
        <v/>
      </c>
      <c r="F148" s="8" t="str">
        <f>IF(ISNUMBER('_Data inputs (reported)'!F148),'_Data inputs (reported)'!F148,"")</f>
        <v/>
      </c>
      <c r="G148" s="105" t="str">
        <f>IF(ISTEXT(VLOOKUP('_Data inputs (reported)'!G148,nametranslations,1,FALSE)),IF(Introduction!$A$2="English",VLOOKUP('_Data inputs (reported)'!G148,nametranslations,1,FALSE),IF(Introduction!$A$2="Spanish",VLOOKUP('_Data inputs (reported)'!G148,nametranslations,2,FALSE),IF(Introduction!$A$2="French",VLOOKUP('_Data inputs (reported)'!G148,nametranslations,3,FALSE),IF(Introduction!$A$2="Arabic",VLOOKUP('_Data inputs (reported)'!G148,nametranslations,4,FALSE),IF(Introduction!$A$2="Russian",VLOOKUP('_Data inputs (reported)'!G148,nametranslations,5,FALSE),IF(Introduction!$A$2="Chinese",VLOOKUP('_Data inputs (reported)'!G148,nametranslations,6,FALSE),IF(Introduction!$A$2="Other",VLOOKUP('_Data inputs (reported)'!G148,nametranslations,7,FALSE)))))))),"")</f>
        <v/>
      </c>
      <c r="H148" s="1" t="str">
        <f>IF(ISTEXT('_Data inputs (reported)'!H148),'_Data inputs (reported)'!H148,"")</f>
        <v/>
      </c>
      <c r="I148" s="42" t="str">
        <f>IF(ISNUMBER('_Data inputs (reported)'!I148),'_Data inputs (reported)'!I148,"")</f>
        <v/>
      </c>
      <c r="J148" s="1" t="str">
        <f>IF(ISTEXT('_Data inputs (reported)'!J148),'_Data inputs (reported)'!J148,"")</f>
        <v/>
      </c>
      <c r="K148" s="105" t="str">
        <f>IF(ISTEXT('_Data inputs (reported)'!K148),'_Data inputs (reported)'!K148,"")</f>
        <v/>
      </c>
      <c r="L148" s="105" t="str">
        <f>IF(ISTEXT('_Data inputs (reported)'!L148),'_Data inputs (reported)'!L148,"")</f>
        <v/>
      </c>
      <c r="M148" s="1" t="str">
        <f>IF(ISTEXT('_Data inputs (reported)'!M148),'_Data inputs (reported)'!M148,"")</f>
        <v/>
      </c>
      <c r="N148" s="105" t="str">
        <f>IF(ISTEXT('_Data inputs (reported)'!N148),'_Data inputs (reported)'!N148,"")</f>
        <v/>
      </c>
    </row>
    <row xmlns:x14ac="http://schemas.microsoft.com/office/spreadsheetml/2009/9/ac" r="149" x14ac:dyDescent="0.2">
      <c r="A149" s="105" t="str">
        <f>IF(ISTEXT(VLOOKUP('_Data inputs (reported)'!B149,countryname,2,FALSE)),IF(Introduction!$A$2="English",VLOOKUP('_Data inputs (reported)'!B149,countryname,2,FALSE),IF(Introduction!$A$2="French",VLOOKUP('_Data inputs (reported)'!B149,countryname,3,FALSE),IF(Introduction!$A$2="Spanish",VLOOKUP('_Data inputs (reported)'!B149,countryname,4,FALSE),IF(Introduction!$A$2="Russian",VLOOKUP('_Data inputs (reported)'!B149,countryname,5,FALSE),IF(Introduction!$A$2="Arabic",VLOOKUP('_Data inputs (reported)'!B149,countryname,6,FALSE),IF(Introduction!$A$2="Chinese",VLOOKUP('_Data inputs (reported)'!B149,countryname,7,FALSE),IF(Introduction!$A$2="Other",VLOOKUP('_Data inputs (reported)'!B149,countryname,8,FALSE)))))))),"")</f>
        <v/>
      </c>
      <c r="B149" s="1" t="str">
        <f>IF(ISTEXT('_Data inputs (reported)'!B149),'_Data inputs (reported)'!B149,"")</f>
        <v/>
      </c>
      <c r="C149" s="179" t="str">
        <f>IF(ISBLANK('_Data inputs (reported)'!C149),"",'_Data inputs (reported)'!C149)</f>
        <v/>
      </c>
      <c r="D149" s="105" t="str">
        <f>IF(ISTEXT(VLOOKUP('_Data inputs (reported)'!D149,nametranslations,1,FALSE)),IF(Introduction!$A$2="English",VLOOKUP('_Data inputs (reported)'!D149,nametranslations,1,FALSE),IF(Introduction!$A$2="Spanish",VLOOKUP('_Data inputs (reported)'!D149,nametranslations,2,FALSE),IF(Introduction!$A$2="French",VLOOKUP('_Data inputs (reported)'!D149,nametranslations,3,FALSE),IF(Introduction!$A$2="Arabic",VLOOKUP('_Data inputs (reported)'!D149,nametranslations,4,FALSE),IF(Introduction!$A$2="Russian",VLOOKUP('_Data inputs (reported)'!D149,nametranslations,5,FALSE),IF(Introduction!$A$2="Chinese",VLOOKUP('_Data inputs (reported)'!D149,nametranslations,6,FALSE),IF(Introduction!$A$2="Other",VLOOKUP('_Data inputs (reported)'!D149,nametranslations,7,FALSE)))))))),"")</f>
        <v/>
      </c>
      <c r="E149" s="1" t="str">
        <f>IF(ISTEXT('_Data inputs (reported)'!E149),'_Data inputs (reported)'!E149,"")</f>
        <v/>
      </c>
      <c r="F149" s="8" t="str">
        <f>IF(ISNUMBER('_Data inputs (reported)'!F149),'_Data inputs (reported)'!F149,"")</f>
        <v/>
      </c>
      <c r="G149" s="105" t="str">
        <f>IF(ISTEXT(VLOOKUP('_Data inputs (reported)'!G149,nametranslations,1,FALSE)),IF(Introduction!$A$2="English",VLOOKUP('_Data inputs (reported)'!G149,nametranslations,1,FALSE),IF(Introduction!$A$2="Spanish",VLOOKUP('_Data inputs (reported)'!G149,nametranslations,2,FALSE),IF(Introduction!$A$2="French",VLOOKUP('_Data inputs (reported)'!G149,nametranslations,3,FALSE),IF(Introduction!$A$2="Arabic",VLOOKUP('_Data inputs (reported)'!G149,nametranslations,4,FALSE),IF(Introduction!$A$2="Russian",VLOOKUP('_Data inputs (reported)'!G149,nametranslations,5,FALSE),IF(Introduction!$A$2="Chinese",VLOOKUP('_Data inputs (reported)'!G149,nametranslations,6,FALSE),IF(Introduction!$A$2="Other",VLOOKUP('_Data inputs (reported)'!G149,nametranslations,7,FALSE)))))))),"")</f>
        <v/>
      </c>
      <c r="H149" s="1" t="str">
        <f>IF(ISTEXT('_Data inputs (reported)'!H149),'_Data inputs (reported)'!H149,"")</f>
        <v/>
      </c>
      <c r="I149" s="42" t="str">
        <f>IF(ISNUMBER('_Data inputs (reported)'!I149),'_Data inputs (reported)'!I149,"")</f>
        <v/>
      </c>
      <c r="J149" s="1" t="str">
        <f>IF(ISTEXT('_Data inputs (reported)'!J149),'_Data inputs (reported)'!J149,"")</f>
        <v/>
      </c>
      <c r="K149" s="105" t="str">
        <f>IF(ISTEXT('_Data inputs (reported)'!K149),'_Data inputs (reported)'!K149,"")</f>
        <v/>
      </c>
      <c r="L149" s="105" t="str">
        <f>IF(ISTEXT('_Data inputs (reported)'!L149),'_Data inputs (reported)'!L149,"")</f>
        <v/>
      </c>
      <c r="M149" s="1" t="str">
        <f>IF(ISTEXT('_Data inputs (reported)'!M149),'_Data inputs (reported)'!M149,"")</f>
        <v/>
      </c>
      <c r="N149" s="105" t="str">
        <f>IF(ISTEXT('_Data inputs (reported)'!N149),'_Data inputs (reported)'!N149,"")</f>
        <v/>
      </c>
    </row>
    <row xmlns:x14ac="http://schemas.microsoft.com/office/spreadsheetml/2009/9/ac" r="150" x14ac:dyDescent="0.2">
      <c r="A150" s="105" t="str">
        <f>IF(ISTEXT(VLOOKUP('_Data inputs (reported)'!B150,countryname,2,FALSE)),IF(Introduction!$A$2="English",VLOOKUP('_Data inputs (reported)'!B150,countryname,2,FALSE),IF(Introduction!$A$2="French",VLOOKUP('_Data inputs (reported)'!B150,countryname,3,FALSE),IF(Introduction!$A$2="Spanish",VLOOKUP('_Data inputs (reported)'!B150,countryname,4,FALSE),IF(Introduction!$A$2="Russian",VLOOKUP('_Data inputs (reported)'!B150,countryname,5,FALSE),IF(Introduction!$A$2="Arabic",VLOOKUP('_Data inputs (reported)'!B150,countryname,6,FALSE),IF(Introduction!$A$2="Chinese",VLOOKUP('_Data inputs (reported)'!B150,countryname,7,FALSE),IF(Introduction!$A$2="Other",VLOOKUP('_Data inputs (reported)'!B150,countryname,8,FALSE)))))))),"")</f>
        <v/>
      </c>
      <c r="B150" s="1" t="str">
        <f>IF(ISTEXT('_Data inputs (reported)'!B150),'_Data inputs (reported)'!B150,"")</f>
        <v/>
      </c>
      <c r="C150" s="179" t="str">
        <f>IF(ISBLANK('_Data inputs (reported)'!C150),"",'_Data inputs (reported)'!C150)</f>
        <v/>
      </c>
      <c r="D150" s="105" t="str">
        <f>IF(ISTEXT(VLOOKUP('_Data inputs (reported)'!D150,nametranslations,1,FALSE)),IF(Introduction!$A$2="English",VLOOKUP('_Data inputs (reported)'!D150,nametranslations,1,FALSE),IF(Introduction!$A$2="Spanish",VLOOKUP('_Data inputs (reported)'!D150,nametranslations,2,FALSE),IF(Introduction!$A$2="French",VLOOKUP('_Data inputs (reported)'!D150,nametranslations,3,FALSE),IF(Introduction!$A$2="Arabic",VLOOKUP('_Data inputs (reported)'!D150,nametranslations,4,FALSE),IF(Introduction!$A$2="Russian",VLOOKUP('_Data inputs (reported)'!D150,nametranslations,5,FALSE),IF(Introduction!$A$2="Chinese",VLOOKUP('_Data inputs (reported)'!D150,nametranslations,6,FALSE),IF(Introduction!$A$2="Other",VLOOKUP('_Data inputs (reported)'!D150,nametranslations,7,FALSE)))))))),"")</f>
        <v/>
      </c>
      <c r="E150" s="1" t="str">
        <f>IF(ISTEXT('_Data inputs (reported)'!E150),'_Data inputs (reported)'!E150,"")</f>
        <v/>
      </c>
      <c r="F150" s="8" t="str">
        <f>IF(ISNUMBER('_Data inputs (reported)'!F150),'_Data inputs (reported)'!F150,"")</f>
        <v/>
      </c>
      <c r="G150" s="105" t="str">
        <f>IF(ISTEXT(VLOOKUP('_Data inputs (reported)'!G150,nametranslations,1,FALSE)),IF(Introduction!$A$2="English",VLOOKUP('_Data inputs (reported)'!G150,nametranslations,1,FALSE),IF(Introduction!$A$2="Spanish",VLOOKUP('_Data inputs (reported)'!G150,nametranslations,2,FALSE),IF(Introduction!$A$2="French",VLOOKUP('_Data inputs (reported)'!G150,nametranslations,3,FALSE),IF(Introduction!$A$2="Arabic",VLOOKUP('_Data inputs (reported)'!G150,nametranslations,4,FALSE),IF(Introduction!$A$2="Russian",VLOOKUP('_Data inputs (reported)'!G150,nametranslations,5,FALSE),IF(Introduction!$A$2="Chinese",VLOOKUP('_Data inputs (reported)'!G150,nametranslations,6,FALSE),IF(Introduction!$A$2="Other",VLOOKUP('_Data inputs (reported)'!G150,nametranslations,7,FALSE)))))))),"")</f>
        <v/>
      </c>
      <c r="H150" s="1" t="str">
        <f>IF(ISTEXT('_Data inputs (reported)'!H150),'_Data inputs (reported)'!H150,"")</f>
        <v/>
      </c>
      <c r="I150" s="42" t="str">
        <f>IF(ISNUMBER('_Data inputs (reported)'!I150),'_Data inputs (reported)'!I150,"")</f>
        <v/>
      </c>
      <c r="J150" s="1" t="str">
        <f>IF(ISTEXT('_Data inputs (reported)'!J150),'_Data inputs (reported)'!J150,"")</f>
        <v/>
      </c>
      <c r="K150" s="105" t="str">
        <f>IF(ISTEXT('_Data inputs (reported)'!K150),'_Data inputs (reported)'!K150,"")</f>
        <v/>
      </c>
      <c r="L150" s="105" t="str">
        <f>IF(ISTEXT('_Data inputs (reported)'!L150),'_Data inputs (reported)'!L150,"")</f>
        <v/>
      </c>
      <c r="M150" s="1" t="str">
        <f>IF(ISTEXT('_Data inputs (reported)'!M150),'_Data inputs (reported)'!M150,"")</f>
        <v/>
      </c>
      <c r="N150" s="105" t="str">
        <f>IF(ISTEXT('_Data inputs (reported)'!N150),'_Data inputs (reported)'!N150,"")</f>
        <v/>
      </c>
    </row>
    <row xmlns:x14ac="http://schemas.microsoft.com/office/spreadsheetml/2009/9/ac" r="151" x14ac:dyDescent="0.2">
      <c r="B151" s="1" t="s">
        <v>190</v>
      </c>
      <c r="C151" s="179" t="str">
        <f>IF(ISBLANK('_Data inputs (reported)'!C151),"",'_Data inputs (reported)'!C151)</f>
        <v/>
      </c>
      <c r="D151" s="105" t="s" cm="1">
        <v>190</v>
      </c>
      <c r="E151" s="106" t="s">
        <v>190</v>
      </c>
      <c r="F151" s="106" t="s" cm="1">
        <v>190</v>
      </c>
      <c r="G151" s="105" t="s" cm="1">
        <v>190</v>
      </c>
      <c r="H151" s="106" t="s">
        <v>190</v>
      </c>
      <c r="I151" s="42" t="s" cm="1">
        <v>190</v>
      </c>
      <c r="L151" s="105" t="s" cm="1">
        <v>190</v>
      </c>
      <c r="M151" s="1" t="s" cm="1">
        <v>190</v>
      </c>
      <c r="N151" s="105" t="s" cm="1">
        <v>190</v>
      </c>
    </row>
    <row xmlns:x14ac="http://schemas.microsoft.com/office/spreadsheetml/2009/9/ac" r="152" x14ac:dyDescent="0.2">
      <c r="B152" s="1" t="s">
        <v>190</v>
      </c>
      <c r="C152" s="179" t="str">
        <f>IF(ISBLANK('_Data inputs (reported)'!C152),"",'_Data inputs (reported)'!C152)</f>
        <v/>
      </c>
      <c r="D152" s="105" t="s" cm="1">
        <v>190</v>
      </c>
      <c r="E152" s="106" t="s">
        <v>190</v>
      </c>
      <c r="F152" s="106" t="s" cm="1">
        <v>190</v>
      </c>
      <c r="G152" s="105" t="s" cm="1">
        <v>190</v>
      </c>
      <c r="H152" s="106" t="s">
        <v>190</v>
      </c>
      <c r="I152" s="42" t="s" cm="1">
        <v>190</v>
      </c>
      <c r="L152" s="105" t="s" cm="1">
        <v>190</v>
      </c>
      <c r="M152" s="1" t="s" cm="1">
        <v>190</v>
      </c>
      <c r="N152" s="105" t="s" cm="1">
        <v>190</v>
      </c>
    </row>
    <row xmlns:x14ac="http://schemas.microsoft.com/office/spreadsheetml/2009/9/ac" r="153" x14ac:dyDescent="0.2">
      <c r="B153" s="1" t="s">
        <v>190</v>
      </c>
      <c r="C153" s="179" t="str">
        <f>IF(ISBLANK('_Data inputs (reported)'!C153),"",'_Data inputs (reported)'!C153)</f>
        <v/>
      </c>
      <c r="D153" s="105" t="s" cm="1">
        <v>190</v>
      </c>
      <c r="E153" s="106" t="s">
        <v>190</v>
      </c>
      <c r="F153" s="106" t="s" cm="1">
        <v>190</v>
      </c>
      <c r="G153" s="105" t="s" cm="1">
        <v>190</v>
      </c>
      <c r="H153" s="106" t="s">
        <v>190</v>
      </c>
      <c r="I153" s="42" t="s" cm="1">
        <v>190</v>
      </c>
      <c r="L153" s="105" t="s" cm="1">
        <v>190</v>
      </c>
      <c r="M153" s="1" t="s" cm="1">
        <v>190</v>
      </c>
      <c r="N153" s="105" t="s" cm="1">
        <v>190</v>
      </c>
    </row>
    <row xmlns:x14ac="http://schemas.microsoft.com/office/spreadsheetml/2009/9/ac" r="154" x14ac:dyDescent="0.2">
      <c r="B154" s="1" t="s">
        <v>190</v>
      </c>
      <c r="C154" s="179" t="str">
        <f>IF(ISBLANK('_Data inputs (reported)'!C154),"",'_Data inputs (reported)'!C154)</f>
        <v/>
      </c>
      <c r="D154" s="105" t="s" cm="1">
        <v>190</v>
      </c>
      <c r="E154" s="106" t="s">
        <v>190</v>
      </c>
      <c r="F154" s="106" t="s" cm="1">
        <v>190</v>
      </c>
      <c r="G154" s="105" t="s" cm="1">
        <v>190</v>
      </c>
      <c r="H154" s="106" t="s">
        <v>190</v>
      </c>
      <c r="I154" s="42" t="s" cm="1">
        <v>190</v>
      </c>
      <c r="L154" s="105" t="s" cm="1">
        <v>190</v>
      </c>
      <c r="M154" s="1" t="s" cm="1">
        <v>190</v>
      </c>
      <c r="N154" s="105" t="s" cm="1">
        <v>190</v>
      </c>
    </row>
    <row xmlns:x14ac="http://schemas.microsoft.com/office/spreadsheetml/2009/9/ac" r="155" x14ac:dyDescent="0.2">
      <c r="B155" s="1" t="s">
        <v>190</v>
      </c>
      <c r="C155" s="179" t="str">
        <f>IF(ISBLANK('_Data inputs (reported)'!C155),"",'_Data inputs (reported)'!C155)</f>
        <v/>
      </c>
      <c r="D155" s="105" t="s" cm="1">
        <v>190</v>
      </c>
      <c r="E155" s="106" t="s">
        <v>190</v>
      </c>
      <c r="F155" s="106" t="s" cm="1">
        <v>190</v>
      </c>
      <c r="G155" s="105" t="s" cm="1">
        <v>190</v>
      </c>
      <c r="H155" s="106" t="s">
        <v>190</v>
      </c>
      <c r="I155" s="42" t="s" cm="1">
        <v>190</v>
      </c>
      <c r="L155" s="105" t="s" cm="1">
        <v>190</v>
      </c>
      <c r="M155" s="1" t="s" cm="1">
        <v>190</v>
      </c>
      <c r="N155" s="105" t="s" cm="1">
        <v>190</v>
      </c>
    </row>
    <row xmlns:x14ac="http://schemas.microsoft.com/office/spreadsheetml/2009/9/ac" r="156" x14ac:dyDescent="0.2">
      <c r="B156" s="1" t="s">
        <v>190</v>
      </c>
      <c r="C156" s="179" t="str">
        <f>IF(ISBLANK('_Data inputs (reported)'!C156),"",'_Data inputs (reported)'!C156)</f>
        <v/>
      </c>
      <c r="D156" s="105" t="s" cm="1">
        <v>190</v>
      </c>
      <c r="E156" s="106" t="s">
        <v>190</v>
      </c>
      <c r="F156" s="106" t="s" cm="1">
        <v>190</v>
      </c>
      <c r="G156" s="105" t="s" cm="1">
        <v>190</v>
      </c>
      <c r="H156" s="106" t="s">
        <v>190</v>
      </c>
      <c r="I156" s="42" t="s" cm="1">
        <v>190</v>
      </c>
      <c r="L156" s="105" t="s" cm="1">
        <v>190</v>
      </c>
      <c r="M156" s="1" t="s" cm="1">
        <v>190</v>
      </c>
      <c r="N156" s="105" t="s" cm="1">
        <v>190</v>
      </c>
    </row>
    <row xmlns:x14ac="http://schemas.microsoft.com/office/spreadsheetml/2009/9/ac" r="157" x14ac:dyDescent="0.2">
      <c r="B157" s="1" t="s">
        <v>190</v>
      </c>
      <c r="C157" s="179" t="str">
        <f>IF(ISBLANK('_Data inputs (reported)'!C157),"",'_Data inputs (reported)'!C157)</f>
        <v/>
      </c>
      <c r="D157" s="105" t="s" cm="1">
        <v>190</v>
      </c>
      <c r="E157" s="106" t="s">
        <v>190</v>
      </c>
      <c r="F157" s="106" t="s" cm="1">
        <v>190</v>
      </c>
      <c r="G157" s="105" t="s" cm="1">
        <v>190</v>
      </c>
      <c r="H157" s="106" t="s">
        <v>190</v>
      </c>
      <c r="I157" s="42" t="s" cm="1">
        <v>190</v>
      </c>
      <c r="L157" s="105" t="s" cm="1">
        <v>190</v>
      </c>
      <c r="M157" s="1" t="s" cm="1">
        <v>190</v>
      </c>
      <c r="N157" s="105" t="s" cm="1">
        <v>190</v>
      </c>
    </row>
    <row xmlns:x14ac="http://schemas.microsoft.com/office/spreadsheetml/2009/9/ac" r="158" x14ac:dyDescent="0.2">
      <c r="B158" s="1" t="s">
        <v>190</v>
      </c>
      <c r="C158" s="179" t="str">
        <f>IF(ISBLANK('_Data inputs (reported)'!C158),"",'_Data inputs (reported)'!C158)</f>
        <v/>
      </c>
      <c r="D158" s="105" t="s" cm="1">
        <v>190</v>
      </c>
      <c r="E158" s="106" t="s">
        <v>190</v>
      </c>
      <c r="F158" s="106" t="s" cm="1">
        <v>190</v>
      </c>
      <c r="G158" s="105" t="s" cm="1">
        <v>190</v>
      </c>
      <c r="H158" s="106" t="s">
        <v>190</v>
      </c>
      <c r="I158" s="42" t="s" cm="1">
        <v>190</v>
      </c>
      <c r="L158" s="105" t="s" cm="1">
        <v>190</v>
      </c>
      <c r="M158" s="1" t="s" cm="1">
        <v>190</v>
      </c>
      <c r="N158" s="105" t="s" cm="1">
        <v>190</v>
      </c>
    </row>
    <row xmlns:x14ac="http://schemas.microsoft.com/office/spreadsheetml/2009/9/ac" r="159" x14ac:dyDescent="0.2">
      <c r="B159" s="1" t="s">
        <v>190</v>
      </c>
      <c r="C159" s="179" t="str">
        <f>IF(ISBLANK('_Data inputs (reported)'!C159),"",'_Data inputs (reported)'!C159)</f>
        <v/>
      </c>
      <c r="D159" s="105" t="s" cm="1">
        <v>190</v>
      </c>
      <c r="E159" s="106" t="s">
        <v>190</v>
      </c>
      <c r="F159" s="106" t="s" cm="1">
        <v>190</v>
      </c>
      <c r="G159" s="105" t="s" cm="1">
        <v>190</v>
      </c>
      <c r="H159" s="106" t="s">
        <v>190</v>
      </c>
      <c r="I159" s="42" t="s" cm="1">
        <v>190</v>
      </c>
      <c r="L159" s="105" t="s" cm="1">
        <v>190</v>
      </c>
      <c r="M159" s="1" t="s" cm="1">
        <v>190</v>
      </c>
      <c r="N159" s="105" t="s" cm="1">
        <v>190</v>
      </c>
    </row>
    <row xmlns:x14ac="http://schemas.microsoft.com/office/spreadsheetml/2009/9/ac" r="160" x14ac:dyDescent="0.2">
      <c r="B160" s="1" t="s">
        <v>190</v>
      </c>
      <c r="C160" s="179" t="str">
        <f>IF(ISBLANK('_Data inputs (reported)'!C160),"",'_Data inputs (reported)'!C160)</f>
        <v/>
      </c>
      <c r="D160" s="105" t="s" cm="1">
        <v>190</v>
      </c>
      <c r="E160" s="106" t="s">
        <v>190</v>
      </c>
      <c r="F160" s="106" t="s" cm="1">
        <v>190</v>
      </c>
      <c r="G160" s="105" t="s" cm="1">
        <v>190</v>
      </c>
      <c r="H160" s="106" t="s">
        <v>190</v>
      </c>
      <c r="I160" s="42" t="s" cm="1">
        <v>190</v>
      </c>
      <c r="L160" s="105" t="s" cm="1">
        <v>190</v>
      </c>
      <c r="M160" s="1" t="s" cm="1">
        <v>190</v>
      </c>
      <c r="N160" s="105" t="s" cm="1">
        <v>190</v>
      </c>
    </row>
    <row xmlns:x14ac="http://schemas.microsoft.com/office/spreadsheetml/2009/9/ac" r="161" x14ac:dyDescent="0.2">
      <c r="B161" s="1" t="s">
        <v>190</v>
      </c>
      <c r="C161" s="179" t="str">
        <f>IF(ISBLANK('_Data inputs (reported)'!C161),"",'_Data inputs (reported)'!C161)</f>
        <v/>
      </c>
      <c r="D161" s="105" t="s" cm="1">
        <v>190</v>
      </c>
      <c r="E161" s="106" t="s">
        <v>190</v>
      </c>
      <c r="F161" s="106" t="s" cm="1">
        <v>190</v>
      </c>
      <c r="G161" s="105" t="s" cm="1">
        <v>190</v>
      </c>
      <c r="H161" s="106" t="s">
        <v>190</v>
      </c>
      <c r="I161" s="42" t="s" cm="1">
        <v>190</v>
      </c>
      <c r="L161" s="105" t="s" cm="1">
        <v>190</v>
      </c>
      <c r="M161" s="1" t="s" cm="1">
        <v>190</v>
      </c>
      <c r="N161" s="105" t="s" cm="1">
        <v>190</v>
      </c>
    </row>
    <row xmlns:x14ac="http://schemas.microsoft.com/office/spreadsheetml/2009/9/ac" r="162" x14ac:dyDescent="0.2">
      <c r="B162" s="1" t="s">
        <v>190</v>
      </c>
      <c r="C162" s="179" t="str">
        <f>IF(ISBLANK('_Data inputs (reported)'!C162),"",'_Data inputs (reported)'!C162)</f>
        <v/>
      </c>
      <c r="D162" s="105" t="s" cm="1">
        <v>190</v>
      </c>
      <c r="E162" s="106" t="s">
        <v>190</v>
      </c>
      <c r="F162" s="106" t="s" cm="1">
        <v>190</v>
      </c>
      <c r="G162" s="105" t="s" cm="1">
        <v>190</v>
      </c>
      <c r="H162" s="106" t="s">
        <v>190</v>
      </c>
      <c r="I162" s="42" t="s" cm="1">
        <v>190</v>
      </c>
      <c r="L162" s="105" t="s" cm="1">
        <v>190</v>
      </c>
      <c r="M162" s="1" t="s" cm="1">
        <v>190</v>
      </c>
      <c r="N162" s="105" t="s" cm="1">
        <v>190</v>
      </c>
    </row>
    <row xmlns:x14ac="http://schemas.microsoft.com/office/spreadsheetml/2009/9/ac" r="163" x14ac:dyDescent="0.2">
      <c r="B163" s="1" t="s">
        <v>190</v>
      </c>
      <c r="C163" s="179" t="str">
        <f>IF(ISBLANK('_Data inputs (reported)'!C163),"",'_Data inputs (reported)'!C163)</f>
        <v/>
      </c>
      <c r="D163" s="105" t="s" cm="1">
        <v>190</v>
      </c>
      <c r="E163" s="106" t="s">
        <v>190</v>
      </c>
      <c r="F163" s="106" t="s" cm="1">
        <v>190</v>
      </c>
      <c r="G163" s="105" t="s" cm="1">
        <v>190</v>
      </c>
      <c r="H163" s="106" t="s">
        <v>190</v>
      </c>
      <c r="I163" s="42" t="s" cm="1">
        <v>190</v>
      </c>
      <c r="L163" s="105" t="s" cm="1">
        <v>190</v>
      </c>
      <c r="M163" s="1" t="s" cm="1">
        <v>190</v>
      </c>
      <c r="N163" s="105" t="s" cm="1">
        <v>190</v>
      </c>
    </row>
    <row xmlns:x14ac="http://schemas.microsoft.com/office/spreadsheetml/2009/9/ac" r="164" x14ac:dyDescent="0.2">
      <c r="B164" s="1" t="s">
        <v>190</v>
      </c>
      <c r="C164" s="179" t="str">
        <f>IF(ISBLANK('_Data inputs (reported)'!C164),"",'_Data inputs (reported)'!C164)</f>
        <v/>
      </c>
      <c r="D164" s="105" t="s" cm="1">
        <v>190</v>
      </c>
      <c r="E164" s="106" t="s">
        <v>190</v>
      </c>
      <c r="F164" s="106" t="s" cm="1">
        <v>190</v>
      </c>
      <c r="G164" s="105" t="s" cm="1">
        <v>190</v>
      </c>
      <c r="H164" s="106" t="s">
        <v>190</v>
      </c>
      <c r="I164" s="42" t="s" cm="1">
        <v>190</v>
      </c>
      <c r="L164" s="105" t="s" cm="1">
        <v>190</v>
      </c>
      <c r="M164" s="1" t="s" cm="1">
        <v>190</v>
      </c>
      <c r="N164" s="105" t="s" cm="1">
        <v>190</v>
      </c>
    </row>
    <row xmlns:x14ac="http://schemas.microsoft.com/office/spreadsheetml/2009/9/ac" r="165" x14ac:dyDescent="0.2">
      <c r="B165" s="1" t="s">
        <v>190</v>
      </c>
      <c r="C165" s="179" t="str">
        <f>IF(ISBLANK('_Data inputs (reported)'!C165),"",'_Data inputs (reported)'!C165)</f>
        <v/>
      </c>
      <c r="D165" s="105" t="s" cm="1">
        <v>190</v>
      </c>
      <c r="E165" s="106" t="s">
        <v>190</v>
      </c>
      <c r="F165" s="106" t="s" cm="1">
        <v>190</v>
      </c>
      <c r="G165" s="105" t="s" cm="1">
        <v>190</v>
      </c>
      <c r="H165" s="106" t="s">
        <v>190</v>
      </c>
      <c r="I165" s="42" t="s" cm="1">
        <v>190</v>
      </c>
      <c r="L165" s="105" t="s" cm="1">
        <v>190</v>
      </c>
      <c r="M165" s="1" t="s" cm="1">
        <v>190</v>
      </c>
      <c r="N165" s="105" t="s" cm="1">
        <v>190</v>
      </c>
    </row>
    <row xmlns:x14ac="http://schemas.microsoft.com/office/spreadsheetml/2009/9/ac" r="166" x14ac:dyDescent="0.2">
      <c r="B166" s="1" t="s">
        <v>190</v>
      </c>
      <c r="C166" s="179" t="str">
        <f>IF(ISBLANK('_Data inputs (reported)'!C166),"",'_Data inputs (reported)'!C166)</f>
        <v/>
      </c>
      <c r="D166" s="105" t="s" cm="1">
        <v>190</v>
      </c>
      <c r="E166" s="106" t="s">
        <v>190</v>
      </c>
      <c r="F166" s="106" t="s" cm="1">
        <v>190</v>
      </c>
      <c r="G166" s="105" t="s" cm="1">
        <v>190</v>
      </c>
      <c r="H166" s="106" t="s">
        <v>190</v>
      </c>
      <c r="I166" s="42" t="s" cm="1">
        <v>190</v>
      </c>
      <c r="L166" s="105" t="s" cm="1">
        <v>190</v>
      </c>
      <c r="M166" s="1" t="s" cm="1">
        <v>190</v>
      </c>
      <c r="N166" s="105" t="s" cm="1">
        <v>190</v>
      </c>
    </row>
    <row xmlns:x14ac="http://schemas.microsoft.com/office/spreadsheetml/2009/9/ac" r="167" x14ac:dyDescent="0.2">
      <c r="B167" s="1" t="s">
        <v>190</v>
      </c>
      <c r="C167" s="179" t="str">
        <f>IF(ISBLANK('_Data inputs (reported)'!C167),"",'_Data inputs (reported)'!C167)</f>
        <v/>
      </c>
      <c r="D167" s="105" t="s" cm="1">
        <v>190</v>
      </c>
      <c r="E167" s="106" t="s">
        <v>190</v>
      </c>
      <c r="F167" s="106" t="s" cm="1">
        <v>190</v>
      </c>
      <c r="G167" s="105" t="s" cm="1">
        <v>190</v>
      </c>
      <c r="H167" s="106" t="s">
        <v>190</v>
      </c>
      <c r="I167" s="42" t="s" cm="1">
        <v>190</v>
      </c>
      <c r="L167" s="105" t="s" cm="1">
        <v>190</v>
      </c>
      <c r="M167" s="1" t="s" cm="1">
        <v>190</v>
      </c>
      <c r="N167" s="105" t="s" cm="1">
        <v>190</v>
      </c>
    </row>
    <row xmlns:x14ac="http://schemas.microsoft.com/office/spreadsheetml/2009/9/ac" r="168" x14ac:dyDescent="0.2">
      <c r="B168" s="1" t="s">
        <v>190</v>
      </c>
      <c r="C168" s="179" t="str">
        <f>IF(ISBLANK('_Data inputs (reported)'!C168),"",'_Data inputs (reported)'!C168)</f>
        <v/>
      </c>
      <c r="D168" s="105" t="s" cm="1">
        <v>190</v>
      </c>
      <c r="E168" s="106" t="s">
        <v>190</v>
      </c>
      <c r="F168" s="106" t="s" cm="1">
        <v>190</v>
      </c>
      <c r="G168" s="105" t="s" cm="1">
        <v>190</v>
      </c>
      <c r="H168" s="106" t="s">
        <v>190</v>
      </c>
      <c r="I168" s="42" t="s" cm="1">
        <v>190</v>
      </c>
      <c r="L168" s="105" t="s" cm="1">
        <v>190</v>
      </c>
      <c r="M168" s="1" t="s" cm="1">
        <v>190</v>
      </c>
      <c r="N168" s="105" t="s" cm="1">
        <v>190</v>
      </c>
    </row>
    <row xmlns:x14ac="http://schemas.microsoft.com/office/spreadsheetml/2009/9/ac" r="169" x14ac:dyDescent="0.2">
      <c r="B169" s="1" t="s">
        <v>190</v>
      </c>
      <c r="C169" s="179" t="str">
        <f>IF(ISBLANK('_Data inputs (reported)'!C169),"",'_Data inputs (reported)'!C169)</f>
        <v/>
      </c>
      <c r="D169" s="105" t="s" cm="1">
        <v>190</v>
      </c>
      <c r="E169" s="106" t="s">
        <v>190</v>
      </c>
      <c r="F169" s="106" t="s" cm="1">
        <v>190</v>
      </c>
      <c r="G169" s="105" t="s" cm="1">
        <v>190</v>
      </c>
      <c r="H169" s="106" t="s">
        <v>190</v>
      </c>
      <c r="I169" s="42" t="s" cm="1">
        <v>190</v>
      </c>
      <c r="L169" s="105" t="s" cm="1">
        <v>190</v>
      </c>
      <c r="M169" s="1" t="s" cm="1">
        <v>190</v>
      </c>
      <c r="N169" s="105" t="s" cm="1">
        <v>190</v>
      </c>
    </row>
    <row xmlns:x14ac="http://schemas.microsoft.com/office/spreadsheetml/2009/9/ac" r="170" x14ac:dyDescent="0.2">
      <c r="B170" s="1" t="s">
        <v>190</v>
      </c>
      <c r="C170" s="179" t="str">
        <f>IF(ISBLANK('_Data inputs (reported)'!C170),"",'_Data inputs (reported)'!C170)</f>
        <v/>
      </c>
      <c r="D170" s="105" t="s" cm="1">
        <v>190</v>
      </c>
      <c r="E170" s="106" t="s">
        <v>190</v>
      </c>
      <c r="F170" s="106" t="s" cm="1">
        <v>190</v>
      </c>
      <c r="G170" s="105" t="s" cm="1">
        <v>190</v>
      </c>
      <c r="H170" s="106" t="s">
        <v>190</v>
      </c>
      <c r="I170" s="42" t="s" cm="1">
        <v>190</v>
      </c>
      <c r="L170" s="105" t="s" cm="1">
        <v>190</v>
      </c>
      <c r="M170" s="1" t="s" cm="1">
        <v>190</v>
      </c>
      <c r="N170" s="105" t="s" cm="1">
        <v>190</v>
      </c>
    </row>
    <row xmlns:x14ac="http://schemas.microsoft.com/office/spreadsheetml/2009/9/ac" r="171" x14ac:dyDescent="0.2">
      <c r="B171" s="1" t="s">
        <v>190</v>
      </c>
      <c r="C171" s="179" t="str">
        <f>IF(ISBLANK('_Data inputs (reported)'!C171),"",'_Data inputs (reported)'!C171)</f>
        <v/>
      </c>
      <c r="D171" s="105" t="s" cm="1">
        <v>190</v>
      </c>
      <c r="E171" s="106" t="s">
        <v>190</v>
      </c>
      <c r="F171" s="106" t="s" cm="1">
        <v>190</v>
      </c>
      <c r="G171" s="105" t="s" cm="1">
        <v>190</v>
      </c>
      <c r="H171" s="106" t="s">
        <v>190</v>
      </c>
      <c r="I171" s="42" t="s" cm="1">
        <v>190</v>
      </c>
      <c r="L171" s="105" t="s" cm="1">
        <v>190</v>
      </c>
      <c r="M171" s="1" t="s" cm="1">
        <v>190</v>
      </c>
      <c r="N171" s="105" t="s" cm="1">
        <v>190</v>
      </c>
    </row>
    <row xmlns:x14ac="http://schemas.microsoft.com/office/spreadsheetml/2009/9/ac" r="172" x14ac:dyDescent="0.2">
      <c r="B172" s="1" t="s">
        <v>190</v>
      </c>
      <c r="C172" s="179" t="str">
        <f>IF(ISBLANK('_Data inputs (reported)'!C172),"",'_Data inputs (reported)'!C172)</f>
        <v/>
      </c>
      <c r="D172" s="105" t="s" cm="1">
        <v>190</v>
      </c>
      <c r="E172" s="106" t="s">
        <v>190</v>
      </c>
      <c r="F172" s="106" t="s" cm="1">
        <v>190</v>
      </c>
      <c r="G172" s="105" t="s" cm="1">
        <v>190</v>
      </c>
      <c r="H172" s="106" t="s">
        <v>190</v>
      </c>
      <c r="I172" s="42" t="s" cm="1">
        <v>190</v>
      </c>
      <c r="L172" s="105" t="s" cm="1">
        <v>190</v>
      </c>
      <c r="M172" s="1" t="s" cm="1">
        <v>190</v>
      </c>
      <c r="N172" s="105" t="s" cm="1">
        <v>190</v>
      </c>
    </row>
    <row xmlns:x14ac="http://schemas.microsoft.com/office/spreadsheetml/2009/9/ac" r="173" x14ac:dyDescent="0.2">
      <c r="B173" s="1" t="s">
        <v>190</v>
      </c>
      <c r="C173" s="179" t="str">
        <f>IF(ISBLANK('_Data inputs (reported)'!C173),"",'_Data inputs (reported)'!C173)</f>
        <v/>
      </c>
      <c r="D173" s="105" t="s" cm="1">
        <v>190</v>
      </c>
      <c r="E173" s="106" t="s">
        <v>190</v>
      </c>
      <c r="F173" s="106" t="s" cm="1">
        <v>190</v>
      </c>
      <c r="G173" s="105" t="s" cm="1">
        <v>190</v>
      </c>
      <c r="H173" s="106" t="s">
        <v>190</v>
      </c>
      <c r="I173" s="42" t="s" cm="1">
        <v>190</v>
      </c>
      <c r="L173" s="105" t="s" cm="1">
        <v>190</v>
      </c>
      <c r="M173" s="1" t="s" cm="1">
        <v>190</v>
      </c>
      <c r="N173" s="105" t="s" cm="1">
        <v>190</v>
      </c>
    </row>
    <row xmlns:x14ac="http://schemas.microsoft.com/office/spreadsheetml/2009/9/ac" r="174" x14ac:dyDescent="0.2">
      <c r="B174" s="1" t="s">
        <v>190</v>
      </c>
      <c r="C174" s="179" t="str">
        <f>IF(ISBLANK('_Data inputs (reported)'!C174),"",'_Data inputs (reported)'!C174)</f>
        <v/>
      </c>
      <c r="D174" s="105" t="s" cm="1">
        <v>190</v>
      </c>
      <c r="E174" s="106" t="s">
        <v>190</v>
      </c>
      <c r="F174" s="106" t="s" cm="1">
        <v>190</v>
      </c>
      <c r="G174" s="105" t="s" cm="1">
        <v>190</v>
      </c>
      <c r="H174" s="106" t="s">
        <v>190</v>
      </c>
      <c r="I174" s="42" t="s" cm="1">
        <v>190</v>
      </c>
      <c r="L174" s="105" t="s" cm="1">
        <v>190</v>
      </c>
      <c r="M174" s="1" t="s" cm="1">
        <v>190</v>
      </c>
      <c r="N174" s="105" t="s" cm="1">
        <v>190</v>
      </c>
    </row>
    <row xmlns:x14ac="http://schemas.microsoft.com/office/spreadsheetml/2009/9/ac" r="175" x14ac:dyDescent="0.2">
      <c r="B175" s="1" t="s">
        <v>190</v>
      </c>
      <c r="C175" s="179" t="str">
        <f>IF(ISBLANK('_Data inputs (reported)'!C175),"",'_Data inputs (reported)'!C175)</f>
        <v/>
      </c>
      <c r="D175" s="105" t="s" cm="1">
        <v>190</v>
      </c>
      <c r="E175" s="106" t="s">
        <v>190</v>
      </c>
      <c r="F175" s="106" t="s" cm="1">
        <v>190</v>
      </c>
      <c r="G175" s="105" t="s" cm="1">
        <v>190</v>
      </c>
      <c r="H175" s="106" t="s">
        <v>190</v>
      </c>
      <c r="I175" s="42" t="s" cm="1">
        <v>190</v>
      </c>
      <c r="L175" s="105" t="s" cm="1">
        <v>190</v>
      </c>
      <c r="M175" s="1" t="s" cm="1">
        <v>190</v>
      </c>
      <c r="N175" s="105" t="s" cm="1">
        <v>190</v>
      </c>
    </row>
    <row xmlns:x14ac="http://schemas.microsoft.com/office/spreadsheetml/2009/9/ac" r="176" x14ac:dyDescent="0.2">
      <c r="B176" s="1" t="s">
        <v>190</v>
      </c>
      <c r="C176" s="179" t="str">
        <f>IF(ISBLANK('_Data inputs (reported)'!C176),"",'_Data inputs (reported)'!C176)</f>
        <v/>
      </c>
      <c r="D176" s="105" t="s" cm="1">
        <v>190</v>
      </c>
      <c r="E176" s="106" t="s">
        <v>190</v>
      </c>
      <c r="F176" s="106" t="s" cm="1">
        <v>190</v>
      </c>
      <c r="G176" s="105" t="s" cm="1">
        <v>190</v>
      </c>
      <c r="H176" s="106" t="s">
        <v>190</v>
      </c>
      <c r="I176" s="42" t="s" cm="1">
        <v>190</v>
      </c>
      <c r="L176" s="105" t="s" cm="1">
        <v>190</v>
      </c>
      <c r="M176" s="1" t="s" cm="1">
        <v>190</v>
      </c>
      <c r="N176" s="105" t="s" cm="1">
        <v>190</v>
      </c>
    </row>
    <row xmlns:x14ac="http://schemas.microsoft.com/office/spreadsheetml/2009/9/ac" r="177" x14ac:dyDescent="0.2">
      <c r="B177" s="1" t="s">
        <v>190</v>
      </c>
      <c r="C177" s="179" t="str">
        <f>IF(ISBLANK('_Data inputs (reported)'!C177),"",'_Data inputs (reported)'!C177)</f>
        <v/>
      </c>
      <c r="D177" s="105" t="s" cm="1">
        <v>190</v>
      </c>
      <c r="E177" s="106" t="s">
        <v>190</v>
      </c>
      <c r="F177" s="106" t="s" cm="1">
        <v>190</v>
      </c>
      <c r="G177" s="105" t="s" cm="1">
        <v>190</v>
      </c>
      <c r="H177" s="106" t="s">
        <v>190</v>
      </c>
      <c r="I177" s="42" t="s" cm="1">
        <v>190</v>
      </c>
      <c r="L177" s="105" t="s" cm="1">
        <v>190</v>
      </c>
      <c r="M177" s="1" t="s" cm="1">
        <v>190</v>
      </c>
      <c r="N177" s="105" t="s" cm="1">
        <v>190</v>
      </c>
    </row>
    <row xmlns:x14ac="http://schemas.microsoft.com/office/spreadsheetml/2009/9/ac" r="178" x14ac:dyDescent="0.2">
      <c r="B178" s="1" t="s">
        <v>190</v>
      </c>
      <c r="C178" s="179" t="str">
        <f>IF(ISBLANK('_Data inputs (reported)'!C178),"",'_Data inputs (reported)'!C178)</f>
        <v/>
      </c>
      <c r="D178" s="105" t="s" cm="1">
        <v>190</v>
      </c>
      <c r="E178" s="106" t="s">
        <v>190</v>
      </c>
      <c r="F178" s="106" t="s" cm="1">
        <v>190</v>
      </c>
      <c r="G178" s="105" t="s" cm="1">
        <v>190</v>
      </c>
      <c r="H178" s="106" t="s">
        <v>190</v>
      </c>
      <c r="I178" s="42" t="s" cm="1">
        <v>190</v>
      </c>
      <c r="L178" s="105" t="s" cm="1">
        <v>190</v>
      </c>
      <c r="M178" s="1" t="s" cm="1">
        <v>190</v>
      </c>
      <c r="N178" s="105" t="s" cm="1">
        <v>190</v>
      </c>
    </row>
    <row xmlns:x14ac="http://schemas.microsoft.com/office/spreadsheetml/2009/9/ac" r="179" x14ac:dyDescent="0.2">
      <c r="B179" s="1" t="s">
        <v>190</v>
      </c>
      <c r="C179" s="179" t="str">
        <f>IF(ISBLANK('_Data inputs (reported)'!C179),"",'_Data inputs (reported)'!C179)</f>
        <v/>
      </c>
      <c r="D179" s="105" t="s" cm="1">
        <v>190</v>
      </c>
      <c r="E179" s="106" t="s">
        <v>190</v>
      </c>
      <c r="F179" s="106" t="s" cm="1">
        <v>190</v>
      </c>
      <c r="G179" s="105" t="s" cm="1">
        <v>190</v>
      </c>
      <c r="H179" s="106" t="s">
        <v>190</v>
      </c>
      <c r="I179" s="42" t="s" cm="1">
        <v>190</v>
      </c>
      <c r="L179" s="105" t="s" cm="1">
        <v>190</v>
      </c>
      <c r="M179" s="1" t="s" cm="1">
        <v>190</v>
      </c>
      <c r="N179" s="105" t="s" cm="1">
        <v>190</v>
      </c>
    </row>
    <row xmlns:x14ac="http://schemas.microsoft.com/office/spreadsheetml/2009/9/ac" r="180" x14ac:dyDescent="0.2">
      <c r="B180" s="1" t="s">
        <v>190</v>
      </c>
      <c r="C180" s="179" t="str">
        <f>IF(ISBLANK('_Data inputs (reported)'!C180),"",'_Data inputs (reported)'!C180)</f>
        <v/>
      </c>
      <c r="D180" s="105" t="s" cm="1">
        <v>190</v>
      </c>
      <c r="E180" s="106" t="s">
        <v>190</v>
      </c>
      <c r="F180" s="106" t="s" cm="1">
        <v>190</v>
      </c>
      <c r="G180" s="105" t="s" cm="1">
        <v>190</v>
      </c>
      <c r="H180" s="106" t="s">
        <v>190</v>
      </c>
      <c r="I180" s="42" t="s" cm="1">
        <v>190</v>
      </c>
      <c r="L180" s="105" t="s" cm="1">
        <v>190</v>
      </c>
      <c r="M180" s="1" t="s" cm="1">
        <v>190</v>
      </c>
      <c r="N180" s="105" t="s" cm="1">
        <v>190</v>
      </c>
    </row>
    <row xmlns:x14ac="http://schemas.microsoft.com/office/spreadsheetml/2009/9/ac" r="181" x14ac:dyDescent="0.2">
      <c r="B181" s="1" t="s">
        <v>190</v>
      </c>
      <c r="C181" s="179" t="str">
        <f>IF(ISBLANK('_Data inputs (reported)'!C181),"",'_Data inputs (reported)'!C181)</f>
        <v/>
      </c>
      <c r="D181" s="105" t="s" cm="1">
        <v>190</v>
      </c>
      <c r="E181" s="106" t="s">
        <v>190</v>
      </c>
      <c r="F181" s="106" t="s" cm="1">
        <v>190</v>
      </c>
      <c r="G181" s="105" t="s" cm="1">
        <v>190</v>
      </c>
      <c r="H181" s="106" t="s">
        <v>190</v>
      </c>
      <c r="I181" s="42" t="s" cm="1">
        <v>190</v>
      </c>
      <c r="L181" s="105" t="s" cm="1">
        <v>190</v>
      </c>
      <c r="M181" s="1" t="s" cm="1">
        <v>190</v>
      </c>
      <c r="N181" s="105" t="s" cm="1">
        <v>190</v>
      </c>
    </row>
    <row xmlns:x14ac="http://schemas.microsoft.com/office/spreadsheetml/2009/9/ac" r="182" x14ac:dyDescent="0.2">
      <c r="B182" s="1" t="s">
        <v>190</v>
      </c>
      <c r="C182" s="179" t="str">
        <f>IF(ISBLANK('_Data inputs (reported)'!C182),"",'_Data inputs (reported)'!C182)</f>
        <v/>
      </c>
      <c r="D182" s="105" t="s" cm="1">
        <v>190</v>
      </c>
      <c r="E182" s="106" t="s">
        <v>190</v>
      </c>
      <c r="F182" s="106" t="s" cm="1">
        <v>190</v>
      </c>
      <c r="G182" s="105" t="s" cm="1">
        <v>190</v>
      </c>
      <c r="H182" s="106" t="s">
        <v>190</v>
      </c>
      <c r="I182" s="42" t="s" cm="1">
        <v>190</v>
      </c>
      <c r="L182" s="105" t="s" cm="1">
        <v>190</v>
      </c>
      <c r="M182" s="1" t="s" cm="1">
        <v>190</v>
      </c>
      <c r="N182" s="105" t="s" cm="1">
        <v>190</v>
      </c>
    </row>
    <row xmlns:x14ac="http://schemas.microsoft.com/office/spreadsheetml/2009/9/ac" r="183" x14ac:dyDescent="0.2">
      <c r="B183" s="1" t="s">
        <v>190</v>
      </c>
      <c r="C183" s="179" t="str">
        <f>IF(ISBLANK('_Data inputs (reported)'!C183),"",'_Data inputs (reported)'!C183)</f>
        <v/>
      </c>
      <c r="D183" s="105" t="s" cm="1">
        <v>190</v>
      </c>
      <c r="E183" s="106" t="s">
        <v>190</v>
      </c>
      <c r="F183" s="106" t="s" cm="1">
        <v>190</v>
      </c>
      <c r="G183" s="105" t="s" cm="1">
        <v>190</v>
      </c>
      <c r="H183" s="106" t="s">
        <v>190</v>
      </c>
      <c r="I183" s="42" t="s" cm="1">
        <v>190</v>
      </c>
      <c r="L183" s="105" t="s" cm="1">
        <v>190</v>
      </c>
      <c r="M183" s="1" t="s" cm="1">
        <v>190</v>
      </c>
      <c r="N183" s="105" t="s" cm="1">
        <v>190</v>
      </c>
    </row>
    <row xmlns:x14ac="http://schemas.microsoft.com/office/spreadsheetml/2009/9/ac" r="184" x14ac:dyDescent="0.2">
      <c r="B184" s="1" t="s">
        <v>190</v>
      </c>
      <c r="C184" s="179" t="str">
        <f>IF(ISBLANK('_Data inputs (reported)'!C184),"",'_Data inputs (reported)'!C184)</f>
        <v/>
      </c>
      <c r="D184" s="105" t="s" cm="1">
        <v>190</v>
      </c>
      <c r="E184" s="106" t="s">
        <v>190</v>
      </c>
      <c r="F184" s="106" t="s" cm="1">
        <v>190</v>
      </c>
      <c r="G184" s="105" t="s" cm="1">
        <v>190</v>
      </c>
      <c r="H184" s="106" t="s">
        <v>190</v>
      </c>
      <c r="I184" s="42" t="s" cm="1">
        <v>190</v>
      </c>
      <c r="L184" s="105" t="s" cm="1">
        <v>190</v>
      </c>
      <c r="M184" s="1" t="s" cm="1">
        <v>190</v>
      </c>
      <c r="N184" s="105" t="s" cm="1">
        <v>190</v>
      </c>
    </row>
    <row xmlns:x14ac="http://schemas.microsoft.com/office/spreadsheetml/2009/9/ac" r="185" x14ac:dyDescent="0.2">
      <c r="B185" s="1" t="s">
        <v>190</v>
      </c>
      <c r="C185" s="179" t="str">
        <f>IF(ISBLANK('_Data inputs (reported)'!C185),"",'_Data inputs (reported)'!C185)</f>
        <v/>
      </c>
      <c r="D185" s="105" t="s" cm="1">
        <v>190</v>
      </c>
      <c r="E185" s="106" t="s">
        <v>190</v>
      </c>
      <c r="F185" s="106" t="s" cm="1">
        <v>190</v>
      </c>
      <c r="G185" s="105" t="s" cm="1">
        <v>190</v>
      </c>
      <c r="H185" s="106" t="s">
        <v>190</v>
      </c>
      <c r="I185" s="42" t="s" cm="1">
        <v>190</v>
      </c>
      <c r="L185" s="105" t="s" cm="1">
        <v>190</v>
      </c>
      <c r="M185" s="1" t="s" cm="1">
        <v>190</v>
      </c>
      <c r="N185" s="105" t="s" cm="1">
        <v>190</v>
      </c>
    </row>
    <row xmlns:x14ac="http://schemas.microsoft.com/office/spreadsheetml/2009/9/ac" r="186" x14ac:dyDescent="0.2">
      <c r="B186" s="1" t="s">
        <v>190</v>
      </c>
      <c r="C186" s="179" t="str">
        <f>IF(ISBLANK('_Data inputs (reported)'!C186),"",'_Data inputs (reported)'!C186)</f>
        <v/>
      </c>
      <c r="D186" s="105" t="s" cm="1">
        <v>190</v>
      </c>
      <c r="E186" s="106" t="s">
        <v>190</v>
      </c>
      <c r="F186" s="106" t="s" cm="1">
        <v>190</v>
      </c>
      <c r="G186" s="105" t="s" cm="1">
        <v>190</v>
      </c>
      <c r="H186" s="106" t="s">
        <v>190</v>
      </c>
      <c r="I186" s="42" t="s" cm="1">
        <v>190</v>
      </c>
      <c r="L186" s="105" t="s" cm="1">
        <v>190</v>
      </c>
      <c r="M186" s="1" t="s" cm="1">
        <v>190</v>
      </c>
      <c r="N186" s="105" t="s" cm="1">
        <v>190</v>
      </c>
    </row>
    <row xmlns:x14ac="http://schemas.microsoft.com/office/spreadsheetml/2009/9/ac" r="187" x14ac:dyDescent="0.2">
      <c r="B187" s="1" t="s">
        <v>190</v>
      </c>
      <c r="C187" s="179" t="str">
        <f>IF(ISBLANK('_Data inputs (reported)'!C187),"",'_Data inputs (reported)'!C187)</f>
        <v/>
      </c>
      <c r="D187" s="105" t="s" cm="1">
        <v>190</v>
      </c>
      <c r="E187" s="106" t="s">
        <v>190</v>
      </c>
      <c r="F187" s="106" t="s" cm="1">
        <v>190</v>
      </c>
      <c r="G187" s="105" t="s" cm="1">
        <v>190</v>
      </c>
      <c r="H187" s="106" t="s">
        <v>190</v>
      </c>
      <c r="I187" s="42" t="s" cm="1">
        <v>190</v>
      </c>
      <c r="L187" s="105" t="s" cm="1">
        <v>190</v>
      </c>
      <c r="M187" s="1" t="s" cm="1">
        <v>190</v>
      </c>
      <c r="N187" s="105" t="s" cm="1">
        <v>190</v>
      </c>
    </row>
    <row xmlns:x14ac="http://schemas.microsoft.com/office/spreadsheetml/2009/9/ac" r="188" x14ac:dyDescent="0.2">
      <c r="B188" s="1" t="s">
        <v>190</v>
      </c>
      <c r="C188" s="179" t="str">
        <f>IF(ISBLANK('_Data inputs (reported)'!C188),"",'_Data inputs (reported)'!C188)</f>
        <v/>
      </c>
      <c r="D188" s="105" t="s" cm="1">
        <v>190</v>
      </c>
      <c r="E188" s="106" t="s">
        <v>190</v>
      </c>
      <c r="F188" s="106" t="s" cm="1">
        <v>190</v>
      </c>
      <c r="G188" s="105" t="s" cm="1">
        <v>190</v>
      </c>
      <c r="H188" s="106" t="s">
        <v>190</v>
      </c>
      <c r="I188" s="42" t="s" cm="1">
        <v>190</v>
      </c>
      <c r="L188" s="105" t="s" cm="1">
        <v>190</v>
      </c>
      <c r="M188" s="1" t="s" cm="1">
        <v>190</v>
      </c>
      <c r="N188" s="105" t="s" cm="1">
        <v>190</v>
      </c>
    </row>
    <row xmlns:x14ac="http://schemas.microsoft.com/office/spreadsheetml/2009/9/ac" r="189" x14ac:dyDescent="0.2">
      <c r="B189" s="1" t="s">
        <v>190</v>
      </c>
      <c r="C189" s="179" t="str">
        <f>IF(ISBLANK('_Data inputs (reported)'!C189),"",'_Data inputs (reported)'!C189)</f>
        <v/>
      </c>
      <c r="D189" s="105" t="s" cm="1">
        <v>190</v>
      </c>
      <c r="E189" s="106" t="s">
        <v>190</v>
      </c>
      <c r="F189" s="106" t="s" cm="1">
        <v>190</v>
      </c>
      <c r="G189" s="105" t="s" cm="1">
        <v>190</v>
      </c>
      <c r="H189" s="106" t="s">
        <v>190</v>
      </c>
      <c r="I189" s="42" t="s" cm="1">
        <v>190</v>
      </c>
      <c r="L189" s="105" t="s" cm="1">
        <v>190</v>
      </c>
      <c r="M189" s="1" t="s" cm="1">
        <v>190</v>
      </c>
      <c r="N189" s="105" t="s" cm="1">
        <v>190</v>
      </c>
    </row>
    <row xmlns:x14ac="http://schemas.microsoft.com/office/spreadsheetml/2009/9/ac" r="190" x14ac:dyDescent="0.2">
      <c r="B190" s="1" t="s">
        <v>190</v>
      </c>
      <c r="C190" s="179" t="str">
        <f>IF(ISBLANK('_Data inputs (reported)'!C190),"",'_Data inputs (reported)'!C190)</f>
        <v/>
      </c>
      <c r="D190" s="105" t="s" cm="1">
        <v>190</v>
      </c>
      <c r="E190" s="106" t="s">
        <v>190</v>
      </c>
      <c r="F190" s="106" t="s" cm="1">
        <v>190</v>
      </c>
      <c r="G190" s="105" t="s" cm="1">
        <v>190</v>
      </c>
      <c r="H190" s="106" t="s">
        <v>190</v>
      </c>
      <c r="I190" s="42" t="s" cm="1">
        <v>190</v>
      </c>
      <c r="L190" s="105" t="s" cm="1">
        <v>190</v>
      </c>
      <c r="M190" s="1" t="s" cm="1">
        <v>190</v>
      </c>
      <c r="N190" s="105" t="s" cm="1">
        <v>190</v>
      </c>
    </row>
    <row xmlns:x14ac="http://schemas.microsoft.com/office/spreadsheetml/2009/9/ac" r="191" x14ac:dyDescent="0.2">
      <c r="B191" s="1" t="s">
        <v>190</v>
      </c>
      <c r="C191" s="179" t="str">
        <f>IF(ISBLANK('_Data inputs (reported)'!C191),"",'_Data inputs (reported)'!C191)</f>
        <v/>
      </c>
      <c r="D191" s="105" t="s" cm="1">
        <v>190</v>
      </c>
      <c r="E191" s="106" t="s">
        <v>190</v>
      </c>
      <c r="F191" s="106" t="s" cm="1">
        <v>190</v>
      </c>
      <c r="G191" s="105" t="s" cm="1">
        <v>190</v>
      </c>
      <c r="H191" s="106" t="s">
        <v>190</v>
      </c>
      <c r="I191" s="42" t="s" cm="1">
        <v>190</v>
      </c>
      <c r="L191" s="105" t="s" cm="1">
        <v>190</v>
      </c>
      <c r="M191" s="1" t="s" cm="1">
        <v>190</v>
      </c>
      <c r="N191" s="105" t="s" cm="1">
        <v>190</v>
      </c>
    </row>
    <row xmlns:x14ac="http://schemas.microsoft.com/office/spreadsheetml/2009/9/ac" r="192" x14ac:dyDescent="0.2">
      <c r="B192" s="1" t="s">
        <v>190</v>
      </c>
      <c r="C192" s="179" t="str">
        <f>IF(ISBLANK('_Data inputs (reported)'!C192),"",'_Data inputs (reported)'!C192)</f>
        <v/>
      </c>
      <c r="D192" s="105" t="s" cm="1">
        <v>190</v>
      </c>
      <c r="E192" s="106" t="s">
        <v>190</v>
      </c>
      <c r="F192" s="106" t="s" cm="1">
        <v>190</v>
      </c>
      <c r="G192" s="105" t="s" cm="1">
        <v>190</v>
      </c>
      <c r="H192" s="106" t="s">
        <v>190</v>
      </c>
      <c r="I192" s="42" t="s" cm="1">
        <v>190</v>
      </c>
      <c r="L192" s="105" t="s" cm="1">
        <v>190</v>
      </c>
      <c r="M192" s="1" t="s" cm="1">
        <v>190</v>
      </c>
      <c r="N192" s="105" t="s" cm="1">
        <v>190</v>
      </c>
    </row>
    <row xmlns:x14ac="http://schemas.microsoft.com/office/spreadsheetml/2009/9/ac" r="193" x14ac:dyDescent="0.2">
      <c r="B193" s="1" t="s">
        <v>190</v>
      </c>
      <c r="C193" s="179" t="str">
        <f>IF(ISBLANK('_Data inputs (reported)'!C193),"",'_Data inputs (reported)'!C193)</f>
        <v/>
      </c>
      <c r="D193" s="105" t="s" cm="1">
        <v>190</v>
      </c>
      <c r="E193" s="106" t="s">
        <v>190</v>
      </c>
      <c r="F193" s="106" t="s" cm="1">
        <v>190</v>
      </c>
      <c r="G193" s="105" t="s" cm="1">
        <v>190</v>
      </c>
      <c r="H193" s="106" t="s">
        <v>190</v>
      </c>
      <c r="I193" s="42" t="s" cm="1">
        <v>190</v>
      </c>
      <c r="L193" s="105" t="s" cm="1">
        <v>190</v>
      </c>
      <c r="M193" s="1" t="s" cm="1">
        <v>190</v>
      </c>
      <c r="N193" s="105" t="s" cm="1">
        <v>190</v>
      </c>
    </row>
    <row xmlns:x14ac="http://schemas.microsoft.com/office/spreadsheetml/2009/9/ac" r="194" x14ac:dyDescent="0.2">
      <c r="B194" s="1" t="s">
        <v>190</v>
      </c>
      <c r="C194" s="179" t="str">
        <f>IF(ISBLANK('_Data inputs (reported)'!C194),"",'_Data inputs (reported)'!C194)</f>
        <v/>
      </c>
      <c r="D194" s="105" t="s" cm="1">
        <v>190</v>
      </c>
      <c r="E194" s="106" t="s">
        <v>190</v>
      </c>
      <c r="F194" s="106" t="s" cm="1">
        <v>190</v>
      </c>
      <c r="G194" s="105" t="s" cm="1">
        <v>190</v>
      </c>
      <c r="H194" s="106" t="s">
        <v>190</v>
      </c>
      <c r="I194" s="42" t="s" cm="1">
        <v>190</v>
      </c>
      <c r="L194" s="105" t="s" cm="1">
        <v>190</v>
      </c>
      <c r="M194" s="1" t="s" cm="1">
        <v>190</v>
      </c>
      <c r="N194" s="105" t="s" cm="1">
        <v>190</v>
      </c>
    </row>
    <row xmlns:x14ac="http://schemas.microsoft.com/office/spreadsheetml/2009/9/ac" r="195" x14ac:dyDescent="0.2">
      <c r="B195" s="1" t="s">
        <v>190</v>
      </c>
      <c r="C195" s="179" t="str">
        <f>IF(ISBLANK('_Data inputs (reported)'!C195),"",'_Data inputs (reported)'!C195)</f>
        <v/>
      </c>
      <c r="D195" s="105" t="s" cm="1">
        <v>190</v>
      </c>
      <c r="E195" s="106" t="s">
        <v>190</v>
      </c>
      <c r="F195" s="106" t="s" cm="1">
        <v>190</v>
      </c>
      <c r="G195" s="105" t="s" cm="1">
        <v>190</v>
      </c>
      <c r="H195" s="106" t="s">
        <v>190</v>
      </c>
      <c r="I195" s="42" t="s" cm="1">
        <v>190</v>
      </c>
      <c r="L195" s="105" t="s" cm="1">
        <v>190</v>
      </c>
      <c r="M195" s="1" t="s" cm="1">
        <v>190</v>
      </c>
      <c r="N195" s="105" t="s" cm="1">
        <v>190</v>
      </c>
    </row>
    <row xmlns:x14ac="http://schemas.microsoft.com/office/spreadsheetml/2009/9/ac" r="196" x14ac:dyDescent="0.2">
      <c r="B196" s="1" t="s">
        <v>190</v>
      </c>
      <c r="C196" s="179" t="str">
        <f>IF(ISBLANK('_Data inputs (reported)'!C196),"",'_Data inputs (reported)'!C196)</f>
        <v/>
      </c>
      <c r="D196" s="105" t="s" cm="1">
        <v>190</v>
      </c>
      <c r="E196" s="106" t="s">
        <v>190</v>
      </c>
      <c r="F196" s="106" t="s" cm="1">
        <v>190</v>
      </c>
      <c r="G196" s="105" t="s" cm="1">
        <v>190</v>
      </c>
      <c r="H196" s="106" t="s">
        <v>190</v>
      </c>
      <c r="I196" s="42" t="s" cm="1">
        <v>190</v>
      </c>
      <c r="L196" s="105" t="s" cm="1">
        <v>190</v>
      </c>
      <c r="M196" s="1" t="s" cm="1">
        <v>190</v>
      </c>
      <c r="N196" s="105" t="s" cm="1">
        <v>190</v>
      </c>
    </row>
    <row xmlns:x14ac="http://schemas.microsoft.com/office/spreadsheetml/2009/9/ac" r="197" x14ac:dyDescent="0.2">
      <c r="B197" s="1" t="s">
        <v>190</v>
      </c>
      <c r="C197" s="179" t="str">
        <f>IF(ISBLANK('_Data inputs (reported)'!C197),"",'_Data inputs (reported)'!C197)</f>
        <v/>
      </c>
      <c r="D197" s="105" t="s" cm="1">
        <v>190</v>
      </c>
      <c r="E197" s="106" t="s">
        <v>190</v>
      </c>
      <c r="F197" s="106" t="s" cm="1">
        <v>190</v>
      </c>
      <c r="G197" s="105" t="s" cm="1">
        <v>190</v>
      </c>
      <c r="H197" s="106" t="s">
        <v>190</v>
      </c>
      <c r="I197" s="42" t="s" cm="1">
        <v>190</v>
      </c>
      <c r="L197" s="105" t="s" cm="1">
        <v>190</v>
      </c>
      <c r="M197" s="1" t="s" cm="1">
        <v>190</v>
      </c>
      <c r="N197" s="105" t="s" cm="1">
        <v>190</v>
      </c>
    </row>
    <row xmlns:x14ac="http://schemas.microsoft.com/office/spreadsheetml/2009/9/ac" r="198" x14ac:dyDescent="0.2">
      <c r="B198" s="1" t="s">
        <v>190</v>
      </c>
      <c r="C198" s="179" t="str">
        <f>IF(ISBLANK('_Data inputs (reported)'!C198),"",'_Data inputs (reported)'!C198)</f>
        <v/>
      </c>
      <c r="D198" s="105" t="s" cm="1">
        <v>190</v>
      </c>
      <c r="E198" s="106" t="s">
        <v>190</v>
      </c>
      <c r="F198" s="106" t="s" cm="1">
        <v>190</v>
      </c>
      <c r="G198" s="105" t="s" cm="1">
        <v>190</v>
      </c>
      <c r="H198" s="106" t="s">
        <v>190</v>
      </c>
      <c r="I198" s="42" t="s" cm="1">
        <v>190</v>
      </c>
      <c r="L198" s="105" t="s" cm="1">
        <v>190</v>
      </c>
      <c r="M198" s="1" t="s" cm="1">
        <v>190</v>
      </c>
      <c r="N198" s="105" t="s" cm="1">
        <v>190</v>
      </c>
    </row>
    <row xmlns:x14ac="http://schemas.microsoft.com/office/spreadsheetml/2009/9/ac" r="199" x14ac:dyDescent="0.2">
      <c r="B199" s="1" t="s">
        <v>190</v>
      </c>
      <c r="C199" s="179" t="str">
        <f>IF(ISBLANK('_Data inputs (reported)'!C199),"",'_Data inputs (reported)'!C199)</f>
        <v/>
      </c>
      <c r="D199" s="105" t="s" cm="1">
        <v>190</v>
      </c>
      <c r="E199" s="106" t="s">
        <v>190</v>
      </c>
      <c r="F199" s="106" t="s" cm="1">
        <v>190</v>
      </c>
      <c r="G199" s="105" t="s" cm="1">
        <v>190</v>
      </c>
      <c r="H199" s="106" t="s">
        <v>190</v>
      </c>
      <c r="I199" s="42" t="s" cm="1">
        <v>190</v>
      </c>
      <c r="L199" s="105" t="s" cm="1">
        <v>190</v>
      </c>
      <c r="M199" s="1" t="s" cm="1">
        <v>190</v>
      </c>
      <c r="N199" s="105" t="s" cm="1">
        <v>190</v>
      </c>
    </row>
    <row xmlns:x14ac="http://schemas.microsoft.com/office/spreadsheetml/2009/9/ac" r="200" x14ac:dyDescent="0.2">
      <c r="B200" s="1" t="s">
        <v>190</v>
      </c>
      <c r="C200" s="179" t="str">
        <f>IF(ISBLANK('_Data inputs (reported)'!C200),"",'_Data inputs (reported)'!C200)</f>
        <v/>
      </c>
      <c r="D200" s="105" t="s" cm="1">
        <v>190</v>
      </c>
      <c r="E200" s="106" t="s">
        <v>190</v>
      </c>
      <c r="F200" s="106" t="s" cm="1">
        <v>190</v>
      </c>
      <c r="G200" s="105" t="s" cm="1">
        <v>190</v>
      </c>
      <c r="H200" s="106" t="s">
        <v>190</v>
      </c>
      <c r="I200" s="42" t="s" cm="1">
        <v>190</v>
      </c>
      <c r="L200" s="105" t="s" cm="1">
        <v>190</v>
      </c>
      <c r="M200" s="1" t="s" cm="1">
        <v>190</v>
      </c>
      <c r="N200" s="105" t="s" cm="1">
        <v>190</v>
      </c>
    </row>
    <row xmlns:x14ac="http://schemas.microsoft.com/office/spreadsheetml/2009/9/ac" r="201" x14ac:dyDescent="0.2">
      <c r="B201" s="1" t="s">
        <v>190</v>
      </c>
      <c r="C201" s="179" t="str">
        <f>IF(ISBLANK('_Data inputs (reported)'!C201),"",'_Data inputs (reported)'!C201)</f>
        <v/>
      </c>
      <c r="D201" s="105" t="s" cm="1">
        <v>190</v>
      </c>
      <c r="E201" s="106" t="s">
        <v>190</v>
      </c>
      <c r="F201" s="106" t="s" cm="1">
        <v>190</v>
      </c>
      <c r="G201" s="105" t="s" cm="1">
        <v>190</v>
      </c>
      <c r="H201" s="106" t="s">
        <v>190</v>
      </c>
      <c r="I201" s="42" t="s" cm="1">
        <v>190</v>
      </c>
      <c r="L201" s="105" t="s" cm="1">
        <v>190</v>
      </c>
      <c r="M201" s="1" t="s" cm="1">
        <v>190</v>
      </c>
      <c r="N201" s="105" t="s" cm="1">
        <v>190</v>
      </c>
    </row>
    <row xmlns:x14ac="http://schemas.microsoft.com/office/spreadsheetml/2009/9/ac" r="202" x14ac:dyDescent="0.2">
      <c r="B202" s="1" t="s">
        <v>190</v>
      </c>
      <c r="C202" s="179" t="str">
        <f>IF(ISBLANK('_Data inputs (reported)'!C202),"",'_Data inputs (reported)'!C202)</f>
        <v/>
      </c>
      <c r="D202" s="105" t="s" cm="1">
        <v>190</v>
      </c>
      <c r="E202" s="106" t="s">
        <v>190</v>
      </c>
      <c r="F202" s="106" t="s" cm="1">
        <v>190</v>
      </c>
      <c r="G202" s="105" t="s" cm="1">
        <v>190</v>
      </c>
      <c r="H202" s="106" t="s">
        <v>190</v>
      </c>
      <c r="I202" s="42" t="s" cm="1">
        <v>190</v>
      </c>
      <c r="L202" s="105" t="s" cm="1">
        <v>190</v>
      </c>
      <c r="M202" s="1" t="s" cm="1">
        <v>190</v>
      </c>
      <c r="N202" s="105" t="s" cm="1">
        <v>190</v>
      </c>
    </row>
    <row xmlns:x14ac="http://schemas.microsoft.com/office/spreadsheetml/2009/9/ac" r="203" x14ac:dyDescent="0.2">
      <c r="B203" s="1" t="s">
        <v>190</v>
      </c>
      <c r="C203" s="179" t="str">
        <f>IF(ISBLANK('_Data inputs (reported)'!C203),"",'_Data inputs (reported)'!C203)</f>
        <v/>
      </c>
      <c r="D203" s="105" t="s" cm="1">
        <v>190</v>
      </c>
      <c r="E203" s="106" t="s">
        <v>190</v>
      </c>
      <c r="F203" s="106" t="s" cm="1">
        <v>190</v>
      </c>
      <c r="G203" s="105" t="s" cm="1">
        <v>190</v>
      </c>
      <c r="H203" s="106" t="s">
        <v>190</v>
      </c>
      <c r="I203" s="42" t="s" cm="1">
        <v>190</v>
      </c>
      <c r="L203" s="105" t="s" cm="1">
        <v>190</v>
      </c>
      <c r="M203" s="1" t="s" cm="1">
        <v>190</v>
      </c>
      <c r="N203" s="105" t="s" cm="1">
        <v>190</v>
      </c>
    </row>
    <row xmlns:x14ac="http://schemas.microsoft.com/office/spreadsheetml/2009/9/ac" r="204" x14ac:dyDescent="0.2">
      <c r="B204" s="1" t="s">
        <v>190</v>
      </c>
      <c r="C204" s="179" t="str">
        <f>IF(ISBLANK('_Data inputs (reported)'!C204),"",'_Data inputs (reported)'!C204)</f>
        <v/>
      </c>
      <c r="D204" s="105" t="s" cm="1">
        <v>190</v>
      </c>
      <c r="E204" s="106" t="s">
        <v>190</v>
      </c>
      <c r="F204" s="106" t="s" cm="1">
        <v>190</v>
      </c>
      <c r="G204" s="105" t="s" cm="1">
        <v>190</v>
      </c>
      <c r="H204" s="106" t="s">
        <v>190</v>
      </c>
      <c r="I204" s="42" t="s" cm="1">
        <v>190</v>
      </c>
      <c r="L204" s="105" t="s" cm="1">
        <v>190</v>
      </c>
      <c r="M204" s="1" t="s" cm="1">
        <v>190</v>
      </c>
      <c r="N204" s="105" t="s" cm="1">
        <v>190</v>
      </c>
    </row>
    <row xmlns:x14ac="http://schemas.microsoft.com/office/spreadsheetml/2009/9/ac" r="205" x14ac:dyDescent="0.2">
      <c r="B205" s="1" t="s">
        <v>190</v>
      </c>
      <c r="C205" s="179" t="str">
        <f>IF(ISBLANK('_Data inputs (reported)'!C205),"",'_Data inputs (reported)'!C205)</f>
        <v/>
      </c>
      <c r="D205" s="105" t="s" cm="1">
        <v>190</v>
      </c>
      <c r="E205" s="106" t="s">
        <v>190</v>
      </c>
      <c r="F205" s="106" t="s" cm="1">
        <v>190</v>
      </c>
      <c r="G205" s="105" t="s" cm="1">
        <v>190</v>
      </c>
      <c r="H205" s="106" t="s">
        <v>190</v>
      </c>
      <c r="I205" s="42" t="s" cm="1">
        <v>190</v>
      </c>
      <c r="L205" s="105" t="s" cm="1">
        <v>190</v>
      </c>
      <c r="M205" s="1" t="s" cm="1">
        <v>190</v>
      </c>
      <c r="N205" s="105" t="s" cm="1">
        <v>190</v>
      </c>
    </row>
    <row xmlns:x14ac="http://schemas.microsoft.com/office/spreadsheetml/2009/9/ac" r="206" x14ac:dyDescent="0.2">
      <c r="B206" s="1" t="s">
        <v>190</v>
      </c>
      <c r="C206" s="179" t="str">
        <f>IF(ISBLANK('_Data inputs (reported)'!C206),"",'_Data inputs (reported)'!C206)</f>
        <v/>
      </c>
      <c r="D206" s="105" t="s" cm="1">
        <v>190</v>
      </c>
      <c r="E206" s="106" t="s">
        <v>190</v>
      </c>
      <c r="F206" s="106" t="s" cm="1">
        <v>190</v>
      </c>
      <c r="G206" s="105" t="s" cm="1">
        <v>190</v>
      </c>
      <c r="H206" s="106" t="s">
        <v>190</v>
      </c>
      <c r="I206" s="42" t="s" cm="1">
        <v>190</v>
      </c>
      <c r="L206" s="105" t="s" cm="1">
        <v>190</v>
      </c>
      <c r="M206" s="1" t="s" cm="1">
        <v>190</v>
      </c>
      <c r="N206" s="105" t="s" cm="1">
        <v>190</v>
      </c>
    </row>
    <row xmlns:x14ac="http://schemas.microsoft.com/office/spreadsheetml/2009/9/ac" r="207" x14ac:dyDescent="0.2">
      <c r="B207" s="1" t="s">
        <v>190</v>
      </c>
      <c r="C207" s="179" t="str">
        <f>IF(ISBLANK('_Data inputs (reported)'!C207),"",'_Data inputs (reported)'!C207)</f>
        <v/>
      </c>
      <c r="D207" s="105" t="s" cm="1">
        <v>190</v>
      </c>
      <c r="E207" s="106" t="s">
        <v>190</v>
      </c>
      <c r="F207" s="106" t="s" cm="1">
        <v>190</v>
      </c>
      <c r="G207" s="105" t="s" cm="1">
        <v>190</v>
      </c>
      <c r="H207" s="106" t="s">
        <v>190</v>
      </c>
      <c r="I207" s="42" t="s" cm="1">
        <v>190</v>
      </c>
      <c r="L207" s="105" t="s" cm="1">
        <v>190</v>
      </c>
      <c r="M207" s="1" t="s" cm="1">
        <v>190</v>
      </c>
      <c r="N207" s="105" t="s" cm="1">
        <v>190</v>
      </c>
    </row>
    <row xmlns:x14ac="http://schemas.microsoft.com/office/spreadsheetml/2009/9/ac" r="208" x14ac:dyDescent="0.2">
      <c r="B208" s="1" t="s">
        <v>190</v>
      </c>
      <c r="C208" s="179" t="str">
        <f>IF(ISBLANK('_Data inputs (reported)'!C208),"",'_Data inputs (reported)'!C208)</f>
        <v/>
      </c>
      <c r="D208" s="105" t="s" cm="1">
        <v>190</v>
      </c>
      <c r="E208" s="106" t="s">
        <v>190</v>
      </c>
      <c r="F208" s="106" t="s" cm="1">
        <v>190</v>
      </c>
      <c r="G208" s="105" t="s" cm="1">
        <v>190</v>
      </c>
      <c r="H208" s="106" t="s">
        <v>190</v>
      </c>
      <c r="I208" s="42" t="s" cm="1">
        <v>190</v>
      </c>
      <c r="L208" s="105" t="s" cm="1">
        <v>190</v>
      </c>
      <c r="M208" s="1" t="s" cm="1">
        <v>190</v>
      </c>
      <c r="N208" s="105" t="s" cm="1">
        <v>190</v>
      </c>
    </row>
    <row xmlns:x14ac="http://schemas.microsoft.com/office/spreadsheetml/2009/9/ac" r="209" x14ac:dyDescent="0.2">
      <c r="B209" s="1" t="s">
        <v>190</v>
      </c>
      <c r="C209" s="179" t="str">
        <f>IF(ISBLANK('_Data inputs (reported)'!C209),"",'_Data inputs (reported)'!C209)</f>
        <v/>
      </c>
      <c r="D209" s="105" t="s" cm="1">
        <v>190</v>
      </c>
      <c r="E209" s="106" t="s">
        <v>190</v>
      </c>
      <c r="F209" s="106" t="s" cm="1">
        <v>190</v>
      </c>
      <c r="G209" s="105" t="s" cm="1">
        <v>190</v>
      </c>
      <c r="H209" s="106" t="s">
        <v>190</v>
      </c>
      <c r="I209" s="42" t="s" cm="1">
        <v>190</v>
      </c>
      <c r="L209" s="105" t="s" cm="1">
        <v>190</v>
      </c>
      <c r="M209" s="1" t="s" cm="1">
        <v>190</v>
      </c>
      <c r="N209" s="105" t="s" cm="1">
        <v>190</v>
      </c>
    </row>
    <row xmlns:x14ac="http://schemas.microsoft.com/office/spreadsheetml/2009/9/ac" r="210" x14ac:dyDescent="0.2">
      <c r="B210" s="1" t="s">
        <v>190</v>
      </c>
      <c r="C210" s="179" t="str">
        <f>IF(ISBLANK('_Data inputs (reported)'!C210),"",'_Data inputs (reported)'!C210)</f>
        <v/>
      </c>
      <c r="D210" s="105" t="s" cm="1">
        <v>190</v>
      </c>
      <c r="E210" s="106" t="s">
        <v>190</v>
      </c>
      <c r="F210" s="106" t="s" cm="1">
        <v>190</v>
      </c>
      <c r="G210" s="105" t="s" cm="1">
        <v>190</v>
      </c>
      <c r="H210" s="106" t="s">
        <v>190</v>
      </c>
      <c r="I210" s="42" t="s" cm="1">
        <v>190</v>
      </c>
      <c r="L210" s="105" t="s" cm="1">
        <v>190</v>
      </c>
      <c r="M210" s="1" t="s" cm="1">
        <v>190</v>
      </c>
      <c r="N210" s="105" t="s" cm="1">
        <v>190</v>
      </c>
    </row>
    <row xmlns:x14ac="http://schemas.microsoft.com/office/spreadsheetml/2009/9/ac" r="211" x14ac:dyDescent="0.2">
      <c r="B211" s="1" t="s">
        <v>190</v>
      </c>
      <c r="C211" s="179" t="str">
        <f>IF(ISBLANK('_Data inputs (reported)'!C211),"",'_Data inputs (reported)'!C211)</f>
        <v/>
      </c>
      <c r="D211" s="105" t="s" cm="1">
        <v>190</v>
      </c>
      <c r="E211" s="106" t="s">
        <v>190</v>
      </c>
      <c r="F211" s="106" t="s" cm="1">
        <v>190</v>
      </c>
      <c r="G211" s="105" t="s" cm="1">
        <v>190</v>
      </c>
      <c r="H211" s="106" t="s">
        <v>190</v>
      </c>
      <c r="I211" s="42" t="s" cm="1">
        <v>190</v>
      </c>
      <c r="L211" s="105" t="s" cm="1">
        <v>190</v>
      </c>
      <c r="M211" s="1" t="s" cm="1">
        <v>190</v>
      </c>
      <c r="N211" s="105" t="s" cm="1">
        <v>190</v>
      </c>
    </row>
    <row xmlns:x14ac="http://schemas.microsoft.com/office/spreadsheetml/2009/9/ac" r="212" x14ac:dyDescent="0.2">
      <c r="B212" s="1" t="s">
        <v>190</v>
      </c>
      <c r="C212" s="179" t="str">
        <f>IF(ISBLANK('_Data inputs (reported)'!C212),"",'_Data inputs (reported)'!C212)</f>
        <v/>
      </c>
      <c r="D212" s="105" t="s" cm="1">
        <v>190</v>
      </c>
      <c r="E212" s="106" t="s">
        <v>190</v>
      </c>
      <c r="F212" s="106" t="s" cm="1">
        <v>190</v>
      </c>
      <c r="G212" s="105" t="s" cm="1">
        <v>190</v>
      </c>
      <c r="H212" s="106" t="s">
        <v>190</v>
      </c>
      <c r="I212" s="42" t="s" cm="1">
        <v>190</v>
      </c>
      <c r="L212" s="105" t="s" cm="1">
        <v>190</v>
      </c>
      <c r="M212" s="1" t="s" cm="1">
        <v>190</v>
      </c>
      <c r="N212" s="105" t="s" cm="1">
        <v>190</v>
      </c>
    </row>
    <row xmlns:x14ac="http://schemas.microsoft.com/office/spreadsheetml/2009/9/ac" r="213" x14ac:dyDescent="0.2">
      <c r="B213" s="1" t="s">
        <v>190</v>
      </c>
      <c r="C213" s="179" t="str">
        <f>IF(ISBLANK('_Data inputs (reported)'!C213),"",'_Data inputs (reported)'!C213)</f>
        <v/>
      </c>
      <c r="D213" s="105" t="s" cm="1">
        <v>190</v>
      </c>
      <c r="E213" s="106" t="s">
        <v>190</v>
      </c>
      <c r="F213" s="106" t="s" cm="1">
        <v>190</v>
      </c>
      <c r="G213" s="105" t="s" cm="1">
        <v>190</v>
      </c>
      <c r="H213" s="106" t="s">
        <v>190</v>
      </c>
      <c r="I213" s="42" t="s" cm="1">
        <v>190</v>
      </c>
      <c r="L213" s="105" t="s" cm="1">
        <v>190</v>
      </c>
      <c r="M213" s="1" t="s" cm="1">
        <v>190</v>
      </c>
      <c r="N213" s="105" t="s" cm="1">
        <v>190</v>
      </c>
    </row>
    <row xmlns:x14ac="http://schemas.microsoft.com/office/spreadsheetml/2009/9/ac" r="214" x14ac:dyDescent="0.2">
      <c r="B214" s="1" t="s">
        <v>190</v>
      </c>
      <c r="C214" s="179" t="str">
        <f>IF(ISBLANK('_Data inputs (reported)'!C214),"",'_Data inputs (reported)'!C214)</f>
        <v/>
      </c>
      <c r="D214" s="105" t="s" cm="1">
        <v>190</v>
      </c>
      <c r="E214" s="106" t="s">
        <v>190</v>
      </c>
      <c r="F214" s="106" t="s" cm="1">
        <v>190</v>
      </c>
      <c r="G214" s="105" t="s" cm="1">
        <v>190</v>
      </c>
      <c r="H214" s="106" t="s">
        <v>190</v>
      </c>
      <c r="I214" s="42" t="s" cm="1">
        <v>190</v>
      </c>
      <c r="L214" s="105" t="s" cm="1">
        <v>190</v>
      </c>
      <c r="M214" s="1" t="s" cm="1">
        <v>190</v>
      </c>
      <c r="N214" s="105" t="s" cm="1">
        <v>190</v>
      </c>
    </row>
    <row xmlns:x14ac="http://schemas.microsoft.com/office/spreadsheetml/2009/9/ac" r="215" x14ac:dyDescent="0.2">
      <c r="B215" s="1" t="s">
        <v>190</v>
      </c>
      <c r="C215" s="179" t="str">
        <f>IF(ISBLANK('_Data inputs (reported)'!C215),"",'_Data inputs (reported)'!C215)</f>
        <v/>
      </c>
      <c r="D215" s="105" t="s" cm="1">
        <v>190</v>
      </c>
      <c r="E215" s="106" t="s">
        <v>190</v>
      </c>
      <c r="F215" s="106" t="s" cm="1">
        <v>190</v>
      </c>
      <c r="G215" s="105" t="s" cm="1">
        <v>190</v>
      </c>
      <c r="H215" s="106" t="s">
        <v>190</v>
      </c>
      <c r="I215" s="42" t="s" cm="1">
        <v>190</v>
      </c>
      <c r="L215" s="105" t="s" cm="1">
        <v>190</v>
      </c>
      <c r="M215" s="1" t="s" cm="1">
        <v>190</v>
      </c>
      <c r="N215" s="105" t="s" cm="1">
        <v>190</v>
      </c>
    </row>
    <row xmlns:x14ac="http://schemas.microsoft.com/office/spreadsheetml/2009/9/ac" r="216" x14ac:dyDescent="0.2">
      <c r="B216" s="1" t="s">
        <v>190</v>
      </c>
      <c r="C216" s="179" t="str">
        <f>IF(ISBLANK('_Data inputs (reported)'!C216),"",'_Data inputs (reported)'!C216)</f>
        <v/>
      </c>
      <c r="D216" s="105" t="s" cm="1">
        <v>190</v>
      </c>
      <c r="E216" s="106" t="s">
        <v>190</v>
      </c>
      <c r="F216" s="106" t="s" cm="1">
        <v>190</v>
      </c>
      <c r="G216" s="105" t="s" cm="1">
        <v>190</v>
      </c>
      <c r="H216" s="106" t="s">
        <v>190</v>
      </c>
      <c r="I216" s="42" t="s" cm="1">
        <v>190</v>
      </c>
      <c r="L216" s="105" t="s" cm="1">
        <v>190</v>
      </c>
      <c r="M216" s="1" t="s" cm="1">
        <v>190</v>
      </c>
      <c r="N216" s="105" t="s" cm="1">
        <v>190</v>
      </c>
    </row>
    <row xmlns:x14ac="http://schemas.microsoft.com/office/spreadsheetml/2009/9/ac" r="217" x14ac:dyDescent="0.2">
      <c r="B217" s="1" t="s">
        <v>190</v>
      </c>
      <c r="C217" s="179" t="str">
        <f>IF(ISBLANK('_Data inputs (reported)'!C217),"",'_Data inputs (reported)'!C217)</f>
        <v/>
      </c>
      <c r="D217" s="105" t="s" cm="1">
        <v>190</v>
      </c>
      <c r="E217" s="106" t="s">
        <v>190</v>
      </c>
      <c r="F217" s="106" t="s" cm="1">
        <v>190</v>
      </c>
      <c r="G217" s="105" t="s" cm="1">
        <v>190</v>
      </c>
      <c r="H217" s="106" t="s">
        <v>190</v>
      </c>
      <c r="I217" s="42" t="s" cm="1">
        <v>190</v>
      </c>
      <c r="L217" s="105" t="s" cm="1">
        <v>190</v>
      </c>
      <c r="M217" s="1" t="s" cm="1">
        <v>190</v>
      </c>
      <c r="N217" s="105" t="s" cm="1">
        <v>190</v>
      </c>
    </row>
    <row xmlns:x14ac="http://schemas.microsoft.com/office/spreadsheetml/2009/9/ac" r="218" x14ac:dyDescent="0.2">
      <c r="B218" s="1" t="s">
        <v>190</v>
      </c>
      <c r="C218" s="179" t="str">
        <f>IF(ISBLANK('_Data inputs (reported)'!C218),"",'_Data inputs (reported)'!C218)</f>
        <v/>
      </c>
      <c r="D218" s="105" t="s" cm="1">
        <v>190</v>
      </c>
      <c r="E218" s="106" t="s">
        <v>190</v>
      </c>
      <c r="F218" s="106" t="s" cm="1">
        <v>190</v>
      </c>
      <c r="G218" s="105" t="s" cm="1">
        <v>190</v>
      </c>
      <c r="H218" s="106" t="s">
        <v>190</v>
      </c>
      <c r="I218" s="42" t="s" cm="1">
        <v>190</v>
      </c>
      <c r="L218" s="105" t="s" cm="1">
        <v>190</v>
      </c>
      <c r="M218" s="1" t="s" cm="1">
        <v>190</v>
      </c>
      <c r="N218" s="105" t="s" cm="1">
        <v>190</v>
      </c>
    </row>
    <row xmlns:x14ac="http://schemas.microsoft.com/office/spreadsheetml/2009/9/ac" r="219" x14ac:dyDescent="0.2">
      <c r="B219" s="1" t="s">
        <v>190</v>
      </c>
      <c r="C219" s="179" t="str">
        <f>IF(ISBLANK('_Data inputs (reported)'!C219),"",'_Data inputs (reported)'!C219)</f>
        <v/>
      </c>
      <c r="D219" s="105" t="s" cm="1">
        <v>190</v>
      </c>
      <c r="E219" s="106" t="s">
        <v>190</v>
      </c>
      <c r="F219" s="106" t="s" cm="1">
        <v>190</v>
      </c>
      <c r="G219" s="105" t="s" cm="1">
        <v>190</v>
      </c>
      <c r="H219" s="106" t="s">
        <v>190</v>
      </c>
      <c r="I219" s="42" t="s" cm="1">
        <v>190</v>
      </c>
      <c r="L219" s="105" t="s" cm="1">
        <v>190</v>
      </c>
      <c r="M219" s="1" t="s" cm="1">
        <v>190</v>
      </c>
      <c r="N219" s="105" t="s" cm="1">
        <v>190</v>
      </c>
    </row>
    <row xmlns:x14ac="http://schemas.microsoft.com/office/spreadsheetml/2009/9/ac" r="220" x14ac:dyDescent="0.2">
      <c r="B220" s="1" t="s">
        <v>190</v>
      </c>
      <c r="C220" s="179" t="str">
        <f>IF(ISBLANK('_Data inputs (reported)'!C220),"",'_Data inputs (reported)'!C220)</f>
        <v/>
      </c>
      <c r="D220" s="105" t="s" cm="1">
        <v>190</v>
      </c>
      <c r="E220" s="106" t="s">
        <v>190</v>
      </c>
      <c r="F220" s="106" t="s" cm="1">
        <v>190</v>
      </c>
      <c r="G220" s="105" t="s" cm="1">
        <v>190</v>
      </c>
      <c r="H220" s="106" t="s">
        <v>190</v>
      </c>
      <c r="I220" s="42" t="s" cm="1">
        <v>190</v>
      </c>
      <c r="L220" s="105" t="s" cm="1">
        <v>190</v>
      </c>
      <c r="M220" s="1" t="s" cm="1">
        <v>190</v>
      </c>
      <c r="N220" s="105" t="s" cm="1">
        <v>190</v>
      </c>
    </row>
    <row xmlns:x14ac="http://schemas.microsoft.com/office/spreadsheetml/2009/9/ac" r="221" x14ac:dyDescent="0.2">
      <c r="B221" s="1" t="s">
        <v>190</v>
      </c>
      <c r="C221" s="179" t="str">
        <f>IF(ISBLANK('_Data inputs (reported)'!C221),"",'_Data inputs (reported)'!C221)</f>
        <v/>
      </c>
      <c r="D221" s="105" t="s" cm="1">
        <v>190</v>
      </c>
      <c r="E221" s="106" t="s">
        <v>190</v>
      </c>
      <c r="F221" s="106" t="s" cm="1">
        <v>190</v>
      </c>
      <c r="G221" s="105" t="s" cm="1">
        <v>190</v>
      </c>
      <c r="H221" s="106" t="s">
        <v>190</v>
      </c>
      <c r="I221" s="42" t="s" cm="1">
        <v>190</v>
      </c>
      <c r="L221" s="105" t="s" cm="1">
        <v>190</v>
      </c>
      <c r="M221" s="1" t="s" cm="1">
        <v>190</v>
      </c>
      <c r="N221" s="105" t="s" cm="1">
        <v>190</v>
      </c>
    </row>
    <row xmlns:x14ac="http://schemas.microsoft.com/office/spreadsheetml/2009/9/ac" r="222" x14ac:dyDescent="0.2">
      <c r="B222" s="1" t="s">
        <v>190</v>
      </c>
      <c r="C222" s="179" t="str">
        <f>IF(ISBLANK('_Data inputs (reported)'!C222),"",'_Data inputs (reported)'!C222)</f>
        <v/>
      </c>
      <c r="D222" s="105" t="s" cm="1">
        <v>190</v>
      </c>
      <c r="E222" s="106" t="s">
        <v>190</v>
      </c>
      <c r="F222" s="106" t="s" cm="1">
        <v>190</v>
      </c>
      <c r="G222" s="105" t="s" cm="1">
        <v>190</v>
      </c>
      <c r="H222" s="106" t="s">
        <v>190</v>
      </c>
      <c r="I222" s="42" t="s" cm="1">
        <v>190</v>
      </c>
      <c r="L222" s="105" t="s" cm="1">
        <v>190</v>
      </c>
      <c r="M222" s="1" t="s" cm="1">
        <v>190</v>
      </c>
      <c r="N222" s="105" t="s" cm="1">
        <v>190</v>
      </c>
    </row>
    <row xmlns:x14ac="http://schemas.microsoft.com/office/spreadsheetml/2009/9/ac" r="223" x14ac:dyDescent="0.2">
      <c r="B223" s="1" t="s">
        <v>190</v>
      </c>
      <c r="C223" s="179" t="str">
        <f>IF(ISBLANK('_Data inputs (reported)'!C223),"",'_Data inputs (reported)'!C223)</f>
        <v/>
      </c>
      <c r="D223" s="105" t="s" cm="1">
        <v>190</v>
      </c>
      <c r="E223" s="106" t="s">
        <v>190</v>
      </c>
      <c r="F223" s="106" t="s" cm="1">
        <v>190</v>
      </c>
      <c r="G223" s="105" t="s" cm="1">
        <v>190</v>
      </c>
      <c r="H223" s="106" t="s">
        <v>190</v>
      </c>
      <c r="I223" s="42" t="s" cm="1">
        <v>190</v>
      </c>
      <c r="L223" s="105" t="s" cm="1">
        <v>190</v>
      </c>
      <c r="M223" s="1" t="s" cm="1">
        <v>190</v>
      </c>
      <c r="N223" s="105" t="s" cm="1">
        <v>190</v>
      </c>
    </row>
    <row xmlns:x14ac="http://schemas.microsoft.com/office/spreadsheetml/2009/9/ac" r="224" x14ac:dyDescent="0.2">
      <c r="B224" s="1" t="s">
        <v>190</v>
      </c>
      <c r="C224" s="179" t="str">
        <f>IF(ISBLANK('_Data inputs (reported)'!C224),"",'_Data inputs (reported)'!C224)</f>
        <v/>
      </c>
      <c r="D224" s="105" t="s" cm="1">
        <v>190</v>
      </c>
      <c r="E224" s="106" t="s">
        <v>190</v>
      </c>
      <c r="F224" s="106" t="s" cm="1">
        <v>190</v>
      </c>
      <c r="G224" s="105" t="s" cm="1">
        <v>190</v>
      </c>
      <c r="H224" s="106" t="s">
        <v>190</v>
      </c>
      <c r="I224" s="42" t="s" cm="1">
        <v>190</v>
      </c>
      <c r="L224" s="105" t="s" cm="1">
        <v>190</v>
      </c>
      <c r="M224" s="1" t="s" cm="1">
        <v>190</v>
      </c>
      <c r="N224" s="105" t="s" cm="1">
        <v>190</v>
      </c>
    </row>
    <row xmlns:x14ac="http://schemas.microsoft.com/office/spreadsheetml/2009/9/ac" r="225" x14ac:dyDescent="0.2">
      <c r="B225" s="1" t="s">
        <v>190</v>
      </c>
      <c r="C225" s="179" t="str">
        <f>IF(ISBLANK('_Data inputs (reported)'!C225),"",'_Data inputs (reported)'!C225)</f>
        <v/>
      </c>
      <c r="D225" s="105" t="s" cm="1">
        <v>190</v>
      </c>
      <c r="E225" s="106" t="s">
        <v>190</v>
      </c>
      <c r="F225" s="106" t="s" cm="1">
        <v>190</v>
      </c>
      <c r="G225" s="105" t="s" cm="1">
        <v>190</v>
      </c>
      <c r="H225" s="106" t="s">
        <v>190</v>
      </c>
      <c r="I225" s="42" t="s" cm="1">
        <v>190</v>
      </c>
      <c r="L225" s="105" t="s" cm="1">
        <v>190</v>
      </c>
      <c r="M225" s="1" t="s" cm="1">
        <v>190</v>
      </c>
      <c r="N225" s="105" t="s" cm="1">
        <v>190</v>
      </c>
    </row>
    <row xmlns:x14ac="http://schemas.microsoft.com/office/spreadsheetml/2009/9/ac" r="226" x14ac:dyDescent="0.2">
      <c r="B226" s="1" t="s">
        <v>190</v>
      </c>
      <c r="C226" s="179" t="str">
        <f>IF(ISBLANK('_Data inputs (reported)'!C226),"",'_Data inputs (reported)'!C226)</f>
        <v/>
      </c>
      <c r="D226" s="105" t="s" cm="1">
        <v>190</v>
      </c>
      <c r="E226" s="106" t="s">
        <v>190</v>
      </c>
      <c r="F226" s="106" t="s" cm="1">
        <v>190</v>
      </c>
      <c r="G226" s="105" t="s" cm="1">
        <v>190</v>
      </c>
      <c r="H226" s="106" t="s">
        <v>190</v>
      </c>
      <c r="I226" s="42" t="s" cm="1">
        <v>190</v>
      </c>
      <c r="L226" s="105" t="s" cm="1">
        <v>190</v>
      </c>
      <c r="M226" s="1" t="s" cm="1">
        <v>190</v>
      </c>
      <c r="N226" s="105" t="s" cm="1">
        <v>190</v>
      </c>
    </row>
    <row xmlns:x14ac="http://schemas.microsoft.com/office/spreadsheetml/2009/9/ac" r="227" x14ac:dyDescent="0.2">
      <c r="B227" s="1" t="s">
        <v>190</v>
      </c>
      <c r="C227" s="179" t="str">
        <f>IF(ISBLANK('_Data inputs (reported)'!C227),"",'_Data inputs (reported)'!C227)</f>
        <v/>
      </c>
      <c r="D227" s="105" t="s" cm="1">
        <v>190</v>
      </c>
      <c r="E227" s="106" t="s">
        <v>190</v>
      </c>
      <c r="F227" s="106" t="s" cm="1">
        <v>190</v>
      </c>
      <c r="G227" s="105" t="s" cm="1">
        <v>190</v>
      </c>
      <c r="H227" s="106" t="s">
        <v>190</v>
      </c>
      <c r="I227" s="42" t="s" cm="1">
        <v>190</v>
      </c>
      <c r="L227" s="105" t="s" cm="1">
        <v>190</v>
      </c>
      <c r="M227" s="1" t="s" cm="1">
        <v>190</v>
      </c>
      <c r="N227" s="105" t="s" cm="1">
        <v>190</v>
      </c>
    </row>
    <row xmlns:x14ac="http://schemas.microsoft.com/office/spreadsheetml/2009/9/ac" r="228" x14ac:dyDescent="0.2">
      <c r="B228" s="1" t="s">
        <v>190</v>
      </c>
      <c r="C228" s="179" t="str">
        <f>IF(ISBLANK('_Data inputs (reported)'!C228),"",'_Data inputs (reported)'!C228)</f>
        <v/>
      </c>
      <c r="D228" s="105" t="s" cm="1">
        <v>190</v>
      </c>
      <c r="E228" s="106" t="s">
        <v>190</v>
      </c>
      <c r="F228" s="106" t="s" cm="1">
        <v>190</v>
      </c>
      <c r="G228" s="105" t="s" cm="1">
        <v>190</v>
      </c>
      <c r="H228" s="106" t="s">
        <v>190</v>
      </c>
      <c r="I228" s="42" t="s" cm="1">
        <v>190</v>
      </c>
      <c r="L228" s="105" t="s" cm="1">
        <v>190</v>
      </c>
      <c r="M228" s="1" t="s" cm="1">
        <v>190</v>
      </c>
      <c r="N228" s="105" t="s" cm="1">
        <v>190</v>
      </c>
    </row>
    <row xmlns:x14ac="http://schemas.microsoft.com/office/spreadsheetml/2009/9/ac" r="229" x14ac:dyDescent="0.2">
      <c r="B229" s="1" t="s">
        <v>190</v>
      </c>
      <c r="C229" s="179" t="str">
        <f>IF(ISBLANK('_Data inputs (reported)'!C229),"",'_Data inputs (reported)'!C229)</f>
        <v/>
      </c>
      <c r="D229" s="105" t="s" cm="1">
        <v>190</v>
      </c>
      <c r="E229" s="106" t="s">
        <v>190</v>
      </c>
      <c r="F229" s="106" t="s" cm="1">
        <v>190</v>
      </c>
      <c r="G229" s="105" t="s" cm="1">
        <v>190</v>
      </c>
      <c r="H229" s="106" t="s">
        <v>190</v>
      </c>
      <c r="I229" s="42" t="s" cm="1">
        <v>190</v>
      </c>
      <c r="L229" s="105" t="s" cm="1">
        <v>190</v>
      </c>
      <c r="M229" s="1" t="s" cm="1">
        <v>190</v>
      </c>
      <c r="N229" s="105" t="s" cm="1">
        <v>190</v>
      </c>
    </row>
    <row xmlns:x14ac="http://schemas.microsoft.com/office/spreadsheetml/2009/9/ac" r="230" x14ac:dyDescent="0.2">
      <c r="B230" s="1" t="s">
        <v>190</v>
      </c>
      <c r="C230" s="179" t="str">
        <f>IF(ISBLANK('_Data inputs (reported)'!C230),"",'_Data inputs (reported)'!C230)</f>
        <v/>
      </c>
      <c r="D230" s="105" t="s" cm="1">
        <v>190</v>
      </c>
      <c r="E230" s="106" t="s">
        <v>190</v>
      </c>
      <c r="F230" s="106" t="s" cm="1">
        <v>190</v>
      </c>
      <c r="G230" s="105" t="s" cm="1">
        <v>190</v>
      </c>
      <c r="H230" s="106" t="s">
        <v>190</v>
      </c>
      <c r="I230" s="42" t="s" cm="1">
        <v>190</v>
      </c>
      <c r="L230" s="105" t="s" cm="1">
        <v>190</v>
      </c>
      <c r="M230" s="1" t="s" cm="1">
        <v>190</v>
      </c>
      <c r="N230" s="105" t="s" cm="1">
        <v>190</v>
      </c>
    </row>
    <row xmlns:x14ac="http://schemas.microsoft.com/office/spreadsheetml/2009/9/ac" r="231" x14ac:dyDescent="0.2">
      <c r="B231" s="1" t="s">
        <v>190</v>
      </c>
      <c r="C231" s="179" t="str">
        <f>IF(ISBLANK('_Data inputs (reported)'!C231),"",'_Data inputs (reported)'!C231)</f>
        <v/>
      </c>
      <c r="D231" s="105" t="s" cm="1">
        <v>190</v>
      </c>
      <c r="E231" s="106" t="s">
        <v>190</v>
      </c>
      <c r="F231" s="106" t="s" cm="1">
        <v>190</v>
      </c>
      <c r="G231" s="105" t="s" cm="1">
        <v>190</v>
      </c>
      <c r="H231" s="106" t="s">
        <v>190</v>
      </c>
      <c r="I231" s="42" t="s" cm="1">
        <v>190</v>
      </c>
      <c r="L231" s="105" t="s" cm="1">
        <v>190</v>
      </c>
      <c r="M231" s="1" t="s" cm="1">
        <v>190</v>
      </c>
      <c r="N231" s="105" t="s" cm="1">
        <v>190</v>
      </c>
    </row>
    <row xmlns:x14ac="http://schemas.microsoft.com/office/spreadsheetml/2009/9/ac" r="232" x14ac:dyDescent="0.2">
      <c r="B232" s="1" t="s">
        <v>190</v>
      </c>
      <c r="C232" s="179" t="str">
        <f>IF(ISBLANK('_Data inputs (reported)'!C232),"",'_Data inputs (reported)'!C232)</f>
        <v/>
      </c>
      <c r="D232" s="105" t="s" cm="1">
        <v>190</v>
      </c>
      <c r="E232" s="106" t="s">
        <v>190</v>
      </c>
      <c r="F232" s="106" t="s" cm="1">
        <v>190</v>
      </c>
      <c r="G232" s="105" t="s" cm="1">
        <v>190</v>
      </c>
      <c r="H232" s="106" t="s">
        <v>190</v>
      </c>
      <c r="I232" s="42" t="s" cm="1">
        <v>190</v>
      </c>
      <c r="L232" s="105" t="s" cm="1">
        <v>190</v>
      </c>
      <c r="M232" s="1" t="s" cm="1">
        <v>190</v>
      </c>
      <c r="N232" s="105" t="s" cm="1">
        <v>190</v>
      </c>
    </row>
    <row xmlns:x14ac="http://schemas.microsoft.com/office/spreadsheetml/2009/9/ac" r="233" x14ac:dyDescent="0.2">
      <c r="B233" s="1" t="s">
        <v>190</v>
      </c>
      <c r="C233" s="179" t="str">
        <f>IF(ISBLANK('_Data inputs (reported)'!C233),"",'_Data inputs (reported)'!C233)</f>
        <v/>
      </c>
      <c r="D233" s="105" t="s" cm="1">
        <v>190</v>
      </c>
      <c r="E233" s="106" t="s">
        <v>190</v>
      </c>
      <c r="F233" s="106" t="s" cm="1">
        <v>190</v>
      </c>
      <c r="G233" s="105" t="s" cm="1">
        <v>190</v>
      </c>
      <c r="H233" s="106" t="s">
        <v>190</v>
      </c>
      <c r="I233" s="42" t="s" cm="1">
        <v>190</v>
      </c>
      <c r="L233" s="105" t="s" cm="1">
        <v>190</v>
      </c>
      <c r="M233" s="1" t="s" cm="1">
        <v>190</v>
      </c>
      <c r="N233" s="105" t="s" cm="1">
        <v>190</v>
      </c>
    </row>
    <row xmlns:x14ac="http://schemas.microsoft.com/office/spreadsheetml/2009/9/ac" r="234" x14ac:dyDescent="0.2">
      <c r="B234" s="1" t="s">
        <v>190</v>
      </c>
      <c r="C234" s="179" t="str">
        <f>IF(ISBLANK('_Data inputs (reported)'!C234),"",'_Data inputs (reported)'!C234)</f>
        <v/>
      </c>
      <c r="D234" s="105" t="s" cm="1">
        <v>190</v>
      </c>
      <c r="E234" s="106" t="s">
        <v>190</v>
      </c>
      <c r="F234" s="106" t="s" cm="1">
        <v>190</v>
      </c>
      <c r="G234" s="105" t="s" cm="1">
        <v>190</v>
      </c>
      <c r="H234" s="106" t="s">
        <v>190</v>
      </c>
      <c r="I234" s="42" t="s" cm="1">
        <v>190</v>
      </c>
      <c r="L234" s="105" t="s" cm="1">
        <v>190</v>
      </c>
      <c r="M234" s="1" t="s" cm="1">
        <v>190</v>
      </c>
      <c r="N234" s="105" t="s" cm="1">
        <v>190</v>
      </c>
    </row>
    <row xmlns:x14ac="http://schemas.microsoft.com/office/spreadsheetml/2009/9/ac" r="235" x14ac:dyDescent="0.2">
      <c r="B235" s="1" t="s">
        <v>190</v>
      </c>
      <c r="C235" s="179" t="str">
        <f>IF(ISBLANK('_Data inputs (reported)'!C235),"",'_Data inputs (reported)'!C235)</f>
        <v/>
      </c>
      <c r="D235" s="105" t="s" cm="1">
        <v>190</v>
      </c>
      <c r="E235" s="106" t="s">
        <v>190</v>
      </c>
      <c r="F235" s="106" t="s" cm="1">
        <v>190</v>
      </c>
      <c r="G235" s="105" t="s" cm="1">
        <v>190</v>
      </c>
      <c r="H235" s="106" t="s">
        <v>190</v>
      </c>
      <c r="I235" s="42" t="s" cm="1">
        <v>190</v>
      </c>
      <c r="L235" s="105" t="s" cm="1">
        <v>190</v>
      </c>
      <c r="M235" s="1" t="s" cm="1">
        <v>190</v>
      </c>
      <c r="N235" s="105" t="s" cm="1">
        <v>190</v>
      </c>
    </row>
    <row xmlns:x14ac="http://schemas.microsoft.com/office/spreadsheetml/2009/9/ac" r="236" x14ac:dyDescent="0.2">
      <c r="B236" s="1" t="s">
        <v>190</v>
      </c>
      <c r="C236" s="179" t="str">
        <f>IF(ISBLANK('_Data inputs (reported)'!C236),"",'_Data inputs (reported)'!C236)</f>
        <v/>
      </c>
      <c r="D236" s="105" t="s" cm="1">
        <v>190</v>
      </c>
      <c r="E236" s="106" t="s">
        <v>190</v>
      </c>
      <c r="F236" s="106" t="s" cm="1">
        <v>190</v>
      </c>
      <c r="G236" s="105" t="s" cm="1">
        <v>190</v>
      </c>
      <c r="H236" s="106" t="s">
        <v>190</v>
      </c>
      <c r="I236" s="42" t="s" cm="1">
        <v>190</v>
      </c>
      <c r="L236" s="105" t="s" cm="1">
        <v>190</v>
      </c>
      <c r="M236" s="1" t="s" cm="1">
        <v>190</v>
      </c>
      <c r="N236" s="105" t="s" cm="1">
        <v>190</v>
      </c>
    </row>
    <row xmlns:x14ac="http://schemas.microsoft.com/office/spreadsheetml/2009/9/ac" r="237" x14ac:dyDescent="0.2">
      <c r="B237" s="1" t="s">
        <v>190</v>
      </c>
      <c r="C237" s="179" t="str">
        <f>IF(ISBLANK('_Data inputs (reported)'!C237),"",'_Data inputs (reported)'!C237)</f>
        <v/>
      </c>
      <c r="D237" s="105" t="s" cm="1">
        <v>190</v>
      </c>
      <c r="E237" s="106" t="s">
        <v>190</v>
      </c>
      <c r="F237" s="106" t="s" cm="1">
        <v>190</v>
      </c>
      <c r="G237" s="105" t="s" cm="1">
        <v>190</v>
      </c>
      <c r="H237" s="106" t="s">
        <v>190</v>
      </c>
      <c r="I237" s="42" t="s" cm="1">
        <v>190</v>
      </c>
      <c r="L237" s="105" t="s" cm="1">
        <v>190</v>
      </c>
      <c r="M237" s="1" t="s" cm="1">
        <v>190</v>
      </c>
      <c r="N237" s="105" t="s" cm="1">
        <v>190</v>
      </c>
    </row>
    <row xmlns:x14ac="http://schemas.microsoft.com/office/spreadsheetml/2009/9/ac" r="238" x14ac:dyDescent="0.2">
      <c r="B238" s="1" t="s">
        <v>190</v>
      </c>
      <c r="C238" s="179" t="str">
        <f>IF(ISBLANK('_Data inputs (reported)'!C238),"",'_Data inputs (reported)'!C238)</f>
        <v/>
      </c>
      <c r="D238" s="105" t="s" cm="1">
        <v>190</v>
      </c>
      <c r="E238" s="106" t="s">
        <v>190</v>
      </c>
      <c r="F238" s="106" t="s" cm="1">
        <v>190</v>
      </c>
      <c r="G238" s="105" t="s" cm="1">
        <v>190</v>
      </c>
      <c r="H238" s="106" t="s">
        <v>190</v>
      </c>
      <c r="I238" s="42" t="s" cm="1">
        <v>190</v>
      </c>
      <c r="L238" s="105" t="s" cm="1">
        <v>190</v>
      </c>
      <c r="M238" s="1" t="s" cm="1">
        <v>190</v>
      </c>
      <c r="N238" s="105" t="s" cm="1">
        <v>190</v>
      </c>
    </row>
    <row xmlns:x14ac="http://schemas.microsoft.com/office/spreadsheetml/2009/9/ac" r="239" x14ac:dyDescent="0.2">
      <c r="B239" s="1" t="s">
        <v>190</v>
      </c>
      <c r="C239" s="179" t="str">
        <f>IF(ISBLANK('_Data inputs (reported)'!C239),"",'_Data inputs (reported)'!C239)</f>
        <v/>
      </c>
      <c r="D239" s="105" t="s" cm="1">
        <v>190</v>
      </c>
      <c r="E239" s="106" t="s">
        <v>190</v>
      </c>
      <c r="F239" s="106" t="s" cm="1">
        <v>190</v>
      </c>
      <c r="G239" s="105" t="s" cm="1">
        <v>190</v>
      </c>
      <c r="H239" s="106" t="s">
        <v>190</v>
      </c>
      <c r="I239" s="42" t="s" cm="1">
        <v>190</v>
      </c>
      <c r="L239" s="105" t="s" cm="1">
        <v>190</v>
      </c>
      <c r="M239" s="1" t="s" cm="1">
        <v>190</v>
      </c>
      <c r="N239" s="105" t="s" cm="1">
        <v>190</v>
      </c>
    </row>
    <row xmlns:x14ac="http://schemas.microsoft.com/office/spreadsheetml/2009/9/ac" r="240" x14ac:dyDescent="0.2">
      <c r="B240" s="1" t="s">
        <v>190</v>
      </c>
      <c r="C240" s="179" t="str">
        <f>IF(ISBLANK('_Data inputs (reported)'!C240),"",'_Data inputs (reported)'!C240)</f>
        <v/>
      </c>
      <c r="D240" s="105" t="s" cm="1">
        <v>190</v>
      </c>
      <c r="E240" s="106" t="s">
        <v>190</v>
      </c>
      <c r="F240" s="106" t="s" cm="1">
        <v>190</v>
      </c>
      <c r="G240" s="105" t="s" cm="1">
        <v>190</v>
      </c>
      <c r="H240" s="106" t="s">
        <v>190</v>
      </c>
      <c r="I240" s="42" t="s" cm="1">
        <v>190</v>
      </c>
      <c r="L240" s="105" t="s" cm="1">
        <v>190</v>
      </c>
      <c r="M240" s="1" t="s" cm="1">
        <v>190</v>
      </c>
      <c r="N240" s="105" t="s" cm="1">
        <v>190</v>
      </c>
    </row>
    <row xmlns:x14ac="http://schemas.microsoft.com/office/spreadsheetml/2009/9/ac" r="241" x14ac:dyDescent="0.2">
      <c r="B241" s="1" t="s">
        <v>190</v>
      </c>
      <c r="C241" s="179" t="str">
        <f>IF(ISBLANK('_Data inputs (reported)'!C241),"",'_Data inputs (reported)'!C241)</f>
        <v/>
      </c>
      <c r="D241" s="105" t="s" cm="1">
        <v>190</v>
      </c>
      <c r="E241" s="106" t="s">
        <v>190</v>
      </c>
      <c r="F241" s="106" t="s" cm="1">
        <v>190</v>
      </c>
      <c r="G241" s="105" t="s" cm="1">
        <v>190</v>
      </c>
      <c r="H241" s="106" t="s">
        <v>190</v>
      </c>
      <c r="I241" s="42" t="s" cm="1">
        <v>190</v>
      </c>
      <c r="L241" s="105" t="s" cm="1">
        <v>190</v>
      </c>
      <c r="M241" s="1" t="s" cm="1">
        <v>190</v>
      </c>
      <c r="N241" s="105" t="s" cm="1">
        <v>190</v>
      </c>
    </row>
    <row xmlns:x14ac="http://schemas.microsoft.com/office/spreadsheetml/2009/9/ac" r="242" x14ac:dyDescent="0.2">
      <c r="B242" s="1" t="s">
        <v>190</v>
      </c>
      <c r="C242" s="179" t="str">
        <f>IF(ISBLANK('_Data inputs (reported)'!C242),"",'_Data inputs (reported)'!C242)</f>
        <v/>
      </c>
      <c r="D242" s="105" t="s" cm="1">
        <v>190</v>
      </c>
      <c r="E242" s="106" t="s">
        <v>190</v>
      </c>
      <c r="F242" s="106" t="s" cm="1">
        <v>190</v>
      </c>
      <c r="G242" s="105" t="s" cm="1">
        <v>190</v>
      </c>
      <c r="H242" s="106" t="s">
        <v>190</v>
      </c>
      <c r="I242" s="42" t="s" cm="1">
        <v>190</v>
      </c>
      <c r="L242" s="105" t="s" cm="1">
        <v>190</v>
      </c>
      <c r="M242" s="1" t="s" cm="1">
        <v>190</v>
      </c>
      <c r="N242" s="105" t="s" cm="1">
        <v>190</v>
      </c>
    </row>
    <row xmlns:x14ac="http://schemas.microsoft.com/office/spreadsheetml/2009/9/ac" r="243" x14ac:dyDescent="0.2">
      <c r="B243" s="1" t="s">
        <v>190</v>
      </c>
      <c r="C243" s="179" t="str">
        <f>IF(ISBLANK('_Data inputs (reported)'!C243),"",'_Data inputs (reported)'!C243)</f>
        <v/>
      </c>
      <c r="D243" s="105" t="s" cm="1">
        <v>190</v>
      </c>
      <c r="E243" s="106" t="s">
        <v>190</v>
      </c>
      <c r="F243" s="106" t="s" cm="1">
        <v>190</v>
      </c>
      <c r="G243" s="105" t="s" cm="1">
        <v>190</v>
      </c>
      <c r="H243" s="106" t="s">
        <v>190</v>
      </c>
      <c r="I243" s="42" t="s" cm="1">
        <v>190</v>
      </c>
      <c r="L243" s="105" t="s" cm="1">
        <v>190</v>
      </c>
      <c r="M243" s="1" t="s" cm="1">
        <v>190</v>
      </c>
      <c r="N243" s="105" t="s" cm="1">
        <v>190</v>
      </c>
    </row>
    <row xmlns:x14ac="http://schemas.microsoft.com/office/spreadsheetml/2009/9/ac" r="244" x14ac:dyDescent="0.2">
      <c r="B244" s="1" t="s">
        <v>190</v>
      </c>
      <c r="C244" s="179" t="str">
        <f>IF(ISBLANK('_Data inputs (reported)'!C244),"",'_Data inputs (reported)'!C244)</f>
        <v/>
      </c>
      <c r="D244" s="105" t="s" cm="1">
        <v>190</v>
      </c>
      <c r="E244" s="106" t="s">
        <v>190</v>
      </c>
      <c r="F244" s="106" t="s" cm="1">
        <v>190</v>
      </c>
      <c r="G244" s="105" t="s" cm="1">
        <v>190</v>
      </c>
      <c r="H244" s="106" t="s">
        <v>190</v>
      </c>
      <c r="I244" s="42" t="s" cm="1">
        <v>190</v>
      </c>
      <c r="L244" s="105" t="s" cm="1">
        <v>190</v>
      </c>
      <c r="M244" s="1" t="s" cm="1">
        <v>190</v>
      </c>
      <c r="N244" s="105" t="s" cm="1">
        <v>190</v>
      </c>
    </row>
    <row xmlns:x14ac="http://schemas.microsoft.com/office/spreadsheetml/2009/9/ac" r="245" x14ac:dyDescent="0.2">
      <c r="B245" s="1" t="s">
        <v>190</v>
      </c>
      <c r="C245" s="179" t="str">
        <f>IF(ISBLANK('_Data inputs (reported)'!C245),"",'_Data inputs (reported)'!C245)</f>
        <v/>
      </c>
      <c r="D245" s="105" t="s" cm="1">
        <v>190</v>
      </c>
      <c r="E245" s="106" t="s">
        <v>190</v>
      </c>
      <c r="F245" s="106" t="s" cm="1">
        <v>190</v>
      </c>
      <c r="G245" s="105" t="s" cm="1">
        <v>190</v>
      </c>
      <c r="H245" s="106" t="s">
        <v>190</v>
      </c>
      <c r="I245" s="42" t="s" cm="1">
        <v>190</v>
      </c>
      <c r="L245" s="105" t="s" cm="1">
        <v>190</v>
      </c>
      <c r="M245" s="1" t="s" cm="1">
        <v>190</v>
      </c>
      <c r="N245" s="105" t="s" cm="1">
        <v>190</v>
      </c>
    </row>
    <row xmlns:x14ac="http://schemas.microsoft.com/office/spreadsheetml/2009/9/ac" r="246" x14ac:dyDescent="0.2">
      <c r="B246" s="1" t="s">
        <v>190</v>
      </c>
      <c r="C246" s="179" t="str">
        <f>IF(ISBLANK('_Data inputs (reported)'!C246),"",'_Data inputs (reported)'!C246)</f>
        <v/>
      </c>
      <c r="D246" s="105" t="s" cm="1">
        <v>190</v>
      </c>
      <c r="E246" s="106" t="s">
        <v>190</v>
      </c>
      <c r="F246" s="106" t="s" cm="1">
        <v>190</v>
      </c>
      <c r="G246" s="105" t="s" cm="1">
        <v>190</v>
      </c>
      <c r="H246" s="106" t="s">
        <v>190</v>
      </c>
      <c r="I246" s="42" t="s" cm="1">
        <v>190</v>
      </c>
      <c r="L246" s="105" t="s" cm="1">
        <v>190</v>
      </c>
      <c r="M246" s="1" t="s" cm="1">
        <v>190</v>
      </c>
      <c r="N246" s="105" t="s" cm="1">
        <v>190</v>
      </c>
    </row>
    <row xmlns:x14ac="http://schemas.microsoft.com/office/spreadsheetml/2009/9/ac" r="247" x14ac:dyDescent="0.2">
      <c r="B247" s="1" t="s">
        <v>190</v>
      </c>
      <c r="C247" s="179" t="str">
        <f>IF(ISBLANK('_Data inputs (reported)'!C247),"",'_Data inputs (reported)'!C247)</f>
        <v/>
      </c>
      <c r="D247" s="105" t="s" cm="1">
        <v>190</v>
      </c>
      <c r="E247" s="106" t="s">
        <v>190</v>
      </c>
      <c r="F247" s="106" t="s" cm="1">
        <v>190</v>
      </c>
      <c r="G247" s="105" t="s" cm="1">
        <v>190</v>
      </c>
      <c r="H247" s="106" t="s">
        <v>190</v>
      </c>
      <c r="I247" s="42" t="s" cm="1">
        <v>190</v>
      </c>
      <c r="L247" s="105" t="s" cm="1">
        <v>190</v>
      </c>
      <c r="M247" s="1" t="s" cm="1">
        <v>190</v>
      </c>
      <c r="N247" s="105" t="s" cm="1">
        <v>190</v>
      </c>
    </row>
    <row xmlns:x14ac="http://schemas.microsoft.com/office/spreadsheetml/2009/9/ac" r="248" x14ac:dyDescent="0.2">
      <c r="B248" s="1" t="s">
        <v>190</v>
      </c>
      <c r="C248" s="179" t="str">
        <f>IF(ISBLANK('_Data inputs (reported)'!C248),"",'_Data inputs (reported)'!C248)</f>
        <v/>
      </c>
      <c r="D248" s="105" t="s" cm="1">
        <v>190</v>
      </c>
      <c r="E248" s="106" t="s">
        <v>190</v>
      </c>
      <c r="F248" s="106" t="s" cm="1">
        <v>190</v>
      </c>
      <c r="G248" s="105" t="s" cm="1">
        <v>190</v>
      </c>
      <c r="H248" s="106" t="s">
        <v>190</v>
      </c>
      <c r="I248" s="42" t="s" cm="1">
        <v>190</v>
      </c>
      <c r="L248" s="105" t="s" cm="1">
        <v>190</v>
      </c>
      <c r="M248" s="1" t="s" cm="1">
        <v>190</v>
      </c>
      <c r="N248" s="105" t="s" cm="1">
        <v>190</v>
      </c>
    </row>
    <row xmlns:x14ac="http://schemas.microsoft.com/office/spreadsheetml/2009/9/ac" r="249" x14ac:dyDescent="0.2">
      <c r="B249" s="1" t="s">
        <v>190</v>
      </c>
      <c r="C249" s="179" t="str">
        <f>IF(ISBLANK('_Data inputs (reported)'!C249),"",'_Data inputs (reported)'!C249)</f>
        <v/>
      </c>
      <c r="D249" s="105" t="s" cm="1">
        <v>190</v>
      </c>
      <c r="E249" s="106" t="s">
        <v>190</v>
      </c>
      <c r="F249" s="106" t="s" cm="1">
        <v>190</v>
      </c>
      <c r="G249" s="105" t="s" cm="1">
        <v>190</v>
      </c>
      <c r="H249" s="106" t="s">
        <v>190</v>
      </c>
      <c r="I249" s="42" t="s" cm="1">
        <v>190</v>
      </c>
      <c r="L249" s="105" t="s" cm="1">
        <v>190</v>
      </c>
      <c r="M249" s="1" t="s" cm="1">
        <v>190</v>
      </c>
      <c r="N249" s="105" t="s" cm="1">
        <v>190</v>
      </c>
    </row>
    <row xmlns:x14ac="http://schemas.microsoft.com/office/spreadsheetml/2009/9/ac" r="250" x14ac:dyDescent="0.2">
      <c r="B250" s="1" t="s">
        <v>190</v>
      </c>
      <c r="C250" s="179" t="str">
        <f>IF(ISBLANK('_Data inputs (reported)'!C250),"",'_Data inputs (reported)'!C250)</f>
        <v/>
      </c>
      <c r="D250" s="105" t="s" cm="1">
        <v>190</v>
      </c>
      <c r="E250" s="106" t="s">
        <v>190</v>
      </c>
      <c r="F250" s="106" t="s" cm="1">
        <v>190</v>
      </c>
      <c r="G250" s="105" t="s" cm="1">
        <v>190</v>
      </c>
      <c r="H250" s="106" t="s">
        <v>190</v>
      </c>
      <c r="I250" s="42" t="s" cm="1">
        <v>190</v>
      </c>
      <c r="L250" s="105" t="s" cm="1">
        <v>190</v>
      </c>
      <c r="M250" s="1" t="s" cm="1">
        <v>190</v>
      </c>
      <c r="N250" s="105" t="s" cm="1">
        <v>190</v>
      </c>
    </row>
  </sheetData>
  <autoFilter ref="A1:N1"/>
  <conditionalFormatting sqref="A2:N2 A3:B150 D3:N150 C3:C250">
    <cfRule type="expression" dxfId="4" priority="2">
      <formula>$J2="Yes"</formula>
    </cfRule>
  </conditionalFormatting>
  <dataValidations count="3">
    <dataValidation type="list" allowBlank="true" showInputMessage="true" showErrorMessage="true" sqref="J151:J250">
      <formula1>#REF!</formula1>
    </dataValidation>
    <dataValidation type="list" allowBlank="true" showInputMessage="true" sqref="G151:G250 K151:K250">
      <formula1>#REF!</formula1>
    </dataValidation>
    <dataValidation type="list" showInputMessage="true" sqref="D151:D250">
      <formula1>#REF!</formula1>
    </dataValidation>
  </dataValidation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9911D3-D62C-4462-BB32-3A543C40D256}">
  <sheetPr codeName="Sheet5">
    <pageSetUpPr fitToPage="true"/>
  </sheetPr>
  <dimension ref="A1:X64"/>
  <sheetViews>
    <sheetView zoomScaleNormal="100" workbookViewId="0">
      <pane xSplit="2" ySplit="4" topLeftCell="C5"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10.140625" customWidth="true"/>
    <col min="2" max="2" width="70.42578125" customWidth="true"/>
    <col min="3" max="3" width="15.5703125" customWidth="true"/>
    <col min="4" max="4" width="17.85546875" customWidth="true"/>
    <col min="5" max="5" width="17.85546875" bestFit="true" customWidth="true"/>
    <col min="6" max="6" width="6.7109375" customWidth="true"/>
    <col min="7" max="7" width="84.42578125" customWidth="true"/>
    <col min="8" max="8" width="2.28515625" customWidth="true"/>
    <col min="9" max="9" width="4.28515625" customWidth="true"/>
    <col min="10" max="10" width="10.28515625" customWidth="true"/>
    <col min="11" max="11" width="2.28515625" customWidth="true"/>
    <col min="12" max="12" width="4.28515625" customWidth="true"/>
    <col min="13" max="13" width="10.28515625" customWidth="true"/>
    <col min="14" max="14" width="2.28515625" customWidth="true"/>
    <col min="15" max="15" width="4.28515625" customWidth="true"/>
    <col min="16" max="16" width="12.28515625" customWidth="true"/>
    <col min="17" max="17" width="2.28515625" customWidth="true"/>
    <col min="18" max="18" width="4.28515625" customWidth="true"/>
    <col min="19" max="19" width="15.7109375" customWidth="true"/>
    <col min="20" max="20" width="2.42578125" bestFit="true" customWidth="true"/>
    <col min="21" max="21" width="3" bestFit="true" customWidth="true"/>
    <col min="22" max="22" width="11.85546875" customWidth="true"/>
    <col min="23" max="23" width="2.28515625" customWidth="true"/>
    <col min="24" max="24" width="4.28515625" customWidth="true"/>
  </cols>
  <sheetData>
    <row xmlns:x14ac="http://schemas.microsoft.com/office/spreadsheetml/2009/9/ac" r="1" ht="36" customHeight="true" x14ac:dyDescent="0.2">
      <c r="A1" s="33" t="e">
        <f>HLOOKUP(Introduction!$A$2,nametranslations,85,FALSE) &amp; " ("&amp;Introduction!C5 &amp;", " &amp;Introduction!C7 &amp; ")"</f>
        <v>#N/A</v>
      </c>
      <c r="B1" s="41"/>
      <c r="C1" s="41"/>
      <c r="D1" s="41"/>
      <c r="E1" s="41"/>
      <c r="F1" s="41"/>
      <c r="G1" s="41"/>
      <c r="H1" s="41"/>
      <c r="I1" s="41"/>
      <c r="J1" s="41"/>
      <c r="K1" s="41"/>
      <c r="L1" s="41"/>
      <c r="M1" s="41"/>
      <c r="N1" s="41"/>
      <c r="O1" s="41"/>
      <c r="P1" s="41"/>
      <c r="Q1" s="41"/>
      <c r="R1" s="41"/>
      <c r="S1" s="41"/>
      <c r="T1" s="41"/>
      <c r="U1" s="41"/>
      <c r="V1" s="41"/>
      <c r="W1" s="14"/>
    </row>
    <row xmlns:x14ac="http://schemas.microsoft.com/office/spreadsheetml/2009/9/ac" r="2" ht="56" customHeight="true" x14ac:dyDescent="0.2">
      <c r="A2" s="193" t="str">
        <f>HLOOKUP(Introduction!$A$2,nametranslations,86,FALSE)</f>
        <v>This worksheet presents data and calculations for the computation of the total volume of household wastewater generated per year [8], based on population,  per capita water use, and a domestic water to wastewater conversion factor.  However, if the total volume of household wastewater generated has been officially reported, it has been used directly and variables [1] to [7] are no longer applicable.</v>
      </c>
      <c r="B2" s="193"/>
      <c r="C2" s="193"/>
      <c r="D2" s="193"/>
      <c r="E2" s="193"/>
      <c r="F2" s="193"/>
      <c r="G2" s="193"/>
      <c r="H2" s="64"/>
      <c r="I2" s="64"/>
      <c r="J2" s="64"/>
      <c r="K2" s="64"/>
      <c r="L2" s="64"/>
      <c r="M2" s="64"/>
      <c r="N2" s="64"/>
      <c r="O2" s="64"/>
      <c r="P2" s="64"/>
      <c r="Q2" s="64"/>
      <c r="R2" s="64"/>
      <c r="S2" s="64"/>
      <c r="T2" s="64"/>
      <c r="U2" s="64"/>
      <c r="V2" s="64"/>
      <c r="W2" s="64"/>
      <c r="X2" s="64"/>
    </row>
    <row xmlns:x14ac="http://schemas.microsoft.com/office/spreadsheetml/2009/9/ac" r="3" ht="17" thickBot="true" x14ac:dyDescent="0.25">
      <c r="F3" s="15"/>
      <c r="G3" s="15"/>
      <c r="H3" s="15"/>
      <c r="I3" s="15"/>
      <c r="J3" s="15"/>
      <c r="K3" s="15"/>
      <c r="L3" s="15"/>
      <c r="M3" s="15"/>
      <c r="N3" s="15"/>
      <c r="O3" s="15"/>
      <c r="P3" s="15"/>
      <c r="Q3" s="15"/>
      <c r="R3" s="15"/>
      <c r="S3" s="16"/>
      <c r="T3" s="16"/>
    </row>
    <row xmlns:x14ac="http://schemas.microsoft.com/office/spreadsheetml/2009/9/ac" r="4" ht="18" thickBot="true" x14ac:dyDescent="0.25">
      <c r="A4" s="191" t="str">
        <f>HLOOKUP(Introduction!$A$2,nametranslations,21,FALSE)</f>
        <v>Variable name</v>
      </c>
      <c r="B4" s="192"/>
      <c r="C4" s="78" t="str">
        <f>HLOOKUP(Introduction!$A$2,nametranslations,20,FALSE)</f>
        <v>Variable ID</v>
      </c>
      <c r="D4" s="108" t="str">
        <f>HLOOKUP(Introduction!$A$2,nametranslations,23,FALSE)</f>
        <v>Value</v>
      </c>
      <c r="E4" s="108" t="str">
        <f>HLOOKUP(Introduction!$A$2,nametranslations,24,FALSE)</f>
        <v>Units</v>
      </c>
      <c r="F4" s="108" t="str">
        <f>HLOOKUP(Introduction!$A$2,nametranslations,83,FALSE)</f>
        <v>Code</v>
      </c>
      <c r="G4" s="78" t="str">
        <f>HLOOKUP(Introduction!$A$2,nametranslations,31,FALSE)</f>
        <v>Notes</v>
      </c>
      <c r="H4" s="16"/>
      <c r="I4" s="16"/>
      <c r="J4" s="16"/>
      <c r="K4" s="16"/>
      <c r="L4" s="16"/>
      <c r="M4" s="16"/>
      <c r="N4" s="16"/>
      <c r="O4" s="16"/>
      <c r="P4" s="16"/>
      <c r="Q4" s="16"/>
      <c r="R4" s="16"/>
      <c r="S4" s="16"/>
      <c r="T4" s="16"/>
    </row>
    <row xmlns:x14ac="http://schemas.microsoft.com/office/spreadsheetml/2009/9/ac" r="5" x14ac:dyDescent="0.2">
      <c r="A5" s="66" t="str">
        <f>HLOOKUP(Introduction!$A$2,nametranslations,33,FALSE)</f>
        <v>Country/territory population</v>
      </c>
      <c r="B5" s="67"/>
      <c r="C5" s="100" t="s">
        <v>57</v>
      </c>
      <c r="D5" s="152" cm="1">
        <f t="array" ref="D5">v1_</f>
        <v>0</v>
      </c>
      <c r="E5" s="68" t="str">
        <f>HLOOKUP(Introduction!$A$2,nametranslations,76,FALSE)</f>
        <v>Population (1000s)</v>
      </c>
      <c r="F5" s="68">
        <f>'_Data inputs (all)'!H2</f>
        <v>0</v>
      </c>
      <c r="G5" s="69"/>
      <c r="H5" s="16"/>
      <c r="I5" s="16"/>
      <c r="J5" s="16"/>
      <c r="K5" s="16"/>
      <c r="L5" s="16"/>
      <c r="M5" s="16"/>
      <c r="N5" s="16"/>
      <c r="O5" s="16"/>
      <c r="P5" s="16"/>
      <c r="Q5" s="16"/>
      <c r="R5" s="16"/>
      <c r="S5" s="16"/>
      <c r="T5" s="16"/>
    </row>
    <row xmlns:x14ac="http://schemas.microsoft.com/office/spreadsheetml/2009/9/ac" r="6" x14ac:dyDescent="0.2">
      <c r="A6" s="70" t="str">
        <f>HLOOKUP(Introduction!$A$2,nametranslations,87,FALSE)</f>
        <v>Location of drinking water supply (proportion of the population)</v>
      </c>
      <c r="B6" s="71"/>
      <c r="C6" s="72"/>
      <c r="D6" s="72"/>
      <c r="E6" s="72"/>
      <c r="F6" s="72"/>
      <c r="G6" s="73"/>
    </row>
    <row xmlns:x14ac="http://schemas.microsoft.com/office/spreadsheetml/2009/9/ac" r="7" x14ac:dyDescent="0.2">
      <c r="A7" s="115"/>
      <c r="B7" s="71" t="str">
        <f>HLOOKUP(Introduction!$A$2,nametranslations,88,FALSE)</f>
        <v>On-premises*</v>
      </c>
      <c r="C7" s="101" t="s">
        <v>58</v>
      </c>
      <c r="D7" s="153">
        <f>v2_</f>
        <v>0</v>
      </c>
      <c r="E7" s="72" t="str">
        <f>HLOOKUP(Introduction!$A$2,nametranslations,73,FALSE)</f>
        <v>Percentage</v>
      </c>
      <c r="F7" s="72">
        <f>'_Data inputs (all)'!H3</f>
        <v>0</v>
      </c>
      <c r="G7" s="73"/>
    </row>
    <row xmlns:x14ac="http://schemas.microsoft.com/office/spreadsheetml/2009/9/ac" r="8" x14ac:dyDescent="0.2">
      <c r="A8" s="116"/>
      <c r="B8" s="71" t="str">
        <f>HLOOKUP(Introduction!$A$2,nametranslations,89,FALSE)</f>
        <v>Off-premises*</v>
      </c>
      <c r="C8" s="101" t="s">
        <v>59</v>
      </c>
      <c r="D8" s="153">
        <f>v3_</f>
        <v>0</v>
      </c>
      <c r="E8" s="72" t="str">
        <f>HLOOKUP(Introduction!$A$2,nametranslations,73,FALSE)</f>
        <v>Percentage</v>
      </c>
      <c r="F8" s="72">
        <f>'_Data inputs (all)'!H4</f>
        <v>0</v>
      </c>
      <c r="G8" s="73"/>
    </row>
    <row xmlns:x14ac="http://schemas.microsoft.com/office/spreadsheetml/2009/9/ac" r="9" x14ac:dyDescent="0.2">
      <c r="A9" s="70" t="str">
        <f>HLOOKUP(Introduction!$A$2,nametranslations,90,FALSE)</f>
        <v>Household water used</v>
      </c>
      <c r="B9" s="71"/>
      <c r="C9" s="72"/>
      <c r="D9" s="72"/>
      <c r="E9" s="72"/>
      <c r="F9" s="72"/>
      <c r="G9" s="73"/>
    </row>
    <row xmlns:x14ac="http://schemas.microsoft.com/office/spreadsheetml/2009/9/ac" r="10" x14ac:dyDescent="0.2">
      <c r="A10" s="115"/>
      <c r="B10" s="71" t="str">
        <f>HLOOKUP(Introduction!$A$2,nametranslations,91,FALSE)</f>
        <v>On-premises* (average)</v>
      </c>
      <c r="C10" s="101" t="s">
        <v>60</v>
      </c>
      <c r="D10" s="154">
        <f>v4_</f>
        <v>0</v>
      </c>
      <c r="E10" s="72" t="str">
        <f>HLOOKUP(Introduction!$A$2,nametranslations,75,FALSE)</f>
        <v>Litres/person/day</v>
      </c>
      <c r="F10" s="72">
        <f>'_Data inputs (all)'!H5</f>
        <v>0</v>
      </c>
      <c r="G10" s="73"/>
    </row>
    <row xmlns:x14ac="http://schemas.microsoft.com/office/spreadsheetml/2009/9/ac" r="11" x14ac:dyDescent="0.2">
      <c r="A11" s="117"/>
      <c r="B11" s="71" t="str">
        <f>HLOOKUP(Introduction!$A$2,nametranslations,92,FALSE)</f>
        <v>Off-premises* (average)</v>
      </c>
      <c r="C11" s="101" t="s">
        <v>61</v>
      </c>
      <c r="D11" s="154">
        <f>v5_</f>
        <v>0</v>
      </c>
      <c r="E11" s="72" t="str">
        <f>HLOOKUP(Introduction!$A$2,nametranslations,75,FALSE)</f>
        <v>Litres/person/day</v>
      </c>
      <c r="F11" s="72">
        <f>'_Data inputs (all)'!H6</f>
        <v>0</v>
      </c>
      <c r="G11" s="73"/>
    </row>
    <row xmlns:x14ac="http://schemas.microsoft.com/office/spreadsheetml/2009/9/ac" r="12" x14ac:dyDescent="0.2">
      <c r="A12" s="116"/>
      <c r="B12" s="71" t="str">
        <f>HLOOKUP(Introduction!$A$2,nametranslations,38,FALSE)</f>
        <v>Volume of household water used</v>
      </c>
      <c r="C12" s="101" t="s">
        <v>62</v>
      </c>
      <c r="D12" s="155">
        <f>D5*D7/100*D10*365/1000000 +D5*D8/100*D11*365/1000000</f>
        <v>0</v>
      </c>
      <c r="E12" s="72" t="str">
        <f>HLOOKUP(Introduction!$A$2,nametranslations,74,FALSE)</f>
        <v>Million m3/year</v>
      </c>
      <c r="F12" s="72">
        <f>'_Data inputs (all)'!H7</f>
        <v>0</v>
      </c>
      <c r="G12" s="74" t="s">
        <v>91</v>
      </c>
    </row>
    <row xmlns:x14ac="http://schemas.microsoft.com/office/spreadsheetml/2009/9/ac" r="13" x14ac:dyDescent="0.2">
      <c r="A13" s="70" t="str">
        <f>HLOOKUP(Introduction!$A$2,nametranslations,93,FALSE)</f>
        <v>Household wastewater generated</v>
      </c>
      <c r="B13" s="71"/>
      <c r="C13" s="72"/>
      <c r="D13" s="72"/>
      <c r="E13" s="72"/>
      <c r="F13" s="72"/>
      <c r="G13" s="73"/>
    </row>
    <row xmlns:x14ac="http://schemas.microsoft.com/office/spreadsheetml/2009/9/ac" r="14" x14ac:dyDescent="0.2">
      <c r="A14" s="115"/>
      <c r="B14" s="71" t="str">
        <f>HLOOKUP(Introduction!$A$2,nametranslations,159,FALSE)</f>
        <v>Proportion of household water use converted into wastewater generated</v>
      </c>
      <c r="C14" s="101" t="s">
        <v>63</v>
      </c>
      <c r="D14" s="153">
        <f>v7_</f>
        <v>0</v>
      </c>
      <c r="E14" s="72" t="str">
        <f>HLOOKUP(Introduction!$A$2,nametranslations,73,FALSE)</f>
        <v>Percentage</v>
      </c>
      <c r="F14" s="72">
        <f>'_Data inputs (all)'!H8</f>
        <v>0</v>
      </c>
      <c r="G14" s="73"/>
    </row>
    <row xmlns:x14ac="http://schemas.microsoft.com/office/spreadsheetml/2009/9/ac" r="15" ht="17" thickBot="true" x14ac:dyDescent="0.25">
      <c r="A15" s="118"/>
      <c r="B15" s="75" t="str">
        <f>HLOOKUP(Introduction!$A$2,nametranslations,160,FALSE)</f>
        <v>Volume of household wastewater generated</v>
      </c>
      <c r="C15" s="102" t="s">
        <v>64</v>
      </c>
      <c r="D15" s="156">
        <f>IF('Data inputs (all)'!H9="R",v8_,D12*D14/100)</f>
        <v>0</v>
      </c>
      <c r="E15" s="76" t="str">
        <f>HLOOKUP(Introduction!$A$2,nametranslations,74,FALSE)</f>
        <v>Million m3/year</v>
      </c>
      <c r="F15" s="76">
        <f>'_Data inputs (all)'!H9</f>
        <v>0</v>
      </c>
      <c r="G15" s="77" t="str">
        <f>IF('B- Generated by facility type'!G5="R",HLOOKUP(Introduction!$A$2,nametranslations,95,FALSE),IF(F15="R",'Data inputs (all)'!K9&amp;IF('Data inputs (all)'!M9="","", "; " &amp; 'Data inputs (all)'!M9),"= [6] x [7]"))</f>
        <v>= [6] x [7]</v>
      </c>
    </row>
    <row xmlns:x14ac="http://schemas.microsoft.com/office/spreadsheetml/2009/9/ac" r="17" x14ac:dyDescent="0.2">
      <c r="A17" s="8" t="str">
        <f>HLOOKUP(Introduction!$A$2,nametranslations,77,FALSE)</f>
        <v>Notes:</v>
      </c>
      <c r="B17" s="15" t="str">
        <f>HLOOKUP(Introduction!$A$2,nametranslations,78,FALSE)</f>
        <v>[variable numbers shown in square brackets - see links to the 'Data inputs (all)' worksheet for additional details]</v>
      </c>
    </row>
    <row xmlns:x14ac="http://schemas.microsoft.com/office/spreadsheetml/2009/9/ac" r="18" x14ac:dyDescent="0.2">
      <c r="A18" s="106"/>
      <c r="B18" s="15" t="str">
        <f>HLOOKUP(Introduction!$A$2,nametranslations,79,FALSE)</f>
        <v>A - Assumption</v>
      </c>
      <c r="C18" s="6"/>
      <c r="D18" s="15"/>
      <c r="E18" s="15"/>
    </row>
    <row xmlns:x14ac="http://schemas.microsoft.com/office/spreadsheetml/2009/9/ac" r="19" x14ac:dyDescent="0.2">
      <c r="B19" s="15" t="str">
        <f>HLOOKUP(Introduction!$A$2,nametranslations,80,FALSE)</f>
        <v>C - Internally calculated value</v>
      </c>
      <c r="C19" s="6"/>
    </row>
    <row xmlns:x14ac="http://schemas.microsoft.com/office/spreadsheetml/2009/9/ac" r="20" x14ac:dyDescent="0.2">
      <c r="B20" s="15" t="str">
        <f>HLOOKUP(Introduction!$A$2,nametranslations,81,FALSE)</f>
        <v>E - Estimated value based on official national statistics</v>
      </c>
      <c r="C20" s="6"/>
      <c r="D20" s="15"/>
      <c r="E20" s="15"/>
    </row>
    <row xmlns:x14ac="http://schemas.microsoft.com/office/spreadsheetml/2009/9/ac" r="21" x14ac:dyDescent="0.2">
      <c r="B21" s="15" t="str">
        <f>HLOOKUP(Introduction!$A$2,nametranslations,82,FALSE)</f>
        <v>R - Reported value sourced from official national statistics</v>
      </c>
      <c r="C21" s="6"/>
      <c r="D21" s="15"/>
      <c r="E21" s="15"/>
    </row>
    <row xmlns:x14ac="http://schemas.microsoft.com/office/spreadsheetml/2009/9/ac" r="22" x14ac:dyDescent="0.2">
      <c r="B22" s="15" t="str">
        <f>HLOOKUP(Introduction!$A$2,nametranslations,94,FALSE)</f>
        <v>* - On and off -premises referring to the location of the primary drinking water supply</v>
      </c>
      <c r="C22" s="6"/>
      <c r="D22" s="15"/>
      <c r="E22" s="15"/>
    </row>
    <row xmlns:x14ac="http://schemas.microsoft.com/office/spreadsheetml/2009/9/ac" r="25" x14ac:dyDescent="0.2">
      <c r="G25" s="6"/>
    </row>
    <row xmlns:x14ac="http://schemas.microsoft.com/office/spreadsheetml/2009/9/ac" r="26" x14ac:dyDescent="0.2">
      <c r="G26" s="6"/>
    </row>
    <row xmlns:x14ac="http://schemas.microsoft.com/office/spreadsheetml/2009/9/ac" r="27" x14ac:dyDescent="0.2">
      <c r="G27" s="6"/>
    </row>
    <row xmlns:x14ac="http://schemas.microsoft.com/office/spreadsheetml/2009/9/ac" r="28" x14ac:dyDescent="0.2">
      <c r="G28" s="6"/>
    </row>
    <row xmlns:x14ac="http://schemas.microsoft.com/office/spreadsheetml/2009/9/ac" r="29" x14ac:dyDescent="0.2">
      <c r="G29" s="6"/>
    </row>
    <row xmlns:x14ac="http://schemas.microsoft.com/office/spreadsheetml/2009/9/ac" r="30" x14ac:dyDescent="0.2">
      <c r="G30" s="6"/>
    </row>
    <row xmlns:x14ac="http://schemas.microsoft.com/office/spreadsheetml/2009/9/ac" r="31" x14ac:dyDescent="0.2">
      <c r="G31" s="6"/>
    </row>
    <row xmlns:x14ac="http://schemas.microsoft.com/office/spreadsheetml/2009/9/ac" r="32" x14ac:dyDescent="0.2">
      <c r="G32" s="6"/>
    </row>
    <row xmlns:x14ac="http://schemas.microsoft.com/office/spreadsheetml/2009/9/ac" r="33" x14ac:dyDescent="0.2">
      <c r="G33" s="6"/>
    </row>
    <row xmlns:x14ac="http://schemas.microsoft.com/office/spreadsheetml/2009/9/ac" r="34" x14ac:dyDescent="0.2">
      <c r="G34" s="6"/>
    </row>
    <row xmlns:x14ac="http://schemas.microsoft.com/office/spreadsheetml/2009/9/ac" r="35" x14ac:dyDescent="0.2">
      <c r="G35" s="6"/>
    </row>
    <row xmlns:x14ac="http://schemas.microsoft.com/office/spreadsheetml/2009/9/ac" r="36" x14ac:dyDescent="0.2">
      <c r="G36" s="6"/>
    </row>
    <row xmlns:x14ac="http://schemas.microsoft.com/office/spreadsheetml/2009/9/ac" r="37" x14ac:dyDescent="0.2">
      <c r="G37" s="6"/>
    </row>
    <row xmlns:x14ac="http://schemas.microsoft.com/office/spreadsheetml/2009/9/ac" r="38" x14ac:dyDescent="0.2">
      <c r="G38" s="6"/>
    </row>
    <row xmlns:x14ac="http://schemas.microsoft.com/office/spreadsheetml/2009/9/ac" r="39" x14ac:dyDescent="0.2">
      <c r="G39" s="6"/>
    </row>
    <row xmlns:x14ac="http://schemas.microsoft.com/office/spreadsheetml/2009/9/ac" r="40" x14ac:dyDescent="0.2">
      <c r="G40" s="6"/>
    </row>
    <row xmlns:x14ac="http://schemas.microsoft.com/office/spreadsheetml/2009/9/ac" r="41" x14ac:dyDescent="0.2">
      <c r="G41" s="6"/>
    </row>
    <row xmlns:x14ac="http://schemas.microsoft.com/office/spreadsheetml/2009/9/ac" r="42" x14ac:dyDescent="0.2">
      <c r="G42" s="6"/>
    </row>
    <row xmlns:x14ac="http://schemas.microsoft.com/office/spreadsheetml/2009/9/ac" r="43" x14ac:dyDescent="0.2">
      <c r="G43" s="6"/>
    </row>
    <row xmlns:x14ac="http://schemas.microsoft.com/office/spreadsheetml/2009/9/ac" r="44" x14ac:dyDescent="0.2">
      <c r="G44" s="6"/>
    </row>
    <row xmlns:x14ac="http://schemas.microsoft.com/office/spreadsheetml/2009/9/ac" r="45" x14ac:dyDescent="0.2">
      <c r="G45" s="6"/>
    </row>
    <row xmlns:x14ac="http://schemas.microsoft.com/office/spreadsheetml/2009/9/ac" r="46" x14ac:dyDescent="0.2">
      <c r="G46" s="6"/>
    </row>
    <row xmlns:x14ac="http://schemas.microsoft.com/office/spreadsheetml/2009/9/ac" r="47" x14ac:dyDescent="0.2">
      <c r="G47" s="6"/>
    </row>
    <row xmlns:x14ac="http://schemas.microsoft.com/office/spreadsheetml/2009/9/ac" r="48" x14ac:dyDescent="0.2">
      <c r="G48" s="6"/>
    </row>
    <row xmlns:x14ac="http://schemas.microsoft.com/office/spreadsheetml/2009/9/ac" r="49" x14ac:dyDescent="0.2">
      <c r="G49" s="6"/>
    </row>
    <row xmlns:x14ac="http://schemas.microsoft.com/office/spreadsheetml/2009/9/ac" r="50" x14ac:dyDescent="0.2">
      <c r="G50" s="6"/>
    </row>
    <row xmlns:x14ac="http://schemas.microsoft.com/office/spreadsheetml/2009/9/ac" r="51" x14ac:dyDescent="0.2">
      <c r="G51" s="6"/>
    </row>
    <row xmlns:x14ac="http://schemas.microsoft.com/office/spreadsheetml/2009/9/ac" r="52" x14ac:dyDescent="0.2">
      <c r="G52" s="6"/>
    </row>
    <row xmlns:x14ac="http://schemas.microsoft.com/office/spreadsheetml/2009/9/ac" r="53" x14ac:dyDescent="0.2">
      <c r="G53" s="6"/>
    </row>
    <row xmlns:x14ac="http://schemas.microsoft.com/office/spreadsheetml/2009/9/ac" r="54" x14ac:dyDescent="0.2">
      <c r="G54" s="6"/>
    </row>
    <row xmlns:x14ac="http://schemas.microsoft.com/office/spreadsheetml/2009/9/ac" r="55" x14ac:dyDescent="0.2">
      <c r="G55" s="6"/>
    </row>
    <row xmlns:x14ac="http://schemas.microsoft.com/office/spreadsheetml/2009/9/ac" r="56" x14ac:dyDescent="0.2">
      <c r="G56" s="6"/>
    </row>
    <row xmlns:x14ac="http://schemas.microsoft.com/office/spreadsheetml/2009/9/ac" r="57" x14ac:dyDescent="0.2">
      <c r="G57" s="6"/>
    </row>
    <row xmlns:x14ac="http://schemas.microsoft.com/office/spreadsheetml/2009/9/ac" r="58" x14ac:dyDescent="0.2">
      <c r="G58" s="6"/>
    </row>
    <row xmlns:x14ac="http://schemas.microsoft.com/office/spreadsheetml/2009/9/ac" r="59" x14ac:dyDescent="0.2">
      <c r="G59" s="6"/>
    </row>
    <row xmlns:x14ac="http://schemas.microsoft.com/office/spreadsheetml/2009/9/ac" r="60" x14ac:dyDescent="0.2">
      <c r="G60" s="6"/>
    </row>
    <row xmlns:x14ac="http://schemas.microsoft.com/office/spreadsheetml/2009/9/ac" r="61" x14ac:dyDescent="0.2">
      <c r="G61" s="6"/>
    </row>
    <row xmlns:x14ac="http://schemas.microsoft.com/office/spreadsheetml/2009/9/ac" r="62" x14ac:dyDescent="0.2">
      <c r="G62" s="6"/>
    </row>
    <row xmlns:x14ac="http://schemas.microsoft.com/office/spreadsheetml/2009/9/ac" r="63" x14ac:dyDescent="0.2">
      <c r="G63" s="6"/>
    </row>
    <row xmlns:x14ac="http://schemas.microsoft.com/office/spreadsheetml/2009/9/ac" r="64" x14ac:dyDescent="0.2">
      <c r="G64" s="6"/>
    </row>
  </sheetData>
  <sheetProtection sheet="true" objects="true" scenarios="true"/>
  <mergeCells count="2">
    <mergeCell ref="A4:B4"/>
    <mergeCell ref="A2:G2"/>
  </mergeCells>
  <conditionalFormatting sqref="A5:G14">
    <cfRule type="expression" dxfId="3" priority="24" stopIfTrue="true">
      <formula>IF($F$15="R","TRUE",IF(v99_="R","TRUE","FALSE"))</formula>
    </cfRule>
  </conditionalFormatting>
  <conditionalFormatting sqref="C4:F4">
    <cfRule type="expression" dxfId="2" priority="1">
      <formula>IF($H$16="R","TRUE",IF(v99_="R","TRUE","FALSE"))</formula>
    </cfRule>
  </conditionalFormatting>
  <conditionalFormatting sqref="C4:G4">
    <cfRule type="expression" dxfId="1" priority="3">
      <formula>IF($H$16="R","TRUE","FALSE")</formula>
    </cfRule>
    <cfRule type="expression" dxfId="0" priority="4">
      <formula>IF(v99_="R","TRUE","FALSE")</formula>
    </cfRule>
  </conditionalFormatting>
  <hyperlinks>
    <hyperlink ref="C5" location="'Data inputs (all)'!C2" display="[1]"/>
    <hyperlink ref="C7" location="'Data inputs (all)'!C3" display="[2]"/>
    <hyperlink ref="C8" location="'Data inputs (all)'!C4" display="[3]"/>
    <hyperlink ref="C10" location="'Data inputs (all)'!C5" display="[4]"/>
    <hyperlink ref="C11" location="'Data inputs (all)'!C6" display="[5]"/>
    <hyperlink ref="C12" location="'Data inputs (all)'!C7" display="[6]"/>
    <hyperlink ref="C14" location="'Data inputs (all)'!C8" display="[7]"/>
    <hyperlink ref="C15" location="'Data inputs (all)'!C9" display="[8]"/>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true"/>
  </sheetPr>
  <dimension ref="A1:X65"/>
  <sheetViews>
    <sheetView zoomScaleNormal="100" workbookViewId="0"/>
  </sheetViews>
  <sheetFormatPr xmlns:x14ac="http://schemas.microsoft.com/office/spreadsheetml/2009/9/ac" baseColWidth="10" defaultColWidth="8.7109375" defaultRowHeight="16" x14ac:dyDescent="0.2"/>
  <cols>
    <col min="1" max="1" width="26.28515625" customWidth="true"/>
    <col min="2" max="2" width="4" customWidth="true"/>
    <col min="3" max="3" width="12.5703125" customWidth="true"/>
    <col min="4" max="4" width="2.140625" bestFit="true" customWidth="true"/>
    <col min="5" max="5" width="3.5703125" customWidth="true"/>
    <col min="6" max="6" width="17.140625" customWidth="true"/>
    <col min="7" max="7" width="2.5703125" customWidth="true"/>
    <col min="8" max="8" width="9" customWidth="true"/>
    <col min="9" max="9" width="2.42578125" bestFit="true" customWidth="true"/>
    <col min="10" max="10" width="7.28515625" bestFit="true" customWidth="true"/>
    <col min="11" max="12" width="15.7109375" customWidth="true"/>
    <col min="13" max="13" width="21.28515625" customWidth="true"/>
    <col min="14" max="15" width="15.7109375" customWidth="true"/>
    <col min="16" max="16" width="10.7109375" customWidth="true"/>
  </cols>
  <sheetData>
    <row xmlns:x14ac="http://schemas.microsoft.com/office/spreadsheetml/2009/9/ac" r="1" ht="33" customHeight="true" x14ac:dyDescent="0.2">
      <c r="A1" s="33" t="e">
        <f>HLOOKUP(Introduction!$A$2,nametranslations,97,FALSE) &amp; " ("&amp;Introduction!C5 &amp;", " &amp;Introduction!C7 &amp; ")"</f>
        <v>#N/A</v>
      </c>
      <c r="B1" s="33"/>
      <c r="C1" s="33"/>
      <c r="D1" s="33"/>
      <c r="E1" s="33"/>
      <c r="F1" s="33"/>
      <c r="G1" s="33"/>
      <c r="H1" s="33"/>
      <c r="I1" s="33"/>
      <c r="J1" s="33"/>
      <c r="K1" s="33"/>
      <c r="L1" s="33"/>
      <c r="M1" s="33"/>
    </row>
    <row xmlns:x14ac="http://schemas.microsoft.com/office/spreadsheetml/2009/9/ac" r="2" ht="135" customHeight="true" thickBot="true" x14ac:dyDescent="0.25">
      <c r="A2" s="193" t="str">
        <f>HLOOKUP(Introduction!$A$2,nametranslations,98,FALSE)</f>
        <v>This worksheet presents data and calculations on the disaggregation of the total volume of household wastewater generated [8] from Part A by wastewater stream (classified by household sanitation facility type).  For some countries, the volumetric proportion of total household wastewater flow in each stream (column H) may differ from the population based proportion (column C) because the volumetric disaggregation (column F) accounts for the fact that households with sophisticated sanitation facilities (sewers and septic tanks) are more likely to also have their drinking water supply on the premises, and that water use and wastewater produced may be higher among those households with an on-premises supply.</v>
      </c>
      <c r="B2" s="193" t="str">
        <f>HLOOKUP(Introduction!$A$2,nametranslations,97,FALSE) &amp; "(" &amp; Introduction!D6 &amp;", 2020)"</f>
        <v>Part B: Estimation of household wastewater generated by stream (sanitation facility type)(, 2020)</v>
      </c>
      <c r="C2" s="193" t="str">
        <f>HLOOKUP(Introduction!$A$2,nametranslations,97,FALSE) &amp; "(" &amp; Introduction!E6 &amp;", 2020)"</f>
        <v>Part B: Estimation of household wastewater generated by stream (sanitation facility type)(, 2020)</v>
      </c>
      <c r="D2" s="193" t="str">
        <f>HLOOKUP(Introduction!$A$2,nametranslations,97,FALSE) &amp; "(" &amp; Introduction!F6 &amp;", 2020)"</f>
        <v>Part B: Estimation of household wastewater generated by stream (sanitation facility type)(, 2020)</v>
      </c>
      <c r="E2" s="193" t="str">
        <f>HLOOKUP(Introduction!$A$2,nametranslations,97,FALSE) &amp; "(" &amp; Introduction!G6 &amp;", 2020)"</f>
        <v>Part B: Estimation of household wastewater generated by stream (sanitation facility type)(, 2020)</v>
      </c>
      <c r="F2" s="193" t="str">
        <f>HLOOKUP(Introduction!$A$2,nametranslations,97,FALSE) &amp; "(" &amp; Introduction!H6 &amp;", 2020)"</f>
        <v>Part B: Estimation of household wastewater generated by stream (sanitation facility type)(, 2020)</v>
      </c>
      <c r="G2" s="193" t="str">
        <f>HLOOKUP(Introduction!$A$2,nametranslations,97,FALSE) &amp; "(" &amp; Introduction!I6 &amp;", 2020)"</f>
        <v>Part B: Estimation of household wastewater generated by stream (sanitation facility type)(, 2020)</v>
      </c>
      <c r="H2" s="193" t="str">
        <f>HLOOKUP(Introduction!$A$2,nametranslations,97,FALSE) &amp; "(" &amp; Introduction!J6 &amp;", 2020)"</f>
        <v>Part B: Estimation of household wastewater generated by stream (sanitation facility type)(, 2020)</v>
      </c>
      <c r="I2" s="193" t="str">
        <f>HLOOKUP(Introduction!$A$2,nametranslations,97,FALSE) &amp; "(" &amp; Introduction!K6 &amp;", 2020)"</f>
        <v>Part B: Estimation of household wastewater generated by stream (sanitation facility type)(, 2020)</v>
      </c>
      <c r="J2" s="193" t="str">
        <f>HLOOKUP(Introduction!$A$2,nametranslations,97,FALSE) &amp; "(" &amp; Introduction!L6 &amp;", 2020)"</f>
        <v>Part B: Estimation of household wastewater generated by stream (sanitation facility type)(, 2020)</v>
      </c>
      <c r="K2" s="193" t="str">
        <f>HLOOKUP(Introduction!$A$2,nametranslations,97,FALSE) &amp; "(" &amp; Introduction!M6 &amp;", 2020)"</f>
        <v>Part B: Estimation of household wastewater generated by stream (sanitation facility type)(, 2020)</v>
      </c>
      <c r="L2" s="193" t="str">
        <f>HLOOKUP(Introduction!$A$2,nametranslations,97,FALSE) &amp; "(" &amp; Introduction!N6 &amp;", 2020)"</f>
        <v>Part B: Estimation of household wastewater generated by stream (sanitation facility type)(, 2020)</v>
      </c>
      <c r="M2" s="193" t="str">
        <f>HLOOKUP(Introduction!$A$2,nametranslations,97,FALSE) &amp; "(" &amp; Introduction!O6 &amp;", 2020)"</f>
        <v>Part B: Estimation of household wastewater generated by stream (sanitation facility type)(, 2020)</v>
      </c>
      <c r="N2" s="64"/>
      <c r="O2" s="64"/>
      <c r="P2" s="64"/>
      <c r="Q2" s="64"/>
      <c r="R2" s="64"/>
      <c r="S2" s="64"/>
      <c r="T2" s="64"/>
      <c r="U2" s="64"/>
      <c r="V2" s="64"/>
      <c r="W2" s="64"/>
      <c r="X2" s="64"/>
    </row>
    <row xmlns:x14ac="http://schemas.microsoft.com/office/spreadsheetml/2009/9/ac" r="3" ht="51" customHeight="true" thickBot="true" x14ac:dyDescent="0.25">
      <c r="A3" s="198" t="str">
        <f>HLOOKUP(Introduction!$A$2,nametranslations,99,FALSE)</f>
        <v>Household sanitation facility coverage</v>
      </c>
      <c r="B3" s="199"/>
      <c r="C3" s="199"/>
      <c r="D3" s="200"/>
      <c r="E3" s="199" t="str">
        <f>HLOOKUP(Introduction!$A$2,nametranslations,100,FALSE)</f>
        <v>Household wastewater generated by sanitation facility type</v>
      </c>
      <c r="F3" s="199"/>
      <c r="G3" s="199"/>
      <c r="H3" s="199"/>
      <c r="I3" s="199"/>
      <c r="J3" s="200"/>
    </row>
    <row xmlns:x14ac="http://schemas.microsoft.com/office/spreadsheetml/2009/9/ac" r="4" ht="71.25" customHeight="true" x14ac:dyDescent="0.2">
      <c r="A4" s="107" t="str">
        <f>HLOOKUP(Introduction!$A$2,nametranslations,101,FALSE)</f>
        <v>Type of sanitation facility</v>
      </c>
      <c r="B4" s="195" t="str">
        <f>HLOOKUP(Introduction!$A$2,nametranslations,102,FALSE)</f>
        <v>Proportion of population
[%]</v>
      </c>
      <c r="C4" s="196" t="str">
        <f>HLOOKUP(Introduction!$A$2,nametranslations,101,FALSE)</f>
        <v>Type of sanitation facility</v>
      </c>
      <c r="D4" s="197" t="str">
        <f>HLOOKUP(Introduction!$A$2,nametranslations,101,FALSE)</f>
        <v>Type of sanitation facility</v>
      </c>
      <c r="E4" s="195" t="str">
        <f>HLOOKUP(Introduction!$A$2,nametranslations,103,FALSE)</f>
        <v>Volume 
[million m3/year]</v>
      </c>
      <c r="F4" s="196"/>
      <c r="G4" s="197"/>
      <c r="H4" s="195" t="str">
        <f>HLOOKUP(Introduction!$A$2,nametranslations,104,FALSE)</f>
        <v>Proportion of volume
[%]</v>
      </c>
      <c r="I4" s="196"/>
      <c r="J4" s="197"/>
    </row>
    <row xmlns:x14ac="http://schemas.microsoft.com/office/spreadsheetml/2009/9/ac" r="5" x14ac:dyDescent="0.2">
      <c r="A5" s="19" t="str">
        <f>HLOOKUP(Introduction!$A$2,nametranslations,105,FALSE)</f>
        <v>Stream 1: Sewers</v>
      </c>
      <c r="B5" s="121">
        <v>9</v>
      </c>
      <c r="C5" s="123">
        <f>v9_/100</f>
        <v>0</v>
      </c>
      <c r="D5" s="119">
        <f>'_Data inputs (all)'!H10</f>
        <v>0</v>
      </c>
      <c r="E5" s="125" t="s">
        <v>27</v>
      </c>
      <c r="F5" s="157">
        <f>_xlfn.SINGLE(IF($G$5="R",v14_,IF('A- Generated'!F15="R",v8_*C5,IF(C5&lt;='A- Generated'!D7/100,'A- Generated'!D5*'A- Generated'!D10*C5*'A- Generated'!D14/100,IF(C5&gt;'A- Generated'!D7/100,'A- Generated'!D5*'A- Generated'!D10*'A- Generated'!D7/100*'A- Generated'!D14/100+'A- Generated'!D5*'A- Generated'!D11*(C5-'A- Generated'!D7/100)*'A- Generated'!D14/100))/1000000*365)))</f>
        <v>0</v>
      </c>
      <c r="G5" s="28">
        <f>'_Data inputs (all)'!H15</f>
        <v>0</v>
      </c>
      <c r="H5" s="159" t="e">
        <f>F5/$F$10*100</f>
        <v>#DIV/0!</v>
      </c>
      <c r="I5" s="28" t="s">
        <v>5</v>
      </c>
      <c r="J5" s="29" t="s">
        <v>19</v>
      </c>
    </row>
    <row xmlns:x14ac="http://schemas.microsoft.com/office/spreadsheetml/2009/9/ac" r="6" x14ac:dyDescent="0.2">
      <c r="A6" s="19" t="str">
        <f>HLOOKUP(Introduction!$A$2,nametranslations,106,FALSE)</f>
        <v>Stream 2: Septic tanks</v>
      </c>
      <c r="B6" s="121">
        <v>10</v>
      </c>
      <c r="C6" s="123">
        <f>_xlfn.SINGLE(v10_)/100</f>
        <v>0</v>
      </c>
      <c r="D6" s="119">
        <f>'_Data inputs (all)'!H11</f>
        <v>0</v>
      </c>
      <c r="E6" s="125" t="s">
        <v>28</v>
      </c>
      <c r="F6" s="157">
        <f>IF($G$5="R",F5*C6/C5,IF('A- Generated'!F15="R",v8_*C6,IF(SUM(C5:C6)&lt;='A- Generated'!D7/100,'A- Generated'!D5*'A- Generated'!D10*C6*'A- Generated'!D14/100,IF(C5&gt;'A- Generated'!D7/100,'A- Generated'!D5*'A- Generated'!D11*C6*'A- Generated'!D14/100,'A- Generated'!D5*'A- Generated'!D10*SUM('A- Generated'!D7/100-C5)*'A- Generated'!D14/100+'A- Generated'!D5*'A- Generated'!D11*(C6+C5-'A- Generated'!D7/100)*'A- Generated'!D14/100))/1000000*365))</f>
        <v>0</v>
      </c>
      <c r="G6" s="28">
        <f>'_Data inputs (all)'!H16</f>
        <v>0</v>
      </c>
      <c r="H6" s="159" t="e">
        <f>F6/$F$10*100</f>
        <v>#DIV/0!</v>
      </c>
      <c r="I6" s="28" t="s">
        <v>5</v>
      </c>
      <c r="J6" s="29" t="s">
        <v>20</v>
      </c>
    </row>
    <row xmlns:x14ac="http://schemas.microsoft.com/office/spreadsheetml/2009/9/ac" r="7" x14ac:dyDescent="0.2">
      <c r="A7" s="17" t="str">
        <f>HLOOKUP(Introduction!$A$2,nametranslations,107,FALSE)</f>
        <v>Other improved facilities</v>
      </c>
      <c r="B7" s="121" t="s">
        <v>65</v>
      </c>
      <c r="C7" s="123">
        <f>_xlfn.SINGLE(v11_)/100</f>
        <v>0</v>
      </c>
      <c r="D7" s="119">
        <f>'_Data inputs (all)'!H12</f>
        <v>0</v>
      </c>
      <c r="E7" s="125" t="s">
        <v>68</v>
      </c>
      <c r="F7" s="157">
        <f>IF($G$5="R",F5*C7/C5,IF('A- Generated'!F15="R",v8_*C7,IF(SUM(C5:C7)&lt;='A- Generated'!D7/100,'A- Generated'!D5*'A- Generated'!D10*C7*'A- Generated'!D14/100,IF(SUM(C5:C6)&gt;'A- Generated'!D7/100,'A- Generated'!D5*'A- Generated'!D11*C7*'A- Generated'!D14/100,'A- Generated'!D5*'A- Generated'!D10*SUM('A- Generated'!D7/100-C5-C6)*'A- Generated'!D14/100+'A- Generated'!D5*'A- Generated'!D11*(C7+C6+C5-'A- Generated'!D7/100)*'A- Generated'!D14/100))/1000000*365))</f>
        <v>0</v>
      </c>
      <c r="G7" s="28">
        <f>'_Data inputs (all)'!H17</f>
        <v>0</v>
      </c>
      <c r="H7" s="159" t="e">
        <f>F7/$F$10*100</f>
        <v>#DIV/0!</v>
      </c>
      <c r="I7" s="28" t="s">
        <v>5</v>
      </c>
      <c r="J7" s="29" t="s">
        <v>21</v>
      </c>
    </row>
    <row xmlns:x14ac="http://schemas.microsoft.com/office/spreadsheetml/2009/9/ac" r="8" x14ac:dyDescent="0.2">
      <c r="A8" s="17" t="str">
        <f>HLOOKUP(Introduction!$A$2,nametranslations,108,FALSE)</f>
        <v>Unimproved facilities</v>
      </c>
      <c r="B8" s="121" t="s">
        <v>66</v>
      </c>
      <c r="C8" s="123">
        <f>_xlfn.SINGLE(v12_)/100</f>
        <v>0</v>
      </c>
      <c r="D8" s="119">
        <f>'_Data inputs (all)'!H13</f>
        <v>0</v>
      </c>
      <c r="E8" s="125" t="s">
        <v>69</v>
      </c>
      <c r="F8" s="157">
        <f>IF($G$5="R",F5*C8/C5,IF('A- Generated'!F15="R",v8_*C8,IF(SUM(C5:C8)&lt;='A- Generated'!D7/100,'A- Generated'!D5*'A- Generated'!D10*C8*'A- Generated'!D14/100,IF(SUM(C5:C7)&gt;'A- Generated'!D7/100,'A- Generated'!D5*'A- Generated'!D11*C8*'A- Generated'!D14/100,'A- Generated'!D5*'A- Generated'!D10*SUM('A- Generated'!D7/100-C5-C6-C7)*'A- Generated'!D14/100+'A- Generated'!D5*'A- Generated'!D11*(C8+C7+C6+C5-'A- Generated'!D7/100)*'A- Generated'!D14/100))/1000000*365))</f>
        <v>0</v>
      </c>
      <c r="G8" s="28">
        <f>'_Data inputs (all)'!H18</f>
        <v>0</v>
      </c>
      <c r="H8" s="159" t="e">
        <f>F8/$F$10*100</f>
        <v>#DIV/0!</v>
      </c>
      <c r="I8" s="28" t="s">
        <v>5</v>
      </c>
      <c r="J8" s="29" t="s">
        <v>22</v>
      </c>
    </row>
    <row xmlns:x14ac="http://schemas.microsoft.com/office/spreadsheetml/2009/9/ac" r="9" ht="17" thickBot="true" x14ac:dyDescent="0.25">
      <c r="A9" s="18" t="str">
        <f>HLOOKUP(Introduction!$A$2,nametranslations,109,FALSE)</f>
        <v>Open defecation</v>
      </c>
      <c r="B9" s="122" t="s">
        <v>67</v>
      </c>
      <c r="C9" s="124">
        <f>_xlfn.SINGLE(v13_)/100</f>
        <v>0</v>
      </c>
      <c r="D9" s="120">
        <f>'_Data inputs (all)'!H14</f>
        <v>0</v>
      </c>
      <c r="E9" s="125" t="s">
        <v>70</v>
      </c>
      <c r="F9" s="157">
        <f>IF($G$5="R",F5*C9/C5,IF('A- Generated'!F15="R",v8_*C9,IF(SUM(C5:C9)&lt;='A- Generated'!D7/100,'A- Generated'!D5*'A- Generated'!D10*C9*'A- Generated'!D14/100,IF(SUM(C5:C8)&gt;'A- Generated'!D7/100,'A- Generated'!D5*'A- Generated'!D11*C9*'A- Generated'!D14/100,'A- Generated'!D5*'A- Generated'!D10*SUM('A- Generated'!D7/100-C5-C6-C7-C8)*'A- Generated'!D14/100+'A- Generated'!D5*'A- Generated'!D11*(C9+C8+C7+C6+C5-'A- Generated'!D7/100)*'A- Generated'!D14/100))/1000000*365))</f>
        <v>0</v>
      </c>
      <c r="G9" s="28">
        <f>'_Data inputs (all)'!H19</f>
        <v>0</v>
      </c>
      <c r="H9" s="159" t="e">
        <f>F9/$F$10*100</f>
        <v>#DIV/0!</v>
      </c>
      <c r="I9" s="28" t="s">
        <v>5</v>
      </c>
      <c r="J9" s="30" t="s">
        <v>23</v>
      </c>
    </row>
    <row xmlns:x14ac="http://schemas.microsoft.com/office/spreadsheetml/2009/9/ac" r="10" ht="17" thickBot="true" x14ac:dyDescent="0.25">
      <c r="A10" s="9"/>
      <c r="C10" s="9"/>
      <c r="D10" s="10" t="str">
        <f>HLOOKUP(Introduction!$A$2,nametranslations,182,FALSE)</f>
        <v>Total:</v>
      </c>
      <c r="E10" s="126" t="s">
        <v>64</v>
      </c>
      <c r="F10" s="158">
        <f>SUM(F5:F9)</f>
        <v>0</v>
      </c>
      <c r="G10" s="31">
        <f>'_Data inputs (all)'!H9</f>
        <v>0</v>
      </c>
      <c r="H10" s="160" t="e">
        <f>SUM(H5:H9)</f>
        <v>#DIV/0!</v>
      </c>
      <c r="I10" s="32" t="s">
        <v>5</v>
      </c>
    </row>
    <row xmlns:x14ac="http://schemas.microsoft.com/office/spreadsheetml/2009/9/ac" r="11" x14ac:dyDescent="0.2">
      <c r="F11" s="169"/>
    </row>
    <row xmlns:x14ac="http://schemas.microsoft.com/office/spreadsheetml/2009/9/ac" r="12" x14ac:dyDescent="0.2">
      <c r="A12" s="6" t="str">
        <f>HLOOKUP(Introduction!$A$2,nametranslations,110,FALSE)</f>
        <v>Data requirements for a country estimate:</v>
      </c>
    </row>
    <row xmlns:x14ac="http://schemas.microsoft.com/office/spreadsheetml/2009/9/ac" r="13" x14ac:dyDescent="0.2">
      <c r="A13" s="194" t="str">
        <f>IF(F5&gt;=F6,HLOOKUP(Introduction!$A$2,nametranslations,111,FALSE) &amp; " " &amp; HLOOKUP(Introduction!$A$2,nametranslations,112,FALSE),HLOOKUP(Introduction!$A$2,nametranslations,113,FALSE) &amp; " " &amp; HLOOKUP(Introduction!$A$2,nametranslations,114,FALSE))</f>
        <v>More wastewater was generated by households with sewer connections [14] than those with septic tank connections [15].  Accordingly, data on sewer wastewater treatment plant performance [20]/[21] are needed to produce an estimate of safely treated wastewater.</v>
      </c>
      <c r="B13" s="194" t="str">
        <f>HLOOKUP(Introduction!$A$2,nametranslations,110,FALSE)</f>
        <v>Data requirements for a country estimate:</v>
      </c>
      <c r="C13" s="194" t="str">
        <f>HLOOKUP(Introduction!$A$2,nametranslations,110,FALSE)</f>
        <v>Data requirements for a country estimate:</v>
      </c>
      <c r="D13" s="194" t="str">
        <f>HLOOKUP(Introduction!$A$2,nametranslations,110,FALSE)</f>
        <v>Data requirements for a country estimate:</v>
      </c>
      <c r="E13" s="194" t="str">
        <f>HLOOKUP(Introduction!$A$2,nametranslations,110,FALSE)</f>
        <v>Data requirements for a country estimate:</v>
      </c>
      <c r="F13" s="194" t="str">
        <f>HLOOKUP(Introduction!$A$2,nametranslations,110,FALSE)</f>
        <v>Data requirements for a country estimate:</v>
      </c>
      <c r="G13" s="194" t="str">
        <f>HLOOKUP(Introduction!$A$2,nametranslations,110,FALSE)</f>
        <v>Data requirements for a country estimate:</v>
      </c>
      <c r="H13" s="194" t="str">
        <f>HLOOKUP(Introduction!$A$2,nametranslations,110,FALSE)</f>
        <v>Data requirements for a country estimate:</v>
      </c>
      <c r="I13" s="194" t="str">
        <f>HLOOKUP(Introduction!$A$2,nametranslations,110,FALSE)</f>
        <v>Data requirements for a country estimate:</v>
      </c>
      <c r="J13" s="194" t="str">
        <f>HLOOKUP(Introduction!$A$2,nametranslations,110,FALSE)</f>
        <v>Data requirements for a country estimate:</v>
      </c>
      <c r="K13" s="194" t="str">
        <f>HLOOKUP(Introduction!$A$2,nametranslations,110,FALSE)</f>
        <v>Data requirements for a country estimate:</v>
      </c>
      <c r="L13" s="194" t="str">
        <f>HLOOKUP(Introduction!$A$2,nametranslations,110,FALSE)</f>
        <v>Data requirements for a country estimate:</v>
      </c>
      <c r="M13" s="194" t="str">
        <f>HLOOKUP(Introduction!$A$2,nametranslations,110,FALSE)</f>
        <v>Data requirements for a country estimate:</v>
      </c>
    </row>
    <row xmlns:x14ac="http://schemas.microsoft.com/office/spreadsheetml/2009/9/ac" r="14" x14ac:dyDescent="0.2">
      <c r="A14" s="194" t="str">
        <f>HLOOKUP(Introduction!$A$2,nametranslations,110,FALSE)</f>
        <v>Data requirements for a country estimate:</v>
      </c>
      <c r="B14" s="194" t="str">
        <f>HLOOKUP(Introduction!$A$2,nametranslations,110,FALSE)</f>
        <v>Data requirements for a country estimate:</v>
      </c>
      <c r="C14" s="194" t="str">
        <f>HLOOKUP(Introduction!$A$2,nametranslations,110,FALSE)</f>
        <v>Data requirements for a country estimate:</v>
      </c>
      <c r="D14" s="194" t="str">
        <f>HLOOKUP(Introduction!$A$2,nametranslations,110,FALSE)</f>
        <v>Data requirements for a country estimate:</v>
      </c>
      <c r="E14" s="194" t="str">
        <f>HLOOKUP(Introduction!$A$2,nametranslations,110,FALSE)</f>
        <v>Data requirements for a country estimate:</v>
      </c>
      <c r="F14" s="194" t="str">
        <f>HLOOKUP(Introduction!$A$2,nametranslations,110,FALSE)</f>
        <v>Data requirements for a country estimate:</v>
      </c>
      <c r="G14" s="194" t="str">
        <f>HLOOKUP(Introduction!$A$2,nametranslations,110,FALSE)</f>
        <v>Data requirements for a country estimate:</v>
      </c>
      <c r="H14" s="194" t="str">
        <f>HLOOKUP(Introduction!$A$2,nametranslations,110,FALSE)</f>
        <v>Data requirements for a country estimate:</v>
      </c>
      <c r="I14" s="194" t="str">
        <f>HLOOKUP(Introduction!$A$2,nametranslations,110,FALSE)</f>
        <v>Data requirements for a country estimate:</v>
      </c>
      <c r="J14" s="194" t="str">
        <f>HLOOKUP(Introduction!$A$2,nametranslations,110,FALSE)</f>
        <v>Data requirements for a country estimate:</v>
      </c>
      <c r="K14" s="194" t="str">
        <f>HLOOKUP(Introduction!$A$2,nametranslations,110,FALSE)</f>
        <v>Data requirements for a country estimate:</v>
      </c>
      <c r="L14" s="194" t="str">
        <f>HLOOKUP(Introduction!$A$2,nametranslations,110,FALSE)</f>
        <v>Data requirements for a country estimate:</v>
      </c>
      <c r="M14" s="194" t="str">
        <f>HLOOKUP(Introduction!$A$2,nametranslations,110,FALSE)</f>
        <v>Data requirements for a country estimate:</v>
      </c>
    </row>
    <row xmlns:x14ac="http://schemas.microsoft.com/office/spreadsheetml/2009/9/ac" r="17" x14ac:dyDescent="0.2">
      <c r="A17" s="8" t="str">
        <f>HLOOKUP(Introduction!$A$2,nametranslations,77,FALSE)</f>
        <v>Notes:</v>
      </c>
      <c r="B17" s="6"/>
      <c r="C17" s="15" t="str">
        <f>HLOOKUP(Introduction!$A$2,nametranslations,78,FALSE)</f>
        <v>[variable numbers shown in square brackets - see links to the 'Data inputs (all)' worksheet for additional details]</v>
      </c>
      <c r="E17" s="6"/>
      <c r="F17" s="6"/>
      <c r="G17" s="6"/>
      <c r="H17" s="6"/>
      <c r="I17" s="6"/>
      <c r="J17" s="6"/>
      <c r="K17" s="6"/>
      <c r="L17" s="6"/>
    </row>
    <row xmlns:x14ac="http://schemas.microsoft.com/office/spreadsheetml/2009/9/ac" r="18" x14ac:dyDescent="0.2">
      <c r="B18" s="6"/>
      <c r="C18" s="15" t="str">
        <f>HLOOKUP(Introduction!$A$2,nametranslations,79,FALSE)</f>
        <v>A - Assumption</v>
      </c>
      <c r="D18" s="6"/>
      <c r="E18" s="6"/>
      <c r="F18" s="6"/>
      <c r="G18" s="6"/>
      <c r="H18" s="6"/>
      <c r="I18" s="6"/>
      <c r="J18" s="6"/>
      <c r="K18" s="6"/>
      <c r="L18" s="6"/>
    </row>
    <row xmlns:x14ac="http://schemas.microsoft.com/office/spreadsheetml/2009/9/ac" r="19" x14ac:dyDescent="0.2">
      <c r="B19" s="6"/>
      <c r="C19" s="15" t="str">
        <f>HLOOKUP(Introduction!$A$2,nametranslations,80,FALSE)</f>
        <v>C - Internally calculated value</v>
      </c>
      <c r="D19" s="6"/>
      <c r="E19" s="6"/>
      <c r="F19" s="6"/>
      <c r="G19" s="6"/>
      <c r="H19" s="6"/>
      <c r="I19" s="6"/>
      <c r="J19" s="6"/>
      <c r="K19" s="6"/>
      <c r="L19" s="6"/>
    </row>
    <row xmlns:x14ac="http://schemas.microsoft.com/office/spreadsheetml/2009/9/ac" r="20" x14ac:dyDescent="0.2">
      <c r="C20" s="15" t="str">
        <f>HLOOKUP(Introduction!$A$2,nametranslations,81,FALSE)</f>
        <v>E - Estimated value based on official national statistics</v>
      </c>
      <c r="D20" s="6"/>
    </row>
    <row xmlns:x14ac="http://schemas.microsoft.com/office/spreadsheetml/2009/9/ac" r="21" x14ac:dyDescent="0.2">
      <c r="C21" s="15" t="str">
        <f>HLOOKUP(Introduction!$A$2,nametranslations,82,FALSE)</f>
        <v>R - Reported value sourced from official national statistics</v>
      </c>
      <c r="D21" s="6"/>
    </row>
    <row xmlns:x14ac="http://schemas.microsoft.com/office/spreadsheetml/2009/9/ac" r="22" x14ac:dyDescent="0.2">
      <c r="C22" s="7"/>
      <c r="D22" s="6"/>
    </row>
    <row xmlns:x14ac="http://schemas.microsoft.com/office/spreadsheetml/2009/9/ac" r="23" x14ac:dyDescent="0.2">
      <c r="C23" s="7"/>
      <c r="D23" s="26"/>
    </row>
    <row xmlns:x14ac="http://schemas.microsoft.com/office/spreadsheetml/2009/9/ac" r="26" x14ac:dyDescent="0.2">
      <c r="O26" s="6"/>
    </row>
    <row xmlns:x14ac="http://schemas.microsoft.com/office/spreadsheetml/2009/9/ac" r="27" x14ac:dyDescent="0.2">
      <c r="O27" s="6"/>
    </row>
    <row xmlns:x14ac="http://schemas.microsoft.com/office/spreadsheetml/2009/9/ac" r="28" x14ac:dyDescent="0.2">
      <c r="O28" s="6"/>
    </row>
    <row xmlns:x14ac="http://schemas.microsoft.com/office/spreadsheetml/2009/9/ac" r="29" x14ac:dyDescent="0.2">
      <c r="O29" s="6"/>
    </row>
    <row xmlns:x14ac="http://schemas.microsoft.com/office/spreadsheetml/2009/9/ac" r="30" x14ac:dyDescent="0.2">
      <c r="O30" s="6"/>
    </row>
    <row xmlns:x14ac="http://schemas.microsoft.com/office/spreadsheetml/2009/9/ac" r="31" x14ac:dyDescent="0.2">
      <c r="O31" s="6"/>
    </row>
    <row xmlns:x14ac="http://schemas.microsoft.com/office/spreadsheetml/2009/9/ac" r="32" x14ac:dyDescent="0.2">
      <c r="O32" s="6"/>
    </row>
    <row xmlns:x14ac="http://schemas.microsoft.com/office/spreadsheetml/2009/9/ac" r="33" x14ac:dyDescent="0.2">
      <c r="O33" s="6"/>
    </row>
    <row xmlns:x14ac="http://schemas.microsoft.com/office/spreadsheetml/2009/9/ac" r="34" x14ac:dyDescent="0.2">
      <c r="O34" s="6"/>
    </row>
    <row xmlns:x14ac="http://schemas.microsoft.com/office/spreadsheetml/2009/9/ac" r="35" x14ac:dyDescent="0.2">
      <c r="O35" s="6"/>
    </row>
    <row xmlns:x14ac="http://schemas.microsoft.com/office/spreadsheetml/2009/9/ac" r="36" x14ac:dyDescent="0.2">
      <c r="O36" s="6"/>
    </row>
    <row xmlns:x14ac="http://schemas.microsoft.com/office/spreadsheetml/2009/9/ac" r="37" x14ac:dyDescent="0.2">
      <c r="O37" s="6"/>
    </row>
    <row xmlns:x14ac="http://schemas.microsoft.com/office/spreadsheetml/2009/9/ac" r="38" x14ac:dyDescent="0.2">
      <c r="O38" s="6"/>
    </row>
    <row xmlns:x14ac="http://schemas.microsoft.com/office/spreadsheetml/2009/9/ac" r="39" x14ac:dyDescent="0.2">
      <c r="O39" s="6"/>
    </row>
    <row xmlns:x14ac="http://schemas.microsoft.com/office/spreadsheetml/2009/9/ac" r="40" x14ac:dyDescent="0.2">
      <c r="O40" s="6"/>
    </row>
    <row xmlns:x14ac="http://schemas.microsoft.com/office/spreadsheetml/2009/9/ac" r="41" x14ac:dyDescent="0.2">
      <c r="O41" s="6"/>
    </row>
    <row xmlns:x14ac="http://schemas.microsoft.com/office/spreadsheetml/2009/9/ac" r="42" x14ac:dyDescent="0.2">
      <c r="O42" s="6"/>
    </row>
    <row xmlns:x14ac="http://schemas.microsoft.com/office/spreadsheetml/2009/9/ac" r="43" x14ac:dyDescent="0.2">
      <c r="O43" s="6"/>
    </row>
    <row xmlns:x14ac="http://schemas.microsoft.com/office/spreadsheetml/2009/9/ac" r="44" x14ac:dyDescent="0.2">
      <c r="O44" s="6"/>
    </row>
    <row xmlns:x14ac="http://schemas.microsoft.com/office/spreadsheetml/2009/9/ac" r="45" x14ac:dyDescent="0.2">
      <c r="O45" s="6"/>
    </row>
    <row xmlns:x14ac="http://schemas.microsoft.com/office/spreadsheetml/2009/9/ac" r="46" x14ac:dyDescent="0.2">
      <c r="O46" s="6"/>
    </row>
    <row xmlns:x14ac="http://schemas.microsoft.com/office/spreadsheetml/2009/9/ac" r="47" x14ac:dyDescent="0.2">
      <c r="O47" s="6"/>
    </row>
    <row xmlns:x14ac="http://schemas.microsoft.com/office/spreadsheetml/2009/9/ac" r="48" x14ac:dyDescent="0.2">
      <c r="O48" s="6"/>
    </row>
    <row xmlns:x14ac="http://schemas.microsoft.com/office/spreadsheetml/2009/9/ac" r="49" x14ac:dyDescent="0.2">
      <c r="O49" s="6"/>
    </row>
    <row xmlns:x14ac="http://schemas.microsoft.com/office/spreadsheetml/2009/9/ac" r="50" x14ac:dyDescent="0.2">
      <c r="O50" s="6"/>
    </row>
    <row xmlns:x14ac="http://schemas.microsoft.com/office/spreadsheetml/2009/9/ac" r="51" x14ac:dyDescent="0.2">
      <c r="O51" s="6"/>
    </row>
    <row xmlns:x14ac="http://schemas.microsoft.com/office/spreadsheetml/2009/9/ac" r="52" x14ac:dyDescent="0.2">
      <c r="O52" s="6"/>
    </row>
    <row xmlns:x14ac="http://schemas.microsoft.com/office/spreadsheetml/2009/9/ac" r="53" x14ac:dyDescent="0.2">
      <c r="O53" s="6"/>
    </row>
    <row xmlns:x14ac="http://schemas.microsoft.com/office/spreadsheetml/2009/9/ac" r="54" x14ac:dyDescent="0.2">
      <c r="O54" s="6"/>
    </row>
    <row xmlns:x14ac="http://schemas.microsoft.com/office/spreadsheetml/2009/9/ac" r="55" x14ac:dyDescent="0.2">
      <c r="O55" s="6"/>
    </row>
    <row xmlns:x14ac="http://schemas.microsoft.com/office/spreadsheetml/2009/9/ac" r="56" x14ac:dyDescent="0.2">
      <c r="O56" s="6"/>
    </row>
    <row xmlns:x14ac="http://schemas.microsoft.com/office/spreadsheetml/2009/9/ac" r="57" x14ac:dyDescent="0.2">
      <c r="O57" s="6"/>
    </row>
    <row xmlns:x14ac="http://schemas.microsoft.com/office/spreadsheetml/2009/9/ac" r="58" x14ac:dyDescent="0.2">
      <c r="O58" s="6"/>
    </row>
    <row xmlns:x14ac="http://schemas.microsoft.com/office/spreadsheetml/2009/9/ac" r="59" x14ac:dyDescent="0.2">
      <c r="O59" s="6"/>
    </row>
    <row xmlns:x14ac="http://schemas.microsoft.com/office/spreadsheetml/2009/9/ac" r="60" x14ac:dyDescent="0.2">
      <c r="O60" s="6"/>
    </row>
    <row xmlns:x14ac="http://schemas.microsoft.com/office/spreadsheetml/2009/9/ac" r="61" x14ac:dyDescent="0.2">
      <c r="O61" s="6"/>
    </row>
    <row xmlns:x14ac="http://schemas.microsoft.com/office/spreadsheetml/2009/9/ac" r="62" x14ac:dyDescent="0.2">
      <c r="O62" s="6"/>
    </row>
    <row xmlns:x14ac="http://schemas.microsoft.com/office/spreadsheetml/2009/9/ac" r="63" x14ac:dyDescent="0.2">
      <c r="O63" s="6"/>
    </row>
    <row xmlns:x14ac="http://schemas.microsoft.com/office/spreadsheetml/2009/9/ac" r="64" x14ac:dyDescent="0.2">
      <c r="O64" s="6"/>
    </row>
    <row xmlns:x14ac="http://schemas.microsoft.com/office/spreadsheetml/2009/9/ac" r="65" x14ac:dyDescent="0.2">
      <c r="O65" s="6"/>
    </row>
  </sheetData>
  <sheetProtection sheet="true" objects="true" scenarios="true"/>
  <mergeCells count="7">
    <mergeCell ref="A13:M14"/>
    <mergeCell ref="A2:M2"/>
    <mergeCell ref="B4:D4"/>
    <mergeCell ref="A3:D3"/>
    <mergeCell ref="E3:J3"/>
    <mergeCell ref="E4:G4"/>
    <mergeCell ref="H4:J4"/>
  </mergeCells>
  <hyperlinks>
    <hyperlink ref="B7" location="'Data inputs (all)'!C12" display="[11]"/>
    <hyperlink ref="B8" location="'Data inputs (all)'!C13" display="[12]"/>
    <hyperlink ref="B9" location="'Data inputs (all)'!C14" display="[13]"/>
    <hyperlink ref="E5" location="'Data inputs (all)'!C15" display="[14]"/>
    <hyperlink ref="E6" location="'Data inputs (all)'!C16" display="[15]"/>
    <hyperlink ref="E7" location="'Data inputs (all)'!C17" display="[16]"/>
    <hyperlink ref="E8" location="'Data inputs (all)'!C18" display="[17]"/>
    <hyperlink ref="E9" location="'Data inputs (all)'!C19" display="[18]"/>
    <hyperlink ref="E10" location="'Data inputs (all)'!C9" display="[8]"/>
    <hyperlink ref="B6" location="'Data inputs (all)'!C11" display="'Data inputs (all)'!C11"/>
    <hyperlink ref="B5" location="'Data inputs (all)'!C10" display="'Data inputs (all)'!C10"/>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ignoredErrors>
    <ignoredError sqref="G10" formula="true"/>
  </ignoredErrors>
</worksheet>
</file>

<file path=xl/worksheets/sheet7.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538DF0-99D3-47DC-B914-105CEFB13F3F}">
  <sheetPr codeName="Sheet8">
    <pageSetUpPr fitToPage="true"/>
  </sheetPr>
  <dimension ref="A1:G53"/>
  <sheetViews>
    <sheetView zoomScaleNormal="100" workbookViewId="0">
      <pane xSplit="2" ySplit="3" topLeftCell="C4" activePane="bottomRight" state="frozen"/>
      <selection activeCell="I6" sqref="I6"/>
      <selection pane="topRight" activeCell="I6" sqref="I6"/>
      <selection pane="bottomLeft" activeCell="I6" sqref="I6"/>
      <selection pane="bottomRight"/>
    </sheetView>
  </sheetViews>
  <sheetFormatPr xmlns:x14ac="http://schemas.microsoft.com/office/spreadsheetml/2009/9/ac" baseColWidth="10" defaultColWidth="8.7109375" defaultRowHeight="16" x14ac:dyDescent="0.2"/>
  <cols>
    <col min="1" max="1" width="11.28515625" customWidth="true"/>
    <col min="2" max="2" width="61.42578125" customWidth="true"/>
    <col min="3" max="3" width="15.42578125" customWidth="true"/>
    <col min="4" max="5" width="16.5703125" customWidth="true"/>
    <col min="6" max="6" width="7.5703125" customWidth="true"/>
    <col min="7" max="7" width="75" customWidth="true"/>
  </cols>
  <sheetData>
    <row xmlns:x14ac="http://schemas.microsoft.com/office/spreadsheetml/2009/9/ac" r="1" ht="36" customHeight="true" x14ac:dyDescent="0.2">
      <c r="A1" s="27" t="e">
        <f>HLOOKUP(Introduction!$A$2,nametranslations,115,FALSE)  &amp; " ("&amp;Introduction!C5 &amp;", " &amp;Introduction!C7 &amp; ")"</f>
        <v>#N/A</v>
      </c>
      <c r="B1" s="27"/>
      <c r="C1" s="27"/>
      <c r="D1" s="27"/>
      <c r="E1" s="27"/>
      <c r="F1" s="27"/>
      <c r="G1" s="27"/>
    </row>
    <row xmlns:x14ac="http://schemas.microsoft.com/office/spreadsheetml/2009/9/ac" r="2" ht="49" customHeight="true" thickBot="true" x14ac:dyDescent="0.25">
      <c r="A2" s="193" t="str">
        <f>HLOOKUP(Introduction!$A$2,nametranslations,116,FALSE)</f>
        <v>This worksheet presents data on the variables associated with the household wastewater management chain covering the sewer and septic tank wastewater streams.  These data support the computation of the proportion of flows collected at treatment facilities (Part D) and safely treated (Part E) within each stream.</v>
      </c>
      <c r="B2" s="193"/>
      <c r="C2" s="193"/>
      <c r="D2" s="193"/>
      <c r="E2" s="193"/>
      <c r="F2" s="193"/>
      <c r="G2" s="193"/>
    </row>
    <row xmlns:x14ac="http://schemas.microsoft.com/office/spreadsheetml/2009/9/ac" r="3" ht="35" customHeight="true" thickBot="true" x14ac:dyDescent="0.25">
      <c r="A3" s="191" t="str">
        <f>HLOOKUP(Introduction!$A$2,nametranslations,21,FALSE)</f>
        <v>Variable name</v>
      </c>
      <c r="B3" s="192"/>
      <c r="C3" s="78" t="str">
        <f>HLOOKUP(Introduction!$A$2,nametranslations,20,FALSE)</f>
        <v>Variable ID</v>
      </c>
      <c r="D3" s="108" t="str">
        <f>HLOOKUP(Introduction!$A$2,nametranslations,23,FALSE)</f>
        <v>Value</v>
      </c>
      <c r="E3" s="108" t="str">
        <f>HLOOKUP(Introduction!$A$2,nametranslations,24,FALSE)</f>
        <v>Units</v>
      </c>
      <c r="F3" s="108" t="str">
        <f>HLOOKUP(Introduction!$A$2,nametranslations,83,FALSE)</f>
        <v>Code</v>
      </c>
      <c r="G3" s="78" t="str">
        <f>HLOOKUP(Introduction!$A$2,nametranslations,31,FALSE)</f>
        <v>Notes</v>
      </c>
    </row>
    <row xmlns:x14ac="http://schemas.microsoft.com/office/spreadsheetml/2009/9/ac" r="4" x14ac:dyDescent="0.2">
      <c r="A4" s="95" t="str">
        <f>HLOOKUP(Introduction!$A$2,nametranslations,117,FALSE)</f>
        <v>Stream 1: Sewer wastewater flows</v>
      </c>
      <c r="B4" s="65"/>
      <c r="C4" s="79"/>
      <c r="D4" s="80"/>
      <c r="E4" s="80"/>
      <c r="F4" s="81"/>
      <c r="G4" s="82"/>
    </row>
    <row xmlns:x14ac="http://schemas.microsoft.com/office/spreadsheetml/2009/9/ac" r="5" ht="17" x14ac:dyDescent="0.2">
      <c r="A5" s="111"/>
      <c r="B5" s="177" t="str">
        <f>HLOOKUP(Introduction!$A$2,nametranslations,118,FALSE)</f>
        <v>Volume of sewer wastewater generated</v>
      </c>
      <c r="C5" s="103" t="s">
        <v>27</v>
      </c>
      <c r="D5" s="161">
        <f>'B- Generated by facility type'!F5</f>
        <v>0</v>
      </c>
      <c r="E5" s="72" t="str">
        <f>HLOOKUP(Introduction!$A$2,nametranslations,74,FALSE)</f>
        <v>Million m3/year</v>
      </c>
      <c r="F5" s="86">
        <f>'Data inputs (all)'!H15</f>
        <v>0</v>
      </c>
      <c r="G5" s="87" t="s">
        <v>96</v>
      </c>
    </row>
    <row xmlns:x14ac="http://schemas.microsoft.com/office/spreadsheetml/2009/9/ac" r="6" ht="17" x14ac:dyDescent="0.2">
      <c r="A6" s="112"/>
      <c r="B6" s="177" t="str">
        <f>HLOOKUP(Introduction!$A$2,nametranslations,119,FALSE)</f>
        <v>Sewer wastewater as a proportion of total household wastewater generated</v>
      </c>
      <c r="C6" s="88" t="s">
        <v>93</v>
      </c>
      <c r="D6" s="162" t="e">
        <f>'B- Generated by facility type'!F5/'B- Generated by facility type'!F10*100</f>
        <v>#DIV/0!</v>
      </c>
      <c r="E6" s="72" t="str">
        <f>HLOOKUP(Introduction!$A$2,nametranslations,73,FALSE)</f>
        <v>Percentage</v>
      </c>
      <c r="F6" s="86" t="s">
        <v>5</v>
      </c>
      <c r="G6" s="90" t="s">
        <v>94</v>
      </c>
    </row>
    <row xmlns:x14ac="http://schemas.microsoft.com/office/spreadsheetml/2009/9/ac" r="7" ht="17" x14ac:dyDescent="0.2">
      <c r="A7" s="112"/>
      <c r="B7" s="177" t="str">
        <f>HLOOKUP(Introduction!$A$2,nametranslations,120,FALSE)</f>
        <v>Proportion delivered to treatment plants</v>
      </c>
      <c r="C7" s="103" t="s">
        <v>71</v>
      </c>
      <c r="D7" s="163">
        <f>_xlfn.SINGLE(v19_)</f>
        <v>0</v>
      </c>
      <c r="E7" s="72" t="str">
        <f>HLOOKUP(Introduction!$A$2,nametranslations,73,FALSE)</f>
        <v>Percentage</v>
      </c>
      <c r="F7" s="91">
        <f>'_Data inputs (all)'!H20</f>
        <v>0</v>
      </c>
      <c r="G7" s="92"/>
    </row>
    <row xmlns:x14ac="http://schemas.microsoft.com/office/spreadsheetml/2009/9/ac" r="8" ht="34" x14ac:dyDescent="0.2">
      <c r="A8" s="112"/>
      <c r="B8" s="177" t="str">
        <f>HLOOKUP(Introduction!$A$2,nametranslations,121,FALSE)</f>
        <v>Proportion of delivered that is safely treated (by compliance) at treatment plants</v>
      </c>
      <c r="C8" s="103" t="s">
        <v>72</v>
      </c>
      <c r="D8" s="163">
        <f>_xlfn.SINGLE(IF(ISBLANK(_xlfn.SINGLE(v20_)),"",v20_))</f>
        <v>0</v>
      </c>
      <c r="E8" s="72" t="str">
        <f>HLOOKUP(Introduction!$A$2,nametranslations,73,FALSE)</f>
        <v>Percentage</v>
      </c>
      <c r="F8" s="91">
        <f>'Data inputs (all)'!H21</f>
        <v>0</v>
      </c>
      <c r="G8" s="92"/>
    </row>
    <row xmlns:x14ac="http://schemas.microsoft.com/office/spreadsheetml/2009/9/ac" r="9" ht="34" x14ac:dyDescent="0.2">
      <c r="A9" s="113"/>
      <c r="B9" s="177" t="str">
        <f>HLOOKUP(Introduction!$A$2,nametranslations,122,FALSE)</f>
        <v>Proportion of delivered that is safely treated (by technology) at treatment plants</v>
      </c>
      <c r="C9" s="103" t="s">
        <v>120</v>
      </c>
      <c r="D9" s="163" t="str">
        <f>_xlfn.SINGLE(IF(ISBLANK(_xlfn.SINGLE(v21_)),"",v21_))</f>
        <v/>
      </c>
      <c r="E9" s="89" t="str">
        <f>HLOOKUP(Introduction!$A$2,nametranslations,73,FALSE)</f>
        <v>Percentage</v>
      </c>
      <c r="F9" s="91" t="str">
        <f>'Data inputs (all)'!H22</f>
        <v/>
      </c>
      <c r="G9" s="92"/>
    </row>
    <row xmlns:x14ac="http://schemas.microsoft.com/office/spreadsheetml/2009/9/ac" r="10" x14ac:dyDescent="0.2">
      <c r="A10" s="94" t="str">
        <f>HLOOKUP(Introduction!$A$2,nametranslations,123,FALSE)</f>
        <v>Stream 2: Septic tank wastewater flows</v>
      </c>
      <c r="B10" s="83"/>
      <c r="C10" s="84"/>
      <c r="D10" s="85"/>
      <c r="E10" s="85"/>
      <c r="F10" s="86"/>
      <c r="G10" s="87"/>
    </row>
    <row xmlns:x14ac="http://schemas.microsoft.com/office/spreadsheetml/2009/9/ac" r="11" ht="17" x14ac:dyDescent="0.2">
      <c r="A11" s="111"/>
      <c r="B11" s="177" t="str">
        <f>HLOOKUP(Introduction!$A$2,nametranslations,124,FALSE)</f>
        <v>Volume of septic tank wastewater generated</v>
      </c>
      <c r="C11" s="103" t="s">
        <v>28</v>
      </c>
      <c r="D11" s="161">
        <f>'B- Generated by facility type'!F6</f>
        <v>0</v>
      </c>
      <c r="E11" s="72" t="str">
        <f>HLOOKUP(Introduction!$A$2,nametranslations,74,FALSE)</f>
        <v>Million m3/year</v>
      </c>
      <c r="F11" s="86">
        <f>'_Data inputs (all)'!H16</f>
        <v>0</v>
      </c>
      <c r="G11" s="87" t="s">
        <v>96</v>
      </c>
    </row>
    <row xmlns:x14ac="http://schemas.microsoft.com/office/spreadsheetml/2009/9/ac" r="12" ht="34" x14ac:dyDescent="0.2">
      <c r="A12" s="112"/>
      <c r="B12" s="177" t="str">
        <f>HLOOKUP(Introduction!$A$2,nametranslations,125,FALSE)</f>
        <v>Septic tank wastewater as a proportion of total household wastewater generated</v>
      </c>
      <c r="C12" s="88" t="s">
        <v>93</v>
      </c>
      <c r="D12" s="162" t="e">
        <f>'B- Generated by facility type'!F6/'B- Generated by facility type'!F10*100</f>
        <v>#DIV/0!</v>
      </c>
      <c r="E12" s="72" t="str">
        <f>HLOOKUP(Introduction!$A$2,nametranslations,73,FALSE)</f>
        <v>Percentage</v>
      </c>
      <c r="F12" s="86" t="s">
        <v>5</v>
      </c>
      <c r="G12" s="90" t="s">
        <v>95</v>
      </c>
    </row>
    <row xmlns:x14ac="http://schemas.microsoft.com/office/spreadsheetml/2009/9/ac" r="13" ht="17" x14ac:dyDescent="0.2">
      <c r="A13" s="113"/>
      <c r="B13" s="177" t="str">
        <f>HLOOKUP(Introduction!$A$2,nametranslations,126,FALSE)</f>
        <v>Proportion of tanks with wastewater collected and contained</v>
      </c>
      <c r="C13" s="103" t="s">
        <v>29</v>
      </c>
      <c r="D13" s="163">
        <f>_xlfn.SINGLE(v22_)</f>
        <v>0</v>
      </c>
      <c r="E13" s="72" t="str">
        <f>HLOOKUP(Introduction!$A$2,nametranslations,73,FALSE)</f>
        <v>Percentage</v>
      </c>
      <c r="F13" s="91">
        <f>'_Data inputs (all)'!H23</f>
        <v>0</v>
      </c>
      <c r="G13" s="92"/>
    </row>
    <row xmlns:x14ac="http://schemas.microsoft.com/office/spreadsheetml/2009/9/ac" r="14" x14ac:dyDescent="0.2">
      <c r="A14" s="94" t="str">
        <f>HLOOKUP(Introduction!$A$2,nametranslations,127,FALSE)</f>
        <v>Stream 2a: Septic tank wastewater treatment and off-site disposal</v>
      </c>
      <c r="B14" s="83"/>
      <c r="C14" s="84"/>
      <c r="D14" s="164"/>
      <c r="E14" s="85"/>
      <c r="F14" s="86"/>
      <c r="G14" s="87"/>
    </row>
    <row xmlns:x14ac="http://schemas.microsoft.com/office/spreadsheetml/2009/9/ac" r="15" ht="17" x14ac:dyDescent="0.2">
      <c r="A15" s="111"/>
      <c r="B15" s="177" t="str">
        <f>HLOOKUP(Introduction!$A$2,nametranslations,128,FALSE)</f>
        <v>Proportion of tanks with faecal sludge emptied and discharged locally</v>
      </c>
      <c r="C15" s="103" t="s">
        <v>31</v>
      </c>
      <c r="D15" s="163">
        <f>_xlfn.SINGLE(v24_)</f>
        <v>0</v>
      </c>
      <c r="E15" s="72" t="str">
        <f>HLOOKUP(Introduction!$A$2,nametranslations,73,FALSE)</f>
        <v>Percentage</v>
      </c>
      <c r="F15" s="91">
        <f>'_Data inputs (all)'!H25</f>
        <v>0</v>
      </c>
      <c r="G15" s="92"/>
    </row>
    <row xmlns:x14ac="http://schemas.microsoft.com/office/spreadsheetml/2009/9/ac" r="16" ht="17" x14ac:dyDescent="0.2">
      <c r="A16" s="112"/>
      <c r="B16" s="177" t="str">
        <f>HLOOKUP(Introduction!$A$2,nametranslations,129,FALSE)</f>
        <v>Proportion of tanks with faecal sludge emptied and removed off-site</v>
      </c>
      <c r="C16" s="103" t="s">
        <v>32</v>
      </c>
      <c r="D16" s="163">
        <f>_xlfn.SINGLE(v25_)</f>
        <v>0</v>
      </c>
      <c r="E16" s="72" t="str">
        <f>HLOOKUP(Introduction!$A$2,nametranslations,73,FALSE)</f>
        <v>Percentage</v>
      </c>
      <c r="F16" s="91">
        <f>'_Data inputs (all)'!H26</f>
        <v>0</v>
      </c>
      <c r="G16" s="92"/>
    </row>
    <row xmlns:x14ac="http://schemas.microsoft.com/office/spreadsheetml/2009/9/ac" r="17" ht="34" x14ac:dyDescent="0.2">
      <c r="A17" s="112"/>
      <c r="B17" s="177" t="str">
        <f>HLOOKUP(Introduction!$A$2,nametranslations,130,FALSE)</f>
        <v>Proportion of tanks with faecal sludge removed off-site and delivered to off-site treatment plants</v>
      </c>
      <c r="C17" s="103" t="s">
        <v>34</v>
      </c>
      <c r="D17" s="163">
        <f>_xlfn.SINGLE(v27_)</f>
        <v>0</v>
      </c>
      <c r="E17" s="72" t="str">
        <f>HLOOKUP(Introduction!$A$2,nametranslations,73,FALSE)</f>
        <v>Percentage</v>
      </c>
      <c r="F17" s="91">
        <f>'_Data inputs (all)'!H28</f>
        <v>0</v>
      </c>
      <c r="G17" s="92"/>
    </row>
    <row xmlns:x14ac="http://schemas.microsoft.com/office/spreadsheetml/2009/9/ac" r="18" ht="34" x14ac:dyDescent="0.2">
      <c r="A18" s="113"/>
      <c r="B18" s="177" t="str">
        <f>HLOOKUP(Introduction!$A$2,nametranslations,131,FALSE)</f>
        <v>Proportion of tanks with faecal sludge delivered to and safely treated at off-site treatment plants</v>
      </c>
      <c r="C18" s="103" t="s">
        <v>35</v>
      </c>
      <c r="D18" s="163">
        <f>_xlfn.SINGLE(v28_)</f>
        <v>0</v>
      </c>
      <c r="E18" s="72" t="str">
        <f>HLOOKUP(Introduction!$A$2,nametranslations,73,FALSE)</f>
        <v>Percentage</v>
      </c>
      <c r="F18" s="93">
        <f>'_Data inputs (all)'!H29</f>
        <v>0</v>
      </c>
      <c r="G18" s="92"/>
    </row>
    <row xmlns:x14ac="http://schemas.microsoft.com/office/spreadsheetml/2009/9/ac" r="19" x14ac:dyDescent="0.2">
      <c r="A19" s="94" t="str">
        <f>HLOOKUP(Introduction!$A$2,nametranslations,132,FALSE)</f>
        <v>Stream 2b: Septic tank wastewater treatment and on-site disposal</v>
      </c>
      <c r="B19" s="83"/>
      <c r="C19" s="84"/>
      <c r="D19" s="164"/>
      <c r="E19" s="85"/>
      <c r="F19" s="86"/>
      <c r="G19" s="87"/>
    </row>
    <row xmlns:x14ac="http://schemas.microsoft.com/office/spreadsheetml/2009/9/ac" r="20" ht="17" x14ac:dyDescent="0.2">
      <c r="A20" s="111"/>
      <c r="B20" s="177" t="str">
        <f>HLOOKUP(Introduction!$A$2,nametranslations,133,FALSE)</f>
        <v>Proportion of tanks with faecal sludge emptied and buried on-site</v>
      </c>
      <c r="C20" s="103" t="s">
        <v>30</v>
      </c>
      <c r="D20" s="163">
        <f>_xlfn.SINGLE(v23_)</f>
        <v>0</v>
      </c>
      <c r="E20" s="89" t="str">
        <f>HLOOKUP(Introduction!$A$2,nametranslations,73,FALSE)</f>
        <v>Percentage</v>
      </c>
      <c r="F20" s="91">
        <f>'_Data inputs (all)'!H24</f>
        <v>0</v>
      </c>
      <c r="G20" s="92"/>
    </row>
    <row xmlns:x14ac="http://schemas.microsoft.com/office/spreadsheetml/2009/9/ac" r="21" ht="18" thickBot="true" x14ac:dyDescent="0.25">
      <c r="A21" s="114"/>
      <c r="B21" s="178" t="str">
        <f>HLOOKUP(Introduction!$A$2,nametranslations,134,FALSE)</f>
        <v>Proportion of tanks with faecal sludge not yet emptied</v>
      </c>
      <c r="C21" s="104" t="s">
        <v>33</v>
      </c>
      <c r="D21" s="165">
        <f>_xlfn.SINGLE(v26_)</f>
        <v>0</v>
      </c>
      <c r="E21" s="96" t="str">
        <f>HLOOKUP(Introduction!$A$2,nametranslations,73,FALSE)</f>
        <v>Percentage</v>
      </c>
      <c r="F21" s="97">
        <f>'_Data inputs (all)'!H27</f>
        <v>0</v>
      </c>
      <c r="G21" s="98"/>
    </row>
    <row xmlns:x14ac="http://schemas.microsoft.com/office/spreadsheetml/2009/9/ac" r="22" x14ac:dyDescent="0.2">
      <c r="F22" s="175" t="str">
        <f>IF(F8="R","R",IF(F9="R","R",""))</f>
        <v/>
      </c>
    </row>
    <row xmlns:x14ac="http://schemas.microsoft.com/office/spreadsheetml/2009/9/ac" r="23" x14ac:dyDescent="0.2">
      <c r="A23" s="22" t="str">
        <f>HLOOKUP(Introduction!$A$2,nametranslations,135,FALSE)</f>
        <v>Are data sufficient to compute a country estimate?</v>
      </c>
      <c r="B23" s="22"/>
      <c r="C23" s="22"/>
      <c r="D23" s="12"/>
      <c r="E23" s="12"/>
      <c r="F23" s="12"/>
      <c r="G23" s="12"/>
    </row>
    <row xmlns:x14ac="http://schemas.microsoft.com/office/spreadsheetml/2009/9/ac" r="24" x14ac:dyDescent="0.2">
      <c r="A24" s="12"/>
      <c r="B24" s="12"/>
      <c r="C24" s="12"/>
      <c r="D24" s="12"/>
      <c r="E24" s="12"/>
      <c r="F24" s="12"/>
      <c r="G24" s="12"/>
    </row>
    <row xmlns:x14ac="http://schemas.microsoft.com/office/spreadsheetml/2009/9/ac" r="25" ht="32" customHeight="true" x14ac:dyDescent="0.2">
      <c r="A25" s="201" t="str">
        <f>IF(D5&gt;=D11,IF(F22&lt;&gt;"",HLOOKUP(Introduction!$A$2,nametranslations,136,FALSE),HLOOKUP(Introduction!$A$2,nametranslations,137,FALSE)),IF(F21&lt;&gt;"A",HLOOKUP(Introduction!$A$2,nametranslations,138,FALSE),HLOOKUP(Introduction!$A$2,nametranslations,139,FALSE)))</f>
        <v>No,  since the volume of sewer wastewater generated [14] is greater than the volume of septic tank wastewater generated [15], and data on sewer wastewater treatment performance [20]/[21] are not reported</v>
      </c>
      <c r="B25" s="201"/>
      <c r="C25" s="201"/>
      <c r="D25" s="201"/>
      <c r="E25" s="201"/>
      <c r="F25" s="201"/>
      <c r="G25" s="201"/>
    </row>
    <row xmlns:x14ac="http://schemas.microsoft.com/office/spreadsheetml/2009/9/ac" r="26" x14ac:dyDescent="0.2">
      <c r="A26" s="8" t="str">
        <f>HLOOKUP(Introduction!$A$2,nametranslations,77,FALSE)</f>
        <v>Notes:</v>
      </c>
      <c r="B26" s="15" t="str">
        <f>HLOOKUP(Introduction!$A$2,nametranslations,78,FALSE)</f>
        <v>[variable numbers shown in square brackets - see links to the 'Data inputs (all)' worksheet for additional details]</v>
      </c>
      <c r="C26" s="8"/>
      <c r="E26" s="15"/>
      <c r="F26" s="6"/>
      <c r="G26" s="6"/>
    </row>
    <row xmlns:x14ac="http://schemas.microsoft.com/office/spreadsheetml/2009/9/ac" r="27" x14ac:dyDescent="0.2">
      <c r="B27" s="15" t="str">
        <f>HLOOKUP(Introduction!$A$2,nametranslations,79,FALSE)</f>
        <v>A - Assumption</v>
      </c>
      <c r="E27" s="6"/>
      <c r="F27" s="6"/>
      <c r="G27" s="11"/>
    </row>
    <row xmlns:x14ac="http://schemas.microsoft.com/office/spreadsheetml/2009/9/ac" r="28" x14ac:dyDescent="0.2">
      <c r="B28" s="15" t="str">
        <f>HLOOKUP(Introduction!$A$2,nametranslations,80,FALSE)</f>
        <v>C - Internally calculated value</v>
      </c>
      <c r="E28" s="6"/>
      <c r="F28" s="6"/>
      <c r="G28" s="7"/>
    </row>
    <row xmlns:x14ac="http://schemas.microsoft.com/office/spreadsheetml/2009/9/ac" r="29" x14ac:dyDescent="0.2">
      <c r="B29" s="15" t="str">
        <f>HLOOKUP(Introduction!$A$2,nametranslations,81,FALSE)</f>
        <v>E - Estimated value based on official national statistics</v>
      </c>
      <c r="E29" s="6"/>
      <c r="F29" s="6"/>
      <c r="G29" s="6"/>
    </row>
    <row xmlns:x14ac="http://schemas.microsoft.com/office/spreadsheetml/2009/9/ac" r="30" x14ac:dyDescent="0.2">
      <c r="B30" s="15" t="str">
        <f>HLOOKUP(Introduction!$A$2,nametranslations,82,FALSE)</f>
        <v>R - Reported value sourced from official national statistics</v>
      </c>
      <c r="E30" s="6"/>
      <c r="F30" s="6"/>
      <c r="G30" s="11"/>
    </row>
    <row xmlns:x14ac="http://schemas.microsoft.com/office/spreadsheetml/2009/9/ac" r="32" x14ac:dyDescent="0.2">
      <c r="B32" s="6"/>
    </row>
    <row xmlns:x14ac="http://schemas.microsoft.com/office/spreadsheetml/2009/9/ac" r="33" x14ac:dyDescent="0.2">
      <c r="B33" s="6"/>
    </row>
    <row xmlns:x14ac="http://schemas.microsoft.com/office/spreadsheetml/2009/9/ac" r="34" x14ac:dyDescent="0.2">
      <c r="B34" s="6"/>
    </row>
    <row xmlns:x14ac="http://schemas.microsoft.com/office/spreadsheetml/2009/9/ac" r="35" x14ac:dyDescent="0.2">
      <c r="B35" s="6"/>
    </row>
    <row xmlns:x14ac="http://schemas.microsoft.com/office/spreadsheetml/2009/9/ac" r="36" x14ac:dyDescent="0.2">
      <c r="B36" s="6"/>
    </row>
    <row xmlns:x14ac="http://schemas.microsoft.com/office/spreadsheetml/2009/9/ac" r="37" x14ac:dyDescent="0.2">
      <c r="B37" s="6"/>
    </row>
    <row xmlns:x14ac="http://schemas.microsoft.com/office/spreadsheetml/2009/9/ac" r="38" x14ac:dyDescent="0.2">
      <c r="B38" s="6"/>
    </row>
    <row xmlns:x14ac="http://schemas.microsoft.com/office/spreadsheetml/2009/9/ac" r="39" x14ac:dyDescent="0.2">
      <c r="B39" s="6"/>
    </row>
    <row xmlns:x14ac="http://schemas.microsoft.com/office/spreadsheetml/2009/9/ac" r="40" x14ac:dyDescent="0.2">
      <c r="B40" s="6"/>
    </row>
    <row xmlns:x14ac="http://schemas.microsoft.com/office/spreadsheetml/2009/9/ac" r="41" x14ac:dyDescent="0.2">
      <c r="B41" s="6"/>
    </row>
    <row xmlns:x14ac="http://schemas.microsoft.com/office/spreadsheetml/2009/9/ac" r="42" x14ac:dyDescent="0.2">
      <c r="B42" s="6"/>
    </row>
    <row xmlns:x14ac="http://schemas.microsoft.com/office/spreadsheetml/2009/9/ac" r="43" x14ac:dyDescent="0.2">
      <c r="B43" s="6"/>
    </row>
    <row xmlns:x14ac="http://schemas.microsoft.com/office/spreadsheetml/2009/9/ac" r="44" x14ac:dyDescent="0.2">
      <c r="B44" s="6"/>
    </row>
    <row xmlns:x14ac="http://schemas.microsoft.com/office/spreadsheetml/2009/9/ac" r="45" x14ac:dyDescent="0.2">
      <c r="B45" s="6"/>
    </row>
    <row xmlns:x14ac="http://schemas.microsoft.com/office/spreadsheetml/2009/9/ac" r="46" x14ac:dyDescent="0.2">
      <c r="B46" s="6"/>
    </row>
    <row xmlns:x14ac="http://schemas.microsoft.com/office/spreadsheetml/2009/9/ac" r="47" x14ac:dyDescent="0.2">
      <c r="B47" s="6"/>
    </row>
    <row xmlns:x14ac="http://schemas.microsoft.com/office/spreadsheetml/2009/9/ac" r="48" x14ac:dyDescent="0.2">
      <c r="B48" s="6"/>
    </row>
    <row xmlns:x14ac="http://schemas.microsoft.com/office/spreadsheetml/2009/9/ac" r="49" x14ac:dyDescent="0.2">
      <c r="B49" s="6"/>
    </row>
    <row xmlns:x14ac="http://schemas.microsoft.com/office/spreadsheetml/2009/9/ac" r="50" x14ac:dyDescent="0.2">
      <c r="B50" s="6"/>
    </row>
    <row xmlns:x14ac="http://schemas.microsoft.com/office/spreadsheetml/2009/9/ac" r="51" x14ac:dyDescent="0.2">
      <c r="B51" s="6"/>
    </row>
    <row xmlns:x14ac="http://schemas.microsoft.com/office/spreadsheetml/2009/9/ac" r="52" x14ac:dyDescent="0.2">
      <c r="B52" s="6"/>
    </row>
    <row xmlns:x14ac="http://schemas.microsoft.com/office/spreadsheetml/2009/9/ac" r="53" x14ac:dyDescent="0.2">
      <c r="B53" s="6"/>
    </row>
  </sheetData>
  <sheetProtection sheet="true" objects="true" scenarios="true"/>
  <mergeCells count="3">
    <mergeCell ref="A2:G2"/>
    <mergeCell ref="A3:B3"/>
    <mergeCell ref="A25:G25"/>
  </mergeCells>
  <hyperlinks>
    <hyperlink ref="C5" location="'Data inputs (all)'!C15" display="[14]"/>
    <hyperlink ref="C7" location="'Data inputs (all)'!C20" display="[19]"/>
    <hyperlink ref="C9" location="'Data inputs (all)'!C22" display="[21]"/>
    <hyperlink ref="C11" location="'Data inputs (all)'!C16" display="[15]"/>
    <hyperlink ref="C13" location="'Data inputs (all)'!C23" display="[22]"/>
    <hyperlink ref="C15" location="'Data inputs (all)'!C25" display="[24]"/>
    <hyperlink ref="C16" location="'Data inputs (all)'!C26" display="[25]"/>
    <hyperlink ref="C17" location="'Data inputs (all)'!C28" display="[27]"/>
    <hyperlink ref="C18" location="'Data inputs (all)'!C29" display="[28]"/>
    <hyperlink ref="C20" location="'Data inputs (all)'!C24" display="[23]"/>
    <hyperlink ref="C21" location="'Data inputs (all)'!C27" display="[26]"/>
    <hyperlink ref="C8" location="'Data inputs (all)'!C21" display="[20]"/>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8A310D-BA84-CE48-9EEC-74CA6591E662}">
  <sheetPr codeName="Sheet6">
    <pageSetUpPr fitToPage="true"/>
  </sheetPr>
  <dimension ref="A1:AA22"/>
  <sheetViews>
    <sheetView zoomScaleNormal="100" workbookViewId="0">
      <pane xSplit="1" ySplit="3" topLeftCell="B4"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37.85546875" customWidth="true"/>
    <col min="2" max="2" width="21" customWidth="true"/>
    <col min="3" max="3" width="2.7109375" customWidth="true"/>
    <col min="4" max="4" width="23.85546875" bestFit="true" customWidth="true"/>
    <col min="5" max="5" width="17" customWidth="true"/>
    <col min="6" max="6" width="2.5703125" customWidth="true"/>
    <col min="7" max="7" width="17.7109375" customWidth="true"/>
    <col min="8" max="8" width="13.7109375" customWidth="true"/>
    <col min="9" max="9" width="2.5703125" customWidth="true"/>
    <col min="10" max="10" width="17.7109375" customWidth="true"/>
    <col min="11" max="13" width="15.7109375" customWidth="true"/>
    <col min="14" max="14" width="10.7109375" customWidth="true"/>
  </cols>
  <sheetData>
    <row xmlns:x14ac="http://schemas.microsoft.com/office/spreadsheetml/2009/9/ac" r="1" ht="36" customHeight="true" x14ac:dyDescent="0.2">
      <c r="A1" s="33" t="e">
        <f>HLOOKUP(Introduction!$A$2,nametranslations,141,FALSE) &amp; " ("&amp;Introduction!C5 &amp;", " &amp;Introduction!C7 &amp; ")"</f>
        <v>#N/A</v>
      </c>
      <c r="B1" s="33"/>
      <c r="C1" s="33"/>
      <c r="D1" s="33"/>
      <c r="E1" s="33"/>
      <c r="F1" s="33"/>
      <c r="G1" s="33"/>
      <c r="H1" s="33"/>
      <c r="I1" s="33"/>
      <c r="J1" s="33"/>
    </row>
    <row xmlns:x14ac="http://schemas.microsoft.com/office/spreadsheetml/2009/9/ac" r="2" ht="55" customHeight="true" thickBot="true" x14ac:dyDescent="0.25">
      <c r="A2" s="202" t="str">
        <f>HLOOKUP(Introduction!$A$2,nametranslations,142,FALSE)</f>
        <v>This worksheet presents a summary of estimated household wastewater flows delivered to treatment facilities based on the computations and data in Parts B and C.  Proportions are presented of the total household wastewater generated (Column E) and by each stream (Column H).</v>
      </c>
      <c r="B2" s="202"/>
      <c r="C2" s="202"/>
      <c r="D2" s="202"/>
      <c r="E2" s="202"/>
      <c r="F2" s="202"/>
      <c r="G2" s="202"/>
      <c r="H2" s="202"/>
      <c r="I2" s="202"/>
      <c r="J2" s="202"/>
      <c r="K2" s="140"/>
      <c r="L2" s="64"/>
      <c r="M2" s="64"/>
      <c r="N2" s="64"/>
      <c r="O2" s="64"/>
      <c r="P2" s="64"/>
      <c r="Q2" s="64"/>
      <c r="R2" s="64"/>
      <c r="S2" s="64"/>
      <c r="T2" s="64"/>
      <c r="U2" s="64"/>
      <c r="V2" s="64"/>
      <c r="W2" s="64"/>
      <c r="X2" s="64"/>
      <c r="Y2" s="64"/>
      <c r="Z2" s="64"/>
      <c r="AA2" s="64"/>
    </row>
    <row xmlns:x14ac="http://schemas.microsoft.com/office/spreadsheetml/2009/9/ac" r="3" ht="75" customHeight="true" thickBot="true" x14ac:dyDescent="0.25">
      <c r="A3" s="108" t="str">
        <f>HLOOKUP(Introduction!$A$2,nametranslations,21,FALSE)</f>
        <v>Variable name</v>
      </c>
      <c r="B3" s="203" t="str">
        <f>HLOOKUP(Introduction!$A$2,nametranslations,103,FALSE)</f>
        <v>Volume 
[million m3/year]</v>
      </c>
      <c r="C3" s="204"/>
      <c r="D3" s="205"/>
      <c r="E3" s="203" t="str">
        <f>HLOOKUP(Introduction!$A$2,nametranslations,143,FALSE)</f>
        <v>Proportion
of total household wastewater generated
(%)</v>
      </c>
      <c r="F3" s="204"/>
      <c r="G3" s="205"/>
      <c r="H3" s="203" t="str">
        <f>HLOOKUP(Introduction!$A$2,nametranslations,144,FALSE)</f>
        <v>Proportion
of volume generated in each wastewater stream
(%)</v>
      </c>
      <c r="I3" s="204"/>
      <c r="J3" s="205"/>
      <c r="K3" s="145"/>
    </row>
    <row xmlns:x14ac="http://schemas.microsoft.com/office/spreadsheetml/2009/9/ac" r="4" ht="74.25" customHeight="true" x14ac:dyDescent="0.2">
      <c r="A4" s="47" t="str">
        <f>HLOOKUP(Introduction!$A$2,nametranslations,145,FALSE)</f>
        <v>Stream 1: Sewers delivered to wastewater treatment plants</v>
      </c>
      <c r="B4" s="166">
        <f>'B- Generated by facility type'!F5*'C- WW management chain'!D7/100</f>
        <v>0</v>
      </c>
      <c r="C4" s="34">
        <f>'_Data inputs (all)'!H30</f>
        <v>0</v>
      </c>
      <c r="D4" s="51" t="s">
        <v>49</v>
      </c>
      <c r="E4" s="35" t="e">
        <f>B4/'A- Generated'!D15</f>
        <v>#DIV/0!</v>
      </c>
      <c r="F4" s="43" t="s">
        <v>5</v>
      </c>
      <c r="G4" s="38" t="s">
        <v>37</v>
      </c>
      <c r="H4" s="35" t="str">
        <f>IF(ISNUMBER(B4/'B- Generated by facility type'!F5),B4/'B- Generated by facility type'!F5,"N/A")</f>
        <v>N/A</v>
      </c>
      <c r="I4" s="43" t="s">
        <v>5</v>
      </c>
      <c r="J4" s="38" t="s">
        <v>40</v>
      </c>
    </row>
    <row xmlns:x14ac="http://schemas.microsoft.com/office/spreadsheetml/2009/9/ac" r="5" ht="74.25" customHeight="true" x14ac:dyDescent="0.2">
      <c r="A5" s="48" t="str">
        <f>HLOOKUP(Introduction!$A$2,nametranslations,146,FALSE)</f>
        <v>Stream 2a: Collected in septic tanks with faecal sludge delivered to off-site wastewater treatment plants</v>
      </c>
      <c r="B5" s="167">
        <f>'B- Generated by facility type'!F6*'C- WW management chain'!D13/100*'C- WW management chain'!D16/100*'C- WW management chain'!D17/100</f>
        <v>0</v>
      </c>
      <c r="C5" s="28">
        <f>'_Data inputs (all)'!H31</f>
        <v>0</v>
      </c>
      <c r="D5" s="50" t="s">
        <v>50</v>
      </c>
      <c r="E5" s="36" t="e">
        <f>B5/'A- Generated'!D15</f>
        <v>#DIV/0!</v>
      </c>
      <c r="F5" s="44" t="s">
        <v>5</v>
      </c>
      <c r="G5" s="39" t="s">
        <v>38</v>
      </c>
      <c r="H5" s="36" t="str">
        <f>IF(ISNUMBER(B5/'B- Generated by facility type'!F6),B5/'B- Generated by facility type'!F6,"N/A")</f>
        <v>N/A</v>
      </c>
      <c r="I5" s="44" t="s">
        <v>5</v>
      </c>
      <c r="J5" s="39" t="s">
        <v>41</v>
      </c>
    </row>
    <row xmlns:x14ac="http://schemas.microsoft.com/office/spreadsheetml/2009/9/ac" r="6" ht="74.25" customHeight="true" x14ac:dyDescent="0.2">
      <c r="A6" s="48" t="str">
        <f>HLOOKUP(Introduction!$A$2,nametranslations,147,FALSE)</f>
        <v>Stream 2b: Collected in septic tanks with faecal sludge delivered to on-site treatment</v>
      </c>
      <c r="B6" s="167">
        <f>'B- Generated by facility type'!F6*'C- WW management chain'!D13/100*('C- WW management chain'!D20/100+'C- WW management chain'!D21/100)</f>
        <v>0</v>
      </c>
      <c r="C6" s="28">
        <f>'_Data inputs (all)'!H32</f>
        <v>0</v>
      </c>
      <c r="D6" s="50" t="s">
        <v>51</v>
      </c>
      <c r="E6" s="36" t="e">
        <f>B6/'A- Generated'!D15</f>
        <v>#DIV/0!</v>
      </c>
      <c r="F6" s="44" t="s">
        <v>5</v>
      </c>
      <c r="G6" s="40" t="s">
        <v>39</v>
      </c>
      <c r="H6" s="36" t="str">
        <f>IF(ISNUMBER(B6/'B- Generated by facility type'!F6),B6/'B- Generated by facility type'!F6,"N/A")</f>
        <v>N/A</v>
      </c>
      <c r="I6" s="44" t="s">
        <v>5</v>
      </c>
      <c r="J6" s="40" t="s">
        <v>42</v>
      </c>
    </row>
    <row xmlns:x14ac="http://schemas.microsoft.com/office/spreadsheetml/2009/9/ac" r="7" ht="40" customHeight="true" thickBot="true" x14ac:dyDescent="0.25">
      <c r="A7" s="49" t="str">
        <f>HLOOKUP(Introduction!$A$2,nametranslations,148,FALSE)</f>
        <v>Total delivered to treatment</v>
      </c>
      <c r="B7" s="168">
        <f>SUM(B4:B6)</f>
        <v>0</v>
      </c>
      <c r="C7" s="129">
        <f>'_Data inputs (all)'!H33</f>
        <v>0</v>
      </c>
      <c r="D7" s="130" t="s">
        <v>52</v>
      </c>
      <c r="E7" s="131" t="e">
        <f>B7/'A- Generated'!D15</f>
        <v>#DIV/0!</v>
      </c>
      <c r="F7" s="132" t="s">
        <v>5</v>
      </c>
      <c r="G7" s="133" t="s">
        <v>25</v>
      </c>
      <c r="H7" s="134" t="s">
        <v>8</v>
      </c>
      <c r="I7" s="132"/>
      <c r="J7" s="133" t="s">
        <v>8</v>
      </c>
    </row>
    <row xmlns:x14ac="http://schemas.microsoft.com/office/spreadsheetml/2009/9/ac" r="9" x14ac:dyDescent="0.2">
      <c r="A9" s="8" t="str">
        <f>HLOOKUP(Introduction!$A$2,nametranslations,77,FALSE)</f>
        <v>Notes:</v>
      </c>
      <c r="B9" s="15" t="str">
        <f>HLOOKUP(Introduction!$A$2,nametranslations,78,FALSE)</f>
        <v>[variable numbers shown in square brackets - see links to the 'Data inputs (all)' worksheet for additional details]</v>
      </c>
    </row>
    <row xmlns:x14ac="http://schemas.microsoft.com/office/spreadsheetml/2009/9/ac" r="10" x14ac:dyDescent="0.2">
      <c r="B10" s="15" t="str">
        <f>HLOOKUP(Introduction!$A$2,nametranslations,79,FALSE)</f>
        <v>A - Assumption</v>
      </c>
    </row>
    <row xmlns:x14ac="http://schemas.microsoft.com/office/spreadsheetml/2009/9/ac" r="11" x14ac:dyDescent="0.2">
      <c r="B11" s="15" t="str">
        <f>HLOOKUP(Introduction!$A$2,nametranslations,80,FALSE)</f>
        <v>C - Internally calculated value</v>
      </c>
    </row>
    <row xmlns:x14ac="http://schemas.microsoft.com/office/spreadsheetml/2009/9/ac" r="12" x14ac:dyDescent="0.2">
      <c r="B12" s="15" t="str">
        <f>HLOOKUP(Introduction!$A$2,nametranslations,81,FALSE)</f>
        <v>E - Estimated value based on official national statistics</v>
      </c>
    </row>
    <row xmlns:x14ac="http://schemas.microsoft.com/office/spreadsheetml/2009/9/ac" r="13" x14ac:dyDescent="0.2">
      <c r="B13" s="15" t="str">
        <f>HLOOKUP(Introduction!$A$2,nametranslations,82,FALSE)</f>
        <v>R - Reported value sourced from official national statistics</v>
      </c>
    </row>
    <row xmlns:x14ac="http://schemas.microsoft.com/office/spreadsheetml/2009/9/ac" r="14" x14ac:dyDescent="0.2">
      <c r="B14" s="6"/>
    </row>
    <row xmlns:x14ac="http://schemas.microsoft.com/office/spreadsheetml/2009/9/ac" r="15" x14ac:dyDescent="0.2">
      <c r="A15" s="6"/>
    </row>
    <row xmlns:x14ac="http://schemas.microsoft.com/office/spreadsheetml/2009/9/ac" r="16" x14ac:dyDescent="0.2">
      <c r="A16" s="6"/>
    </row>
    <row xmlns:x14ac="http://schemas.microsoft.com/office/spreadsheetml/2009/9/ac" r="17" x14ac:dyDescent="0.2">
      <c r="A17" s="6"/>
    </row>
    <row xmlns:x14ac="http://schemas.microsoft.com/office/spreadsheetml/2009/9/ac" r="18" x14ac:dyDescent="0.2">
      <c r="A18" s="6"/>
      <c r="B18" s="169"/>
    </row>
    <row xmlns:x14ac="http://schemas.microsoft.com/office/spreadsheetml/2009/9/ac" r="19" x14ac:dyDescent="0.2">
      <c r="A19" s="6"/>
    </row>
    <row xmlns:x14ac="http://schemas.microsoft.com/office/spreadsheetml/2009/9/ac" r="20" x14ac:dyDescent="0.2">
      <c r="A20" s="6"/>
    </row>
    <row xmlns:x14ac="http://schemas.microsoft.com/office/spreadsheetml/2009/9/ac" r="21" x14ac:dyDescent="0.2">
      <c r="A21" s="6"/>
    </row>
    <row xmlns:x14ac="http://schemas.microsoft.com/office/spreadsheetml/2009/9/ac" r="22" x14ac:dyDescent="0.2">
      <c r="A22" s="6"/>
    </row>
  </sheetData>
  <sheetProtection sheet="true" objects="true" scenarios="true"/>
  <mergeCells count="4">
    <mergeCell ref="A2:J2"/>
    <mergeCell ref="B3:D3"/>
    <mergeCell ref="E3:G3"/>
    <mergeCell ref="H3:J3"/>
  </mergeCell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8A4EB5-C517-0446-94A7-AABF8F54B5CF}">
  <sheetPr codeName="Sheet10">
    <pageSetUpPr fitToPage="true"/>
  </sheetPr>
  <dimension ref="A1:AA23"/>
  <sheetViews>
    <sheetView zoomScaleNormal="100" workbookViewId="0">
      <pane xSplit="1" ySplit="3" topLeftCell="B4"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53" customWidth="true"/>
    <col min="2" max="2" width="18.28515625" customWidth="true"/>
    <col min="3" max="3" width="2.7109375" customWidth="true"/>
    <col min="4" max="4" width="14.5703125" customWidth="true"/>
    <col min="5" max="5" width="19.42578125" customWidth="true"/>
    <col min="6" max="6" width="2.5703125" customWidth="true"/>
    <col min="7" max="7" width="17.7109375" customWidth="true"/>
    <col min="8" max="8" width="17" customWidth="true"/>
    <col min="9" max="9" width="2.5703125" customWidth="true"/>
    <col min="10" max="10" width="20.42578125" customWidth="true"/>
    <col min="11" max="13" width="15.7109375" customWidth="true"/>
    <col min="14" max="14" width="10.7109375" customWidth="true"/>
  </cols>
  <sheetData>
    <row xmlns:x14ac="http://schemas.microsoft.com/office/spreadsheetml/2009/9/ac" r="1" ht="36" customHeight="true" x14ac:dyDescent="0.2">
      <c r="A1" s="33" t="e">
        <f>HLOOKUP(Introduction!$A$2,nametranslations,149,FALSE) &amp; " ("&amp;Introduction!C5 &amp;", " &amp;Introduction!C7 &amp; ")"</f>
        <v>#N/A</v>
      </c>
      <c r="B1" s="33"/>
      <c r="C1" s="33"/>
      <c r="D1" s="33"/>
      <c r="E1" s="33"/>
      <c r="F1" s="33"/>
      <c r="G1" s="33"/>
      <c r="H1" s="33"/>
      <c r="I1" s="33"/>
      <c r="J1" s="33"/>
    </row>
    <row xmlns:x14ac="http://schemas.microsoft.com/office/spreadsheetml/2009/9/ac" r="2" ht="70" customHeight="true" thickBot="true" x14ac:dyDescent="0.25">
      <c r="A2" s="202" t="str">
        <f>HLOOKUP(Introduction!$A$2,nametranslations,150,FALSE)</f>
        <v>This worksheet presents a summary of estimated household wastewater flows safely treated based on the data presented in Parts B, C and D.  If sufficient data were officially reported, the overall country estimate for safely treated household wastewater [40] is also presented.  Proportions are presented of the total household wastewater generated (Column E) and by each stream (Column H).</v>
      </c>
      <c r="B2" s="202"/>
      <c r="C2" s="202"/>
      <c r="D2" s="202"/>
      <c r="E2" s="202"/>
      <c r="F2" s="202"/>
      <c r="G2" s="202"/>
      <c r="H2" s="202"/>
      <c r="I2" s="202"/>
      <c r="J2" s="202"/>
      <c r="K2" s="64"/>
      <c r="L2" s="64"/>
      <c r="M2" s="64"/>
      <c r="N2" s="64"/>
      <c r="O2" s="64"/>
      <c r="P2" s="64"/>
      <c r="Q2" s="64"/>
      <c r="R2" s="64"/>
      <c r="S2" s="64"/>
      <c r="T2" s="64"/>
      <c r="U2" s="64"/>
      <c r="V2" s="64"/>
      <c r="W2" s="64"/>
      <c r="X2" s="64"/>
      <c r="Y2" s="64"/>
      <c r="Z2" s="64"/>
      <c r="AA2" s="64"/>
    </row>
    <row xmlns:x14ac="http://schemas.microsoft.com/office/spreadsheetml/2009/9/ac" r="3" ht="78" customHeight="true" thickBot="true" x14ac:dyDescent="0.25">
      <c r="A3" s="108" t="str">
        <f>HLOOKUP(Introduction!$A$2,nametranslations,21,FALSE)</f>
        <v>Variable name</v>
      </c>
      <c r="B3" s="198" t="str">
        <f>HLOOKUP(Introduction!$A$2,nametranslations,103,FALSE)</f>
        <v>Volume 
[million m3/year]</v>
      </c>
      <c r="C3" s="199"/>
      <c r="D3" s="200"/>
      <c r="E3" s="198" t="str">
        <f>HLOOKUP(Introduction!$A$2,nametranslations,143,FALSE)</f>
        <v>Proportion
of total household wastewater generated
(%)</v>
      </c>
      <c r="F3" s="199"/>
      <c r="G3" s="200"/>
      <c r="H3" s="198" t="str">
        <f>HLOOKUP(Introduction!$A$2,nametranslations,144,FALSE)</f>
        <v>Proportion
of volume generated in each wastewater stream
(%)</v>
      </c>
      <c r="I3" s="199"/>
      <c r="J3" s="200"/>
    </row>
    <row xmlns:x14ac="http://schemas.microsoft.com/office/spreadsheetml/2009/9/ac" r="4" ht="50.25" customHeight="true" x14ac:dyDescent="0.2">
      <c r="A4" s="146" t="str">
        <f>HLOOKUP(Introduction!$A$2,nametranslations,151,FALSE)</f>
        <v>Stream 1: Safely treated from sewers at wastewater treatment plants</v>
      </c>
      <c r="B4" s="172">
        <f>IF('C- WW management chain'!F9="R",'D- Delivered'!B4*'C- WW management chain'!D9/100,'D- Delivered'!B4*'C- WW management chain'!D8/100)</f>
        <v>0</v>
      </c>
      <c r="C4" s="23">
        <f>'_Data inputs (all)'!H34</f>
        <v>0</v>
      </c>
      <c r="D4" s="58" t="s">
        <v>158</v>
      </c>
      <c r="E4" s="24" t="e">
        <f>B4/'A- Generated'!D15</f>
        <v>#DIV/0!</v>
      </c>
      <c r="F4" s="23">
        <f>'_Data inputs (all)'!H38</f>
        <v>0</v>
      </c>
      <c r="G4" s="13" t="s">
        <v>45</v>
      </c>
      <c r="H4" s="45" t="str">
        <f>IF(ISNUMBER(B4/'B- Generated by facility type'!F5),B4/'B- Generated by facility type'!F5,"N/A")</f>
        <v>N/A</v>
      </c>
      <c r="I4" s="55" t="s">
        <v>5</v>
      </c>
      <c r="J4" s="37" t="s">
        <v>43</v>
      </c>
    </row>
    <row xmlns:x14ac="http://schemas.microsoft.com/office/spreadsheetml/2009/9/ac" r="5" ht="60.75" customHeight="true" x14ac:dyDescent="0.2">
      <c r="A5" s="148" t="str">
        <f>HLOOKUP(Introduction!$A$2,nametranslations,152,FALSE)</f>
        <v>Stream 2a: Safely treated at septic tanks with faecal sludge safely treated at off-site wastewater treatment plants</v>
      </c>
      <c r="B5" s="171">
        <f>'D- Delivered'!B5*'C- WW management chain'!D18/100</f>
        <v>0</v>
      </c>
      <c r="C5" s="52">
        <f>'_Data inputs (all)'!H35</f>
        <v>0</v>
      </c>
      <c r="D5" s="59" t="s">
        <v>53</v>
      </c>
      <c r="E5" s="25" t="e">
        <f>B5/'A- Generated'!D15</f>
        <v>#DIV/0!</v>
      </c>
      <c r="F5" s="52">
        <f>'_Data inputs (all)'!H39</f>
        <v>0</v>
      </c>
      <c r="G5" s="60" t="s">
        <v>46</v>
      </c>
      <c r="H5" s="46" t="str">
        <f>IF(ISNUMBER(B5/'B- Generated by facility type'!F6), B5/'B- Generated by facility type'!F6, "N/A")</f>
        <v>N/A</v>
      </c>
      <c r="I5" s="53" t="s">
        <v>5</v>
      </c>
      <c r="J5" s="56" t="s">
        <v>44</v>
      </c>
    </row>
    <row xmlns:x14ac="http://schemas.microsoft.com/office/spreadsheetml/2009/9/ac" r="6" ht="63.75" customHeight="true" x14ac:dyDescent="0.2">
      <c r="A6" s="147" t="str">
        <f>HLOOKUP(Introduction!$A$2,nametranslations,153,FALSE)</f>
        <v>Stream 2b: Safely treated at septic tanks with faecal sludge safely treated at on-site treatment</v>
      </c>
      <c r="B6" s="170">
        <f>'D- Delivered'!B6*100%</f>
        <v>0</v>
      </c>
      <c r="C6" s="52">
        <f>'_Data inputs (all)'!H36</f>
        <v>0</v>
      </c>
      <c r="D6" s="59" t="s">
        <v>54</v>
      </c>
      <c r="E6" s="25" t="e">
        <f>B6/'A- Generated'!D15</f>
        <v>#DIV/0!</v>
      </c>
      <c r="F6" s="52">
        <f>'_Data inputs (all)'!H40</f>
        <v>0</v>
      </c>
      <c r="G6" s="60" t="s">
        <v>47</v>
      </c>
      <c r="H6" s="46" t="str">
        <f>IF(ISNUMBER(B6/'B- Generated by facility type'!F6),B6/'B- Generated by facility type'!F6,"N/A")</f>
        <v>N/A</v>
      </c>
      <c r="I6" s="53" t="s">
        <v>5</v>
      </c>
      <c r="J6" s="40" t="s">
        <v>36</v>
      </c>
    </row>
    <row xmlns:x14ac="http://schemas.microsoft.com/office/spreadsheetml/2009/9/ac" r="7" ht="123" customHeight="true" x14ac:dyDescent="0.2">
      <c r="A7" s="61" t="str">
        <f>HLOOKUP(Introduction!$A$2,nametranslations,154,FALSE)</f>
        <v>Total safely treated</v>
      </c>
      <c r="B7" s="57">
        <f>SUM(B4:B6)</f>
        <v>0</v>
      </c>
      <c r="C7" s="54">
        <f>'_Data inputs (all)'!H37</f>
        <v>0</v>
      </c>
      <c r="D7" s="59" t="s">
        <v>56</v>
      </c>
      <c r="E7" s="63" t="str">
        <f>IF(LEFT(B8,2)="No",HLOOKUP(Introduction!$A$2,nametranslations,155,FALSE),HLOOKUP(Introduction!$A$2,nametranslations,156,FALSE) &amp; " "&amp; TEXT(SUM(E4:E6),"0.0%"))</f>
        <v>Insufficient data</v>
      </c>
      <c r="F7" s="54">
        <f>'_Data inputs (all)'!H41</f>
        <v>0</v>
      </c>
      <c r="G7" s="60" t="s">
        <v>48</v>
      </c>
      <c r="H7" s="46" t="s">
        <v>8</v>
      </c>
      <c r="I7" s="53"/>
      <c r="J7" s="56" t="s">
        <v>8</v>
      </c>
    </row>
    <row xmlns:x14ac="http://schemas.microsoft.com/office/spreadsheetml/2009/9/ac" r="8" ht="61" customHeight="true" thickBot="true" x14ac:dyDescent="0.25">
      <c r="A8" s="62" t="str">
        <f>HLOOKUP(Introduction!$A$2,nametranslations,135,FALSE)</f>
        <v>Are data sufficient to compute a country estimate?</v>
      </c>
      <c r="B8" s="206" t="str">
        <f>'C- WW management chain'!A25</f>
        <v>No,  since the volume of sewer wastewater generated [14] is greater than the volume of septic tank wastewater generated [15], and data on sewer wastewater treatment performance [20]/[21] are not reported</v>
      </c>
      <c r="C8" s="207"/>
      <c r="D8" s="207"/>
      <c r="E8" s="207"/>
      <c r="F8" s="207"/>
      <c r="G8" s="207"/>
      <c r="H8" s="207"/>
      <c r="I8" s="207"/>
      <c r="J8" s="208"/>
    </row>
    <row xmlns:x14ac="http://schemas.microsoft.com/office/spreadsheetml/2009/9/ac" r="10" x14ac:dyDescent="0.2">
      <c r="A10" s="8" t="str">
        <f>HLOOKUP(Introduction!$A$2,nametranslations,77,FALSE)</f>
        <v>Notes:</v>
      </c>
      <c r="B10" s="15" t="str">
        <f>HLOOKUP(Introduction!$A$2,nametranslations,78,FALSE)</f>
        <v>[variable numbers shown in square brackets - see links to the 'Data inputs (all)' worksheet for additional details]</v>
      </c>
    </row>
    <row xmlns:x14ac="http://schemas.microsoft.com/office/spreadsheetml/2009/9/ac" r="11" x14ac:dyDescent="0.2">
      <c r="B11" s="15" t="str">
        <f>HLOOKUP(Introduction!$A$2,nametranslations,79,FALSE)</f>
        <v>A - Assumption</v>
      </c>
    </row>
    <row xmlns:x14ac="http://schemas.microsoft.com/office/spreadsheetml/2009/9/ac" r="12" x14ac:dyDescent="0.2">
      <c r="B12" s="15" t="str">
        <f>HLOOKUP(Introduction!$A$2,nametranslations,80,FALSE)</f>
        <v>C - Internally calculated value</v>
      </c>
    </row>
    <row xmlns:x14ac="http://schemas.microsoft.com/office/spreadsheetml/2009/9/ac" r="13" x14ac:dyDescent="0.2">
      <c r="B13" s="15" t="str">
        <f>HLOOKUP(Introduction!$A$2,nametranslations,81,FALSE)</f>
        <v>E - Estimated value based on official national statistics</v>
      </c>
    </row>
    <row xmlns:x14ac="http://schemas.microsoft.com/office/spreadsheetml/2009/9/ac" r="14" x14ac:dyDescent="0.2">
      <c r="B14" s="15" t="str">
        <f>HLOOKUP(Introduction!$A$2,nametranslations,82,FALSE)</f>
        <v>R - Reported value sourced from official national statistics</v>
      </c>
    </row>
    <row xmlns:x14ac="http://schemas.microsoft.com/office/spreadsheetml/2009/9/ac" r="15" x14ac:dyDescent="0.2">
      <c r="B15" s="6"/>
    </row>
    <row xmlns:x14ac="http://schemas.microsoft.com/office/spreadsheetml/2009/9/ac" r="16" x14ac:dyDescent="0.2">
      <c r="A16" s="6"/>
    </row>
    <row xmlns:x14ac="http://schemas.microsoft.com/office/spreadsheetml/2009/9/ac" r="17" x14ac:dyDescent="0.2">
      <c r="A17" s="6"/>
    </row>
    <row xmlns:x14ac="http://schemas.microsoft.com/office/spreadsheetml/2009/9/ac" r="18" x14ac:dyDescent="0.2">
      <c r="A18" s="6"/>
    </row>
    <row xmlns:x14ac="http://schemas.microsoft.com/office/spreadsheetml/2009/9/ac" r="19" x14ac:dyDescent="0.2">
      <c r="A19" s="6"/>
    </row>
    <row xmlns:x14ac="http://schemas.microsoft.com/office/spreadsheetml/2009/9/ac" r="20" x14ac:dyDescent="0.2">
      <c r="A20" s="6"/>
    </row>
    <row xmlns:x14ac="http://schemas.microsoft.com/office/spreadsheetml/2009/9/ac" r="21" x14ac:dyDescent="0.2">
      <c r="A21" s="6"/>
    </row>
    <row xmlns:x14ac="http://schemas.microsoft.com/office/spreadsheetml/2009/9/ac" r="22" x14ac:dyDescent="0.2">
      <c r="A22" s="6"/>
    </row>
    <row xmlns:x14ac="http://schemas.microsoft.com/office/spreadsheetml/2009/9/ac" r="23" x14ac:dyDescent="0.2">
      <c r="A23" s="6"/>
    </row>
  </sheetData>
  <sheetProtection sheet="true" objects="true" scenarios="true"/>
  <mergeCells count="5">
    <mergeCell ref="B8:J8"/>
    <mergeCell ref="A2:J2"/>
    <mergeCell ref="B3:D3"/>
    <mergeCell ref="E3:G3"/>
    <mergeCell ref="H3:J3"/>
  </mergeCell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13</vt:i4>
      </vt:variant>
      <vt:variant>
        <vt:lpstr>Named Ranges</vt:lpstr>
      </vt:variant>
      <vt:variant>
        <vt:i4>44</vt:i4>
      </vt:variant>
    </vt:vector>
  </HeadingPairs>
  <TitlesOfParts>
    <vt:vector size="57" baseType="lpstr">
      <vt:lpstr>Introduction</vt:lpstr>
      <vt:lpstr>Guidance</vt:lpstr>
      <vt:lpstr>Data inputs (all)</vt:lpstr>
      <vt:lpstr>Data inputs (reported)</vt:lpstr>
      <vt:lpstr>A- Generated</vt:lpstr>
      <vt:lpstr>B- Generated by facility type</vt:lpstr>
      <vt:lpstr>C- WW management chain</vt:lpstr>
      <vt:lpstr>D- Delivered</vt:lpstr>
      <vt:lpstr>E- Safely treated</vt:lpstr>
      <vt:lpstr>_Data inputs (all)</vt:lpstr>
      <vt:lpstr>_Data inputs (reported)</vt:lpstr>
      <vt:lpstr>_Translation</vt:lpstr>
      <vt:lpstr>_QC</vt:lpstr>
      <vt:lpstr>'_Data inputs (all)'!_FilterDatabase</vt:lpstr>
      <vt:lpstr>'Data inputs (all)'!_FilterDatabase</vt:lpstr>
      <vt:lpstr>countryname</vt:lpstr>
      <vt:lpstr>nametranslations</vt:lpstr>
      <vt:lpstr>v1_</vt:lpstr>
      <vt:lpstr>v10_</vt:lpstr>
      <vt:lpstr>v11_</vt:lpstr>
      <vt:lpstr>v12_</vt:lpstr>
      <vt:lpstr>v13_</vt:lpstr>
      <vt:lpstr>v14_</vt:lpstr>
      <vt:lpstr>v15_</vt:lpstr>
      <vt:lpstr>v16_</vt:lpstr>
      <vt:lpstr>v17_</vt:lpstr>
      <vt:lpstr>v18_</vt:lpstr>
      <vt:lpstr>v19_</vt:lpstr>
      <vt:lpstr>v2_</vt:lpstr>
      <vt:lpstr>v20_</vt:lpstr>
      <vt:lpstr>v21_</vt:lpstr>
      <vt:lpstr>v22_</vt:lpstr>
      <vt:lpstr>v23_</vt:lpstr>
      <vt:lpstr>v24_</vt:lpstr>
      <vt:lpstr>v25_</vt:lpstr>
      <vt:lpstr>v26_</vt:lpstr>
      <vt:lpstr>v27_</vt:lpstr>
      <vt:lpstr>v28_</vt:lpstr>
      <vt:lpstr>v29_</vt:lpstr>
      <vt:lpstr>v3_</vt:lpstr>
      <vt:lpstr>v30_</vt:lpstr>
      <vt:lpstr>v31_</vt:lpstr>
      <vt:lpstr>v32_</vt:lpstr>
      <vt:lpstr>v33_</vt:lpstr>
      <vt:lpstr>v34_</vt:lpstr>
      <vt:lpstr>v35_</vt:lpstr>
      <vt:lpstr>v36_</vt:lpstr>
      <vt:lpstr>v37_</vt:lpstr>
      <vt:lpstr>v38_</vt:lpstr>
      <vt:lpstr>v39_</vt:lpstr>
      <vt:lpstr>v4_</vt:lpstr>
      <vt:lpstr>v40_</vt:lpstr>
      <vt:lpstr>v5_</vt:lpstr>
      <vt:lpstr>v6_</vt:lpstr>
      <vt:lpstr>v7_</vt:lpstr>
      <vt:lpstr>v8_</vt:lpstr>
      <vt:lpstr>v9_</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larnsce</dc:creator>
  <cp:lastModifiedBy>Andrew Shantz</cp:lastModifiedBy>
  <dcterms:created xsi:type="dcterms:W3CDTF">2018-09-12T10:20:28Z</dcterms:created>
  <dcterms:modified xsi:type="dcterms:W3CDTF">2025-04-03T02:23:08Z</dcterms:modified>
</cp:coreProperties>
</file>